
<file path=[Content_Types].xml><?xml version="1.0" encoding="utf-8"?>
<Types xmlns="http://schemas.openxmlformats.org/package/2006/content-types">
  <Override PartName="/xl/customProperty12.bin" ContentType="application/vnd.openxmlformats-officedocument.spreadsheetml.customProperty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  <Default Extension="bin" ContentType="application/vnd.openxmlformats-officedocument.spreadsheetml.printerSettings"/>
  <Override PartName="/xl/customProperty9.bin" ContentType="application/vnd.openxmlformats-officedocument.spreadsheetml.customProperty"/>
  <Override PartName="/xl/drawings/drawing9.xml" ContentType="application/vnd.openxmlformats-officedocument.drawing+xml"/>
  <Override PartName="/xl/customProperty13.bin" ContentType="application/vnd.openxmlformats-officedocument.spreadsheetml.customPropert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7080" windowHeight="8265"/>
  </bookViews>
  <sheets>
    <sheet name="4to. Secre." sheetId="1" r:id="rId1"/>
    <sheet name="4to. Perito_A" sheetId="9" r:id="rId2"/>
    <sheet name="4to. Bach_A" sheetId="7" r:id="rId3"/>
    <sheet name="4to. Bach_B" sheetId="8" r:id="rId4"/>
    <sheet name="4to. Perito_B" sheetId="10" r:id="rId5"/>
    <sheet name="5to. Perito_A" sheetId="14" r:id="rId6"/>
    <sheet name="5to. Secre." sheetId="13" r:id="rId7"/>
    <sheet name="5to. Bach_A" sheetId="11" r:id="rId8"/>
    <sheet name="6to. Secre." sheetId="16" r:id="rId9"/>
    <sheet name="5to. Bach_B" sheetId="12" r:id="rId10"/>
    <sheet name="5to. Perito_B" sheetId="15" r:id="rId11"/>
    <sheet name="6to. Perito" sheetId="17" r:id="rId12"/>
    <sheet name="DV-IDENTITY-0" sheetId="6" state="veryHidden" r:id="rId13"/>
  </sheets>
  <calcPr calcId="124519"/>
</workbook>
</file>

<file path=xl/calcChain.xml><?xml version="1.0" encoding="utf-8"?>
<calcChain xmlns="http://schemas.openxmlformats.org/spreadsheetml/2006/main">
  <c r="A82" i="6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IO81"/>
  <c r="IP81"/>
  <c r="IQ81"/>
  <c r="IR81"/>
  <c r="IS81"/>
  <c r="IT81"/>
  <c r="IU81"/>
  <c r="IV81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IO80"/>
  <c r="IP80"/>
  <c r="IQ80"/>
  <c r="IR80"/>
  <c r="IS80"/>
  <c r="IT80"/>
  <c r="IU80"/>
  <c r="IV80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IO79"/>
  <c r="IP79"/>
  <c r="IQ79"/>
  <c r="IR79"/>
  <c r="IS79"/>
  <c r="IT79"/>
  <c r="IU79"/>
  <c r="IV79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IO78"/>
  <c r="IP78"/>
  <c r="IQ78"/>
  <c r="IR78"/>
  <c r="IS78"/>
  <c r="IT78"/>
  <c r="IU78"/>
  <c r="IV78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IO77"/>
  <c r="IP77"/>
  <c r="IQ77"/>
  <c r="IR77"/>
  <c r="IS77"/>
  <c r="IT77"/>
  <c r="IU77"/>
  <c r="IV77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IO76"/>
  <c r="IP76"/>
  <c r="IQ76"/>
  <c r="IR76"/>
  <c r="IS76"/>
  <c r="IT76"/>
  <c r="IU76"/>
  <c r="IV76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IO75"/>
  <c r="IP75"/>
  <c r="IQ75"/>
  <c r="IR75"/>
  <c r="IS75"/>
  <c r="IT75"/>
  <c r="IU75"/>
  <c r="IV75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IO74"/>
  <c r="IP74"/>
  <c r="IQ74"/>
  <c r="IR74"/>
  <c r="IS74"/>
  <c r="IT74"/>
  <c r="IU74"/>
  <c r="IV74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IO73"/>
  <c r="IP73"/>
  <c r="IQ73"/>
  <c r="IR73"/>
  <c r="IS73"/>
  <c r="IT73"/>
  <c r="IU73"/>
  <c r="IV73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IO51"/>
  <c r="IP51"/>
  <c r="IQ51"/>
  <c r="IR51"/>
  <c r="IS51"/>
  <c r="IT51"/>
  <c r="IU51"/>
  <c r="IV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FX41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A35" l="1"/>
  <c r="BZ28"/>
  <c r="EY21"/>
  <c r="EY14"/>
  <c r="EY7"/>
</calcChain>
</file>

<file path=xl/sharedStrings.xml><?xml version="1.0" encoding="utf-8"?>
<sst xmlns="http://schemas.openxmlformats.org/spreadsheetml/2006/main" count="1537" uniqueCount="844">
  <si>
    <t>AAAAAH5+t7k=</t>
  </si>
  <si>
    <t>Glads  Araceli</t>
  </si>
  <si>
    <t>Archila Rosales</t>
  </si>
  <si>
    <t xml:space="preserve">Evelin </t>
  </si>
  <si>
    <t>Ayala Rivera</t>
  </si>
  <si>
    <t>Ballolet</t>
  </si>
  <si>
    <t>Banegas Pacheco</t>
  </si>
  <si>
    <t>Katerine Fabiola</t>
  </si>
  <si>
    <t>Catañeda Ordoñez</t>
  </si>
  <si>
    <t xml:space="preserve">Chajchal  Melgar </t>
  </si>
  <si>
    <t>Josseline Carolina</t>
  </si>
  <si>
    <t>Rosmery Aracely</t>
  </si>
  <si>
    <t xml:space="preserve">Chavez </t>
  </si>
  <si>
    <t>Carolyn Steffaní</t>
  </si>
  <si>
    <t>García Batz</t>
  </si>
  <si>
    <t>Elma Yanira</t>
  </si>
  <si>
    <t>Garcia Sales</t>
  </si>
  <si>
    <t xml:space="preserve">Kimberly Faviola </t>
  </si>
  <si>
    <t>Garcia Uluan</t>
  </si>
  <si>
    <t>Ingri Rocxana</t>
  </si>
  <si>
    <t>Gomez Lopez</t>
  </si>
  <si>
    <t>Roxana Analí</t>
  </si>
  <si>
    <t>González Muxín</t>
  </si>
  <si>
    <t>Marilym Susely</t>
  </si>
  <si>
    <t>Jimenez Ramirez</t>
  </si>
  <si>
    <t>Brenda Lisbet</t>
  </si>
  <si>
    <t>Lopez Gomez</t>
  </si>
  <si>
    <t>Digna Marisol</t>
  </si>
  <si>
    <t>Lopez Perez</t>
  </si>
  <si>
    <t>Marelin Anabella</t>
  </si>
  <si>
    <t>Lopez Rodirgue</t>
  </si>
  <si>
    <t>Evelyn Roxana</t>
  </si>
  <si>
    <t>Mejia Ramirez</t>
  </si>
  <si>
    <t>Emili Pamela</t>
  </si>
  <si>
    <t>Mercado</t>
  </si>
  <si>
    <t>Sara Hailey</t>
  </si>
  <si>
    <t>Montalvo Perez</t>
  </si>
  <si>
    <t>Josselin yesenia</t>
  </si>
  <si>
    <t>Morales Cardona</t>
  </si>
  <si>
    <t>Ana Beatriz</t>
  </si>
  <si>
    <t>Pablo Miranda</t>
  </si>
  <si>
    <t>Lucia Beatriz</t>
  </si>
  <si>
    <t>Patzan Ceto</t>
  </si>
  <si>
    <t>Jesica Nohemy</t>
  </si>
  <si>
    <t>Raxon Divas</t>
  </si>
  <si>
    <t>Katherine Yamileth</t>
  </si>
  <si>
    <t>Raxón Yoc</t>
  </si>
  <si>
    <t>Magda Araceli</t>
  </si>
  <si>
    <t>Reyes Aguare</t>
  </si>
  <si>
    <t>Rosmery Marilú</t>
  </si>
  <si>
    <t>Ríos Najarro</t>
  </si>
  <si>
    <t>Joselyn Dayana</t>
  </si>
  <si>
    <t>Santos Méndez</t>
  </si>
  <si>
    <t>Yesica Paola</t>
  </si>
  <si>
    <t>Santos Silvestre</t>
  </si>
  <si>
    <t>Regina Mishel</t>
  </si>
  <si>
    <t>Sunun Poncio</t>
  </si>
  <si>
    <t>Cristy Michelle</t>
  </si>
  <si>
    <t>Tahuico</t>
  </si>
  <si>
    <t>Shiley Rubi</t>
  </si>
  <si>
    <t>Tipol Duarte</t>
  </si>
  <si>
    <t>Kimberly Abigail</t>
  </si>
  <si>
    <t>Valle</t>
  </si>
  <si>
    <t>Priscila Azucena</t>
  </si>
  <si>
    <t>Zumeta Santos</t>
  </si>
  <si>
    <t>Jonathan Josué</t>
  </si>
  <si>
    <t>Alfaro Tecun</t>
  </si>
  <si>
    <t>Marcelino Alexander</t>
  </si>
  <si>
    <t>Alvarez Herrera</t>
  </si>
  <si>
    <t>Luis Gerardo</t>
  </si>
  <si>
    <t>Andres Rafael</t>
  </si>
  <si>
    <t>kevin Abimael</t>
  </si>
  <si>
    <t>Barrios Mazariegos</t>
  </si>
  <si>
    <t>Carlos Eduardo</t>
  </si>
  <si>
    <t>Barrios Perez</t>
  </si>
  <si>
    <t>Batres López</t>
  </si>
  <si>
    <t>Brayner Anderson</t>
  </si>
  <si>
    <t>Melvin Estuardo</t>
  </si>
  <si>
    <t>Boror Sajvin</t>
  </si>
  <si>
    <t>Roxana Martina</t>
  </si>
  <si>
    <t>Cahuec Ruiz</t>
  </si>
  <si>
    <t>Sandra Patricia</t>
  </si>
  <si>
    <t>Canel Méndez</t>
  </si>
  <si>
    <t>Edilcar Alfredo</t>
  </si>
  <si>
    <t>Cardona De la cruz</t>
  </si>
  <si>
    <t>William  Estuardo</t>
  </si>
  <si>
    <t>Castañeda de la Cruz</t>
  </si>
  <si>
    <t>Katherine Fabiola</t>
  </si>
  <si>
    <t>Castañeda Ordoñez</t>
  </si>
  <si>
    <t>Luis Fernando</t>
  </si>
  <si>
    <t>Castañon Sep</t>
  </si>
  <si>
    <t>Keneth Ricardo</t>
  </si>
  <si>
    <t>Chuc Aguilar</t>
  </si>
  <si>
    <t>Julissa Paola</t>
  </si>
  <si>
    <t>Escobar Ariaga</t>
  </si>
  <si>
    <t>Rosa Andrea</t>
  </si>
  <si>
    <t>Girón Pérez</t>
  </si>
  <si>
    <t>Julio Isaias</t>
  </si>
  <si>
    <t>Gómez Gamarro</t>
  </si>
  <si>
    <t>Marvin Jose</t>
  </si>
  <si>
    <t>Gomez Mazariegos</t>
  </si>
  <si>
    <t>Esvin Otoniel</t>
  </si>
  <si>
    <t>Gonzales Trinidad</t>
  </si>
  <si>
    <t>Jonathan Isaías</t>
  </si>
  <si>
    <t>Gramajo Alvizures</t>
  </si>
  <si>
    <t>Melani Yanira</t>
  </si>
  <si>
    <t>Guamuch Vasquez</t>
  </si>
  <si>
    <t>Brian Gildaberto</t>
  </si>
  <si>
    <t>Hernández Arreaga</t>
  </si>
  <si>
    <t>Gilmer Isaías</t>
  </si>
  <si>
    <t>Juárez</t>
  </si>
  <si>
    <t>Kimberly Paola</t>
  </si>
  <si>
    <t>Latin Guzmán</t>
  </si>
  <si>
    <t>Brandon Esthiben</t>
  </si>
  <si>
    <t>Lopez Carrillo</t>
  </si>
  <si>
    <t>Abner Obed</t>
  </si>
  <si>
    <t>Lopez Lopez</t>
  </si>
  <si>
    <t>Gabriela Guadalupe</t>
  </si>
  <si>
    <t>Lopez Simon</t>
  </si>
  <si>
    <t>Jonatan Alexander</t>
  </si>
  <si>
    <t>Lorenzana Vasquez</t>
  </si>
  <si>
    <t>Katein Yajaira</t>
  </si>
  <si>
    <t>Maritinez Arriaga</t>
  </si>
  <si>
    <t>Jairo Samuel</t>
  </si>
  <si>
    <t>Marquez ajanel</t>
  </si>
  <si>
    <t>Junior Vicente</t>
  </si>
  <si>
    <t>Melendez Ramos</t>
  </si>
  <si>
    <t>Osman Geovany</t>
  </si>
  <si>
    <t>Mendez Cua</t>
  </si>
  <si>
    <t>Heberth Eliel</t>
  </si>
  <si>
    <t>Morales Soza</t>
  </si>
  <si>
    <t>Lessly Selyna</t>
  </si>
  <si>
    <t>Ordoñez  Araus</t>
  </si>
  <si>
    <t>Jennyfer Elizabeth</t>
  </si>
  <si>
    <t>Perez Muñoz</t>
  </si>
  <si>
    <t>Marielena</t>
  </si>
  <si>
    <t>Perez Pirir</t>
  </si>
  <si>
    <t>Jakelin Melisa</t>
  </si>
  <si>
    <t>Poveda Brisuela</t>
  </si>
  <si>
    <t>Billy</t>
  </si>
  <si>
    <t>Ramirez Monterroso</t>
  </si>
  <si>
    <t>Jonatan Abraham</t>
  </si>
  <si>
    <t>Rivera Valenzuela</t>
  </si>
  <si>
    <t xml:space="preserve">Jennifer Aurora </t>
  </si>
  <si>
    <t>Saban Castellanos</t>
  </si>
  <si>
    <t>Gladis Karina</t>
  </si>
  <si>
    <t>Sagastume Pineda</t>
  </si>
  <si>
    <t>Walter Daniel</t>
  </si>
  <si>
    <t>Sanchez Xaxcacoj</t>
  </si>
  <si>
    <t>Victor Hugo</t>
  </si>
  <si>
    <t>Sil Castillo</t>
  </si>
  <si>
    <t>Joselin Maribel</t>
  </si>
  <si>
    <t>Sologaistoa Sian</t>
  </si>
  <si>
    <t>Edwin Estuardo</t>
  </si>
  <si>
    <t>Tacatic Juarez</t>
  </si>
  <si>
    <t>Siada Yaneth</t>
  </si>
  <si>
    <t>Vasquez Estrada</t>
  </si>
  <si>
    <t>Evelin Yasmin</t>
  </si>
  <si>
    <t>Adrian Maldonado</t>
  </si>
  <si>
    <t>Jeiber Alejandro</t>
  </si>
  <si>
    <t>Ajanel</t>
  </si>
  <si>
    <t>Yoselyn  del Rosario</t>
  </si>
  <si>
    <t>Alegria Valiente</t>
  </si>
  <si>
    <t>Marlin Guadalupe</t>
  </si>
  <si>
    <t>Alvarado Sinay</t>
  </si>
  <si>
    <t>Francisco Josè</t>
  </si>
  <si>
    <t>Anleu</t>
  </si>
  <si>
    <t>Alvaro Roberto</t>
  </si>
  <si>
    <t>Antonio Tocay</t>
  </si>
  <si>
    <t>Olga Rocio</t>
  </si>
  <si>
    <t>Argueta Espinoza</t>
  </si>
  <si>
    <t>Lilian Adelina</t>
  </si>
  <si>
    <t>Armira Chitay</t>
  </si>
  <si>
    <t>Cindy Yasmin</t>
  </si>
  <si>
    <t>Barrios Ordoñez</t>
  </si>
  <si>
    <t>Irma Johanna</t>
  </si>
  <si>
    <t>Boror Martinez</t>
  </si>
  <si>
    <t>Arnold Josef</t>
  </si>
  <si>
    <t>Boror Meda</t>
  </si>
  <si>
    <t>Jason Rodeli</t>
  </si>
  <si>
    <t>Camacho ortiz</t>
  </si>
  <si>
    <t>Edwin Orlando</t>
  </si>
  <si>
    <t>Canel Yoc</t>
  </si>
  <si>
    <t>Ramiro Alverto</t>
  </si>
  <si>
    <t>Cardona de la Cruz</t>
  </si>
  <si>
    <t>Rosalina Isabel</t>
  </si>
  <si>
    <t>Cruz Gómez</t>
  </si>
  <si>
    <t>Gerson Aldair</t>
  </si>
  <si>
    <t>Diaz Estrada</t>
  </si>
  <si>
    <t>Katerin Sharlot</t>
  </si>
  <si>
    <t>Diaz Gonzalez</t>
  </si>
  <si>
    <t>Gladis Noemí</t>
  </si>
  <si>
    <t>Domingo Trigueros</t>
  </si>
  <si>
    <t>Kevin Daniel</t>
  </si>
  <si>
    <t>Escobar Calderon</t>
  </si>
  <si>
    <t>José Anibal</t>
  </si>
  <si>
    <t>Estrada Salazar</t>
  </si>
  <si>
    <t>Rocxana Noemí</t>
  </si>
  <si>
    <t>Felipe Rojas</t>
  </si>
  <si>
    <t>Jonathan Isaias</t>
  </si>
  <si>
    <t>Gramajo Alvizurez</t>
  </si>
  <si>
    <t>Denis Juventino</t>
  </si>
  <si>
    <t>Guzman Mejia</t>
  </si>
  <si>
    <t>Yoselin Maria José</t>
  </si>
  <si>
    <t>Hernandez Osoy</t>
  </si>
  <si>
    <t>Denni Danilo</t>
  </si>
  <si>
    <t>Hernández</t>
  </si>
  <si>
    <t>Heber Isaí</t>
  </si>
  <si>
    <t>Ixcol Francisco</t>
  </si>
  <si>
    <t>Joselin Jasmin</t>
  </si>
  <si>
    <t>Jimenez Obeda</t>
  </si>
  <si>
    <t>Jebndy Ester</t>
  </si>
  <si>
    <t>Lemus Gonzalez</t>
  </si>
  <si>
    <t>López Simón</t>
  </si>
  <si>
    <t>Jairon Samuel</t>
  </si>
  <si>
    <t>Márquez Ajánel</t>
  </si>
  <si>
    <t>Jaime Ricardo</t>
  </si>
  <si>
    <t>Montufar Castañeda</t>
  </si>
  <si>
    <t>Richard Daniel</t>
  </si>
  <si>
    <t>Muhún Hernandez</t>
  </si>
  <si>
    <t>Maria Mercedes</t>
  </si>
  <si>
    <t>Nuñez Vicente</t>
  </si>
  <si>
    <t>Kevin Armando</t>
  </si>
  <si>
    <t>Orozco Aceituno</t>
  </si>
  <si>
    <t>Gerson Geovany</t>
  </si>
  <si>
    <t>Orozco Mendez</t>
  </si>
  <si>
    <t>Heidy Beatriz</t>
  </si>
  <si>
    <t>Perez Garcia</t>
  </si>
  <si>
    <t>Miriam Izabel</t>
  </si>
  <si>
    <t>Ramírez Catalán</t>
  </si>
  <si>
    <t>Jackeline Marleny</t>
  </si>
  <si>
    <t>Ramirez Raymundo</t>
  </si>
  <si>
    <t>Debora Liset</t>
  </si>
  <si>
    <t>Reyes Mazariegos</t>
  </si>
  <si>
    <t xml:space="preserve">Brallan Antonio </t>
  </si>
  <si>
    <t>Jorge Mario</t>
  </si>
  <si>
    <t>Salvatierra Aguilar</t>
  </si>
  <si>
    <t>Sanchez Xaxcaco</t>
  </si>
  <si>
    <t>Byron Daniel</t>
  </si>
  <si>
    <t>Sanchez</t>
  </si>
  <si>
    <t>Josue daniel</t>
  </si>
  <si>
    <t>Valenzuela Santa Cruz</t>
  </si>
  <si>
    <t>Melvin Asael</t>
  </si>
  <si>
    <t>Velasquez Lopez</t>
  </si>
  <si>
    <t>Edwin Rodolfo</t>
  </si>
  <si>
    <t>Ventura Gonzalez</t>
  </si>
  <si>
    <t>Genger Ruth</t>
  </si>
  <si>
    <t>Ajcot Ruiz</t>
  </si>
  <si>
    <t>Silvia Verónica</t>
  </si>
  <si>
    <t>Alvarez Chitay</t>
  </si>
  <si>
    <t>Ludyn Antonio</t>
  </si>
  <si>
    <t>Barrera Salazar</t>
  </si>
  <si>
    <t>Ginger Ruth</t>
  </si>
  <si>
    <t>Barrios Ajcot</t>
  </si>
  <si>
    <t>Elba Judith</t>
  </si>
  <si>
    <t>Borrayo Revolorio</t>
  </si>
  <si>
    <t>Oscar Amilcar</t>
  </si>
  <si>
    <t>Garcia Garcia</t>
  </si>
  <si>
    <t>Natalí Cristina</t>
  </si>
  <si>
    <t>González Perez</t>
  </si>
  <si>
    <t>Luis Angel</t>
  </si>
  <si>
    <t>González Ventura</t>
  </si>
  <si>
    <t>Edgar Richard</t>
  </si>
  <si>
    <t>Hernández Alvarado</t>
  </si>
  <si>
    <t>Yaquelin Rosita</t>
  </si>
  <si>
    <t>López Matzir</t>
  </si>
  <si>
    <t>Jessica Andrea</t>
  </si>
  <si>
    <t>López Vásquez</t>
  </si>
  <si>
    <t>rebeca Merari</t>
  </si>
  <si>
    <t>Lorenzana Solorzano</t>
  </si>
  <si>
    <t>Bryan Emanuel</t>
  </si>
  <si>
    <t>Lorenzo Say</t>
  </si>
  <si>
    <t>Sheny Carolina</t>
  </si>
  <si>
    <t>Manuel Sanchez</t>
  </si>
  <si>
    <t xml:space="preserve">Evelin Lorena </t>
  </si>
  <si>
    <t>Oscal Zuñiga</t>
  </si>
  <si>
    <t>Nanci Daniela</t>
  </si>
  <si>
    <t>Herman Humberto</t>
  </si>
  <si>
    <t>Pacheco Veliz</t>
  </si>
  <si>
    <t xml:space="preserve">Katherine Mishelle </t>
  </si>
  <si>
    <t>Paiz Estrada</t>
  </si>
  <si>
    <t>adriana Isabel</t>
  </si>
  <si>
    <t>Patzan Yoc</t>
  </si>
  <si>
    <t>Abner Isaí</t>
  </si>
  <si>
    <t>Pú Carrera</t>
  </si>
  <si>
    <t>Dixi Ninette</t>
  </si>
  <si>
    <t>Quixtan Revolorio</t>
  </si>
  <si>
    <t>Alan Aratxón</t>
  </si>
  <si>
    <t>Ramon Ordoñez</t>
  </si>
  <si>
    <t>Kimberly Alejandra</t>
  </si>
  <si>
    <t>Ramos Argueta</t>
  </si>
  <si>
    <t>Recinos Morales</t>
  </si>
  <si>
    <t>Carlos Manuel</t>
  </si>
  <si>
    <t>Revolorio Marquez</t>
  </si>
  <si>
    <t>Yordi Aldair</t>
  </si>
  <si>
    <t>Reyes Arroyo</t>
  </si>
  <si>
    <t>Andrea Elizabeth</t>
  </si>
  <si>
    <t>Reyes Marroquin</t>
  </si>
  <si>
    <t>Yoseline Yulisa</t>
  </si>
  <si>
    <t>Randol Elizardo</t>
  </si>
  <si>
    <t>Reyna Cipriano</t>
  </si>
  <si>
    <t>Luz Marina</t>
  </si>
  <si>
    <t>Rodríguez Ruano</t>
  </si>
  <si>
    <t>William Orlando</t>
  </si>
  <si>
    <t>Sanchez Bran</t>
  </si>
  <si>
    <t>Yeymi Nohemí</t>
  </si>
  <si>
    <t>Sierra Gómez</t>
  </si>
  <si>
    <t>diego Rolando</t>
  </si>
  <si>
    <t>Tepén Huit</t>
  </si>
  <si>
    <t>Brando Anibal</t>
  </si>
  <si>
    <t>Torres Pérez</t>
  </si>
  <si>
    <t>Heidi Pahola</t>
  </si>
  <si>
    <t>Tuy López</t>
  </si>
  <si>
    <t>Cindy Kely</t>
  </si>
  <si>
    <t>Tzoc Sánchez</t>
  </si>
  <si>
    <t>Urizar Carreto</t>
  </si>
  <si>
    <t xml:space="preserve">Berta </t>
  </si>
  <si>
    <t>Uz Tiu</t>
  </si>
  <si>
    <t>Zaida Yaneth</t>
  </si>
  <si>
    <t>Vásquez Estrada</t>
  </si>
  <si>
    <t>Mariana elizabeth</t>
  </si>
  <si>
    <t>Vasquez ortíz</t>
  </si>
  <si>
    <t>Brenda susana</t>
  </si>
  <si>
    <t>Velásquez Tavico</t>
  </si>
  <si>
    <t>Katherinne Johanna</t>
  </si>
  <si>
    <t>Ventura</t>
  </si>
  <si>
    <t>Sonia Catalina</t>
  </si>
  <si>
    <t>vicente José</t>
  </si>
  <si>
    <t>Sayda Ester</t>
  </si>
  <si>
    <t>Yucuté Barrios</t>
  </si>
  <si>
    <t>Mayra Alejandra</t>
  </si>
  <si>
    <t>Abac Pérez</t>
  </si>
  <si>
    <t>Lucrecia</t>
  </si>
  <si>
    <t>Alvarado Yenifer</t>
  </si>
  <si>
    <t>Alvin Estiven</t>
  </si>
  <si>
    <t>Alvarez Campos</t>
  </si>
  <si>
    <t>Leslie Filomena</t>
  </si>
  <si>
    <t>Ambrocio Pelico</t>
  </si>
  <si>
    <t>gabriel Eduardo</t>
  </si>
  <si>
    <t>Aquino Yoc</t>
  </si>
  <si>
    <t xml:space="preserve">Nancy Paola </t>
  </si>
  <si>
    <t>Arevalo</t>
  </si>
  <si>
    <t>Sindi Gabriela</t>
  </si>
  <si>
    <t>Bámaca Gonzales</t>
  </si>
  <si>
    <t>Brandon Daniel</t>
  </si>
  <si>
    <t>Benito Guzmàn</t>
  </si>
  <si>
    <t>Juan Adrian</t>
  </si>
  <si>
    <t>Boch Bail</t>
  </si>
  <si>
    <t>Edwin Antonio</t>
  </si>
  <si>
    <t>Caceros Carrillo</t>
  </si>
  <si>
    <t>Cindy Dallann</t>
  </si>
  <si>
    <t>Cardòna Pules</t>
  </si>
  <si>
    <t>Mario Alberto</t>
  </si>
  <si>
    <t>Marleny Lisset</t>
  </si>
  <si>
    <t>Cuyuch Barrera</t>
  </si>
  <si>
    <t>Berta Alejandra</t>
  </si>
  <si>
    <t>Chamale Juarez</t>
  </si>
  <si>
    <t>Geidi Marisol</t>
  </si>
  <si>
    <t>Diego Hernanadez</t>
  </si>
  <si>
    <t>Sandra del Rosario</t>
  </si>
  <si>
    <t>Diego Hernandez</t>
  </si>
  <si>
    <t>Carlos Alejandro</t>
  </si>
  <si>
    <t>Divàs Higueros</t>
  </si>
  <si>
    <t>Berta Roxana</t>
  </si>
  <si>
    <t>Esquivel Reynoso</t>
  </si>
  <si>
    <t>Yeniffer Marivel</t>
  </si>
  <si>
    <t>Garcìa Saban</t>
  </si>
  <si>
    <t>Milvia Carolina</t>
  </si>
  <si>
    <t>Gòmez Hernàndez</t>
  </si>
  <si>
    <t>Cindy Elizabeth</t>
  </si>
  <si>
    <t>Gonzàlez Guerra</t>
  </si>
  <si>
    <t>Josué David</t>
  </si>
  <si>
    <t>González Yoc</t>
  </si>
  <si>
    <t>Dulce Maria</t>
  </si>
  <si>
    <t>Guerra</t>
  </si>
  <si>
    <t>Lincet Scarlett</t>
  </si>
  <si>
    <t>Guevara Gòmez</t>
  </si>
  <si>
    <t>Waffnia Eunice</t>
  </si>
  <si>
    <t>Hernandez Lopez</t>
  </si>
  <si>
    <t>Ana Luisa Rocxana</t>
  </si>
  <si>
    <t>Hernandez</t>
  </si>
  <si>
    <t>Marvin Rodolgo</t>
  </si>
  <si>
    <t>Ixtecoc Mendòza</t>
  </si>
  <si>
    <t>Romelia Josefina</t>
  </si>
  <si>
    <t>Juarez Sajic</t>
  </si>
  <si>
    <t>Kendy Verònica</t>
  </si>
  <si>
    <t>Larios de León</t>
  </si>
  <si>
    <t>Helen Marisol</t>
  </si>
  <si>
    <t>Lazo Osorio</t>
  </si>
  <si>
    <t>Jorge Antonio</t>
  </si>
  <si>
    <t>Lemus</t>
  </si>
  <si>
    <t xml:space="preserve">Mario Rolando </t>
  </si>
  <si>
    <t>Lopez Matzir</t>
  </si>
  <si>
    <t>Antony Emanuel</t>
  </si>
  <si>
    <t>López Morales</t>
  </si>
  <si>
    <t>Jose Estuardo</t>
  </si>
  <si>
    <t>Melgar Contreras</t>
  </si>
  <si>
    <t>Daniel de Jesus</t>
  </si>
  <si>
    <t>Méndez Lucero</t>
  </si>
  <si>
    <t>Ana Lucia</t>
  </si>
  <si>
    <t>Morales Barrios</t>
  </si>
  <si>
    <t>Jorge Orlando</t>
  </si>
  <si>
    <t>Oliva García</t>
  </si>
  <si>
    <t>Joseph Wilfred</t>
  </si>
  <si>
    <t>Oliva Jimenez</t>
  </si>
  <si>
    <t>Joselyn Betzábe</t>
  </si>
  <si>
    <t>Park Set</t>
  </si>
  <si>
    <t>Brandon Iván</t>
  </si>
  <si>
    <t>Reyes Villatoro</t>
  </si>
  <si>
    <t>Jason Israel</t>
  </si>
  <si>
    <t>Rodas Garcia</t>
  </si>
  <si>
    <t>Joselin Antonieta</t>
  </si>
  <si>
    <t>Rodas Pixtún</t>
  </si>
  <si>
    <t>Arely Cristina</t>
  </si>
  <si>
    <t>Rodriguez y Rodriguez</t>
  </si>
  <si>
    <t>Jackeline Roxana</t>
  </si>
  <si>
    <t>Urizar Suchite</t>
  </si>
  <si>
    <t>Jocelin Judith</t>
  </si>
  <si>
    <t>Catalán Ramos</t>
  </si>
  <si>
    <t>Lisbeth Magalí</t>
  </si>
  <si>
    <t>Chávez Garcia</t>
  </si>
  <si>
    <t>Abi Magnolia</t>
  </si>
  <si>
    <t>Estrada Leiva</t>
  </si>
  <si>
    <t>Lessly Marlliny</t>
  </si>
  <si>
    <t>Estrada López</t>
  </si>
  <si>
    <t>Olga  Patricia</t>
  </si>
  <si>
    <t>Gallardo López</t>
  </si>
  <si>
    <t>López Caal</t>
  </si>
  <si>
    <t>Alba Nohemí</t>
  </si>
  <si>
    <t>López Xiloj</t>
  </si>
  <si>
    <t>Brenda Paola</t>
  </si>
  <si>
    <t>Mach Cosiguá</t>
  </si>
  <si>
    <t>Aura Raquel</t>
  </si>
  <si>
    <t>Marroquín Cosmen</t>
  </si>
  <si>
    <t>Ester Elízabeth</t>
  </si>
  <si>
    <t>Martínez Alfaro</t>
  </si>
  <si>
    <t>Mariela Lucia</t>
  </si>
  <si>
    <t>Miranda Paz</t>
  </si>
  <si>
    <t>Jeimi Aidé</t>
  </si>
  <si>
    <t>Ordoñez Duarte</t>
  </si>
  <si>
    <t>Darlyn Brigette</t>
  </si>
  <si>
    <t>Paz Duarte</t>
  </si>
  <si>
    <t>Kimberly Jazmin</t>
  </si>
  <si>
    <t>Pérez Jacobo</t>
  </si>
  <si>
    <t>Ckaren Abigail</t>
  </si>
  <si>
    <t>Nataly Julissa</t>
  </si>
  <si>
    <t>Rafael Pérez</t>
  </si>
  <si>
    <t>Damariss Rocxana</t>
  </si>
  <si>
    <t>Ramírez Beltran</t>
  </si>
  <si>
    <t>Glendy Liseth</t>
  </si>
  <si>
    <t>Ramírez Pérez</t>
  </si>
  <si>
    <t>Mirna Suleyda</t>
  </si>
  <si>
    <t>Santa Cruz Contreras</t>
  </si>
  <si>
    <t>Lidia Alejandra Mayté</t>
  </si>
  <si>
    <t>Tizón Ortíz</t>
  </si>
  <si>
    <t>Irma Lisbeth</t>
  </si>
  <si>
    <t>Aguilón Palma</t>
  </si>
  <si>
    <t>Miguel Angel</t>
  </si>
  <si>
    <t>Boror Tocay</t>
  </si>
  <si>
    <t>Oscar Alfredo</t>
  </si>
  <si>
    <t>Campos Marroquin</t>
  </si>
  <si>
    <t>Mirna Alejandra</t>
  </si>
  <si>
    <t>Canel Tobar</t>
  </si>
  <si>
    <t>Eymi Liseth</t>
  </si>
  <si>
    <t>Carrillo de Leon</t>
  </si>
  <si>
    <t>José David</t>
  </si>
  <si>
    <t>Castellanos Donis</t>
  </si>
  <si>
    <t>Juan Leonel</t>
  </si>
  <si>
    <t>Ceto Hernández</t>
  </si>
  <si>
    <t>Rosa Angélica</t>
  </si>
  <si>
    <t>Dorcas Roxana</t>
  </si>
  <si>
    <t>Coronado Sosa</t>
  </si>
  <si>
    <t>Ingris Azucena</t>
  </si>
  <si>
    <t>Cruz Salmerón</t>
  </si>
  <si>
    <t>Jennifer Abigaíl</t>
  </si>
  <si>
    <t>Gomez Romero</t>
  </si>
  <si>
    <t>Andrea Edith</t>
  </si>
  <si>
    <t>Hernandez Morales</t>
  </si>
  <si>
    <t>Luis Alfonso</t>
  </si>
  <si>
    <t>Hernandez Mux</t>
  </si>
  <si>
    <t>Edgar Nicolas</t>
  </si>
  <si>
    <t>Jaqueline Gabriela</t>
  </si>
  <si>
    <t>Ixcoy Farfán</t>
  </si>
  <si>
    <t>Josselin Elizabeth</t>
  </si>
  <si>
    <t>Juaréz Rodas</t>
  </si>
  <si>
    <t>Edson Eduardo</t>
  </si>
  <si>
    <t>Jumique Hernández</t>
  </si>
  <si>
    <t>Aura Ninette</t>
  </si>
  <si>
    <t>Laines López</t>
  </si>
  <si>
    <t>Williams Estuardo</t>
  </si>
  <si>
    <t>López Ramírez</t>
  </si>
  <si>
    <t xml:space="preserve">Kimberly Viviana </t>
  </si>
  <si>
    <t>Andy Leonel</t>
  </si>
  <si>
    <t>Marroquin Castro</t>
  </si>
  <si>
    <t>Joselin Esther</t>
  </si>
  <si>
    <t>Medina Batres</t>
  </si>
  <si>
    <t>Diego Alexander</t>
  </si>
  <si>
    <t>Mejía Vicente</t>
  </si>
  <si>
    <t>Walfred Ivan</t>
  </si>
  <si>
    <t>Méndez Garcia</t>
  </si>
  <si>
    <t>Angela Paola</t>
  </si>
  <si>
    <t>Méndez</t>
  </si>
  <si>
    <t>Brandon Israel</t>
  </si>
  <si>
    <t>Monterrroso Ariza</t>
  </si>
  <si>
    <t>Dylan Emanuel</t>
  </si>
  <si>
    <t>Pérez Vásquez</t>
  </si>
  <si>
    <t>Linda Madelin Fabiola</t>
  </si>
  <si>
    <t>Quelex Sep</t>
  </si>
  <si>
    <t>María Celeste</t>
  </si>
  <si>
    <t>Riquiac Ramírez</t>
  </si>
  <si>
    <t>Jose Francisco</t>
  </si>
  <si>
    <t>Trinidad Gomez</t>
  </si>
  <si>
    <t>Teresa de Jesús</t>
  </si>
  <si>
    <t>Edilson Noel</t>
  </si>
  <si>
    <t>Cardona Flores</t>
  </si>
  <si>
    <t>Estela</t>
  </si>
  <si>
    <t>Cardona Montenegro</t>
  </si>
  <si>
    <t>Carlos Edy</t>
  </si>
  <si>
    <t>Chacón Matínez</t>
  </si>
  <si>
    <t>Jackelin Mishell</t>
  </si>
  <si>
    <t>Dávila Guzmán</t>
  </si>
  <si>
    <t>Katerin Marleni</t>
  </si>
  <si>
    <t>Díaz Santos</t>
  </si>
  <si>
    <t>Marcos Estuardo</t>
  </si>
  <si>
    <t>Flores Chan</t>
  </si>
  <si>
    <t>Marvin Rigoberto</t>
  </si>
  <si>
    <t>Gameros López</t>
  </si>
  <si>
    <t>Emma Betzabeth</t>
  </si>
  <si>
    <t>Gantes Morán</t>
  </si>
  <si>
    <t>Jessica Carolina</t>
  </si>
  <si>
    <t>Godínez Quino</t>
  </si>
  <si>
    <t>Joseline Araceli</t>
  </si>
  <si>
    <t>Gómez Romero</t>
  </si>
  <si>
    <t>Alisson Yaneth</t>
  </si>
  <si>
    <t>González Vasquez</t>
  </si>
  <si>
    <t>Kevin Emmanuel</t>
  </si>
  <si>
    <t>Jiménez Schula</t>
  </si>
  <si>
    <t>Yiannis Alexander Benito</t>
  </si>
  <si>
    <t>Larios Sanun</t>
  </si>
  <si>
    <t>Brandon Miguel</t>
  </si>
  <si>
    <t>Lemus Martínez</t>
  </si>
  <si>
    <t>Sandra Elizabeth</t>
  </si>
  <si>
    <t>López Cuyuch</t>
  </si>
  <si>
    <t>Gabriela Judith</t>
  </si>
  <si>
    <t>López Díaz</t>
  </si>
  <si>
    <t>Joseline Maritza</t>
  </si>
  <si>
    <t>Blanca Yenenia</t>
  </si>
  <si>
    <t>Marroquin Caracún</t>
  </si>
  <si>
    <t>Kevin Rogelio</t>
  </si>
  <si>
    <t>Meda Batz</t>
  </si>
  <si>
    <t>Jorge Luis</t>
  </si>
  <si>
    <t>Méndez García</t>
  </si>
  <si>
    <t>Rubidia Judith</t>
  </si>
  <si>
    <t>Méndez Jiménez</t>
  </si>
  <si>
    <t>María Mishell</t>
  </si>
  <si>
    <t>Ortíz Morales</t>
  </si>
  <si>
    <t>Pixtún García</t>
  </si>
  <si>
    <t>Gladis Mariela</t>
  </si>
  <si>
    <t>Reyes Garcia</t>
  </si>
  <si>
    <t>Sara Ester</t>
  </si>
  <si>
    <t>Jonathan Adán</t>
  </si>
  <si>
    <t>Sagastume Orellana</t>
  </si>
  <si>
    <t>erick Ivan</t>
  </si>
  <si>
    <t>Vicente Pastor</t>
  </si>
  <si>
    <t>Erick Fabian</t>
  </si>
  <si>
    <t>Aguilar Godoy</t>
  </si>
  <si>
    <t>Gloria Estefana</t>
  </si>
  <si>
    <t>Alvarado Xot</t>
  </si>
  <si>
    <t>Eva Elizabeth</t>
  </si>
  <si>
    <t>Alvizurez Pixtun</t>
  </si>
  <si>
    <t>Adner Antonio</t>
  </si>
  <si>
    <t>Soraida Lisseth</t>
  </si>
  <si>
    <t>Bercián Vásquez</t>
  </si>
  <si>
    <t>Mirzey Lorena</t>
  </si>
  <si>
    <t>Jaime Ottoniel</t>
  </si>
  <si>
    <t>Cabrera Lemus</t>
  </si>
  <si>
    <t>Marbin Daniel</t>
  </si>
  <si>
    <t>Canel Pérez</t>
  </si>
  <si>
    <t>Norma Amarilis</t>
  </si>
  <si>
    <t>Cotzajay Yoc</t>
  </si>
  <si>
    <t>Angelica Roxana</t>
  </si>
  <si>
    <t>Dávila López</t>
  </si>
  <si>
    <t>Secia Jemima</t>
  </si>
  <si>
    <t>Del Cid Méndez</t>
  </si>
  <si>
    <t>Juan José</t>
  </si>
  <si>
    <t>Díaz Suruy</t>
  </si>
  <si>
    <t>Wagner Abelardo</t>
  </si>
  <si>
    <t>Dubón Méndez</t>
  </si>
  <si>
    <t>Bielman Joel</t>
  </si>
  <si>
    <t>Esteban Gameros</t>
  </si>
  <si>
    <t>Hiedy Patricia</t>
  </si>
  <si>
    <t>Estrada Patzán</t>
  </si>
  <si>
    <t>Jorge Emanuel</t>
  </si>
  <si>
    <t>Garcia Aguilar</t>
  </si>
  <si>
    <t>Luis Adolfo</t>
  </si>
  <si>
    <t>Juan Mauricio</t>
  </si>
  <si>
    <t>González Gabriel</t>
  </si>
  <si>
    <t>López Hernández</t>
  </si>
  <si>
    <t>Ingrid Yesenia</t>
  </si>
  <si>
    <t>López Perez</t>
  </si>
  <si>
    <t>Máriel Fabiola</t>
  </si>
  <si>
    <t>Marroquin Pérez</t>
  </si>
  <si>
    <t>Pablo Roberto</t>
  </si>
  <si>
    <t>Mónica Teodora</t>
  </si>
  <si>
    <t>Morales Vásquez</t>
  </si>
  <si>
    <t>Alejandra Carolina</t>
  </si>
  <si>
    <t>Moralez Garcia</t>
  </si>
  <si>
    <t>Angel Estuardo</t>
  </si>
  <si>
    <t>Muñoz Yoc</t>
  </si>
  <si>
    <t>Marta Alicia</t>
  </si>
  <si>
    <t>Oliva De Paz</t>
  </si>
  <si>
    <t>Vidalia Esther</t>
  </si>
  <si>
    <t>Osorio Xitumul</t>
  </si>
  <si>
    <t>Edilma Lorena</t>
  </si>
  <si>
    <t>Pablo Galicia</t>
  </si>
  <si>
    <t>Jérlin Elisardo</t>
  </si>
  <si>
    <t>Pérez Moreno</t>
  </si>
  <si>
    <t>Jenifer Estefani</t>
  </si>
  <si>
    <t>Ramirez Martinez</t>
  </si>
  <si>
    <t>Jesús Alberto</t>
  </si>
  <si>
    <t>Revolorio Galindo</t>
  </si>
  <si>
    <t>Jhonathan Nectali</t>
  </si>
  <si>
    <t>Sarceño Escobar</t>
  </si>
  <si>
    <t>Sinay Caal</t>
  </si>
  <si>
    <t>Mynor Manfredo</t>
  </si>
  <si>
    <t>Soto Rosales</t>
  </si>
  <si>
    <t xml:space="preserve">Cindy Katherine </t>
  </si>
  <si>
    <t>Ana Patricia</t>
  </si>
  <si>
    <t>Vásquez Pérez</t>
  </si>
  <si>
    <t>Débora Priscila</t>
  </si>
  <si>
    <t>Ventura Huarcas</t>
  </si>
  <si>
    <t>Marta Leticia</t>
  </si>
  <si>
    <t>Zapeta Tipaz</t>
  </si>
  <si>
    <t>Gladys Aracely</t>
  </si>
  <si>
    <t>Ajuchan Ajuchan</t>
  </si>
  <si>
    <t>Walter Antonio</t>
  </si>
  <si>
    <t>Alvarez Linares</t>
  </si>
  <si>
    <t>Alma Esmeralda</t>
  </si>
  <si>
    <t>Arana Alquijay</t>
  </si>
  <si>
    <t>Brandon Alexis</t>
  </si>
  <si>
    <t>Arias Muralles</t>
  </si>
  <si>
    <t>Marliz Analy</t>
  </si>
  <si>
    <t>Avila Puac</t>
  </si>
  <si>
    <t>Carolina</t>
  </si>
  <si>
    <t>Bac Pérez</t>
  </si>
  <si>
    <t>Fidelina Idalia</t>
  </si>
  <si>
    <t>Cardona Zacarias</t>
  </si>
  <si>
    <t>Kelly Yesenia</t>
  </si>
  <si>
    <t>Carías</t>
  </si>
  <si>
    <t>Nancy Aracely</t>
  </si>
  <si>
    <t>Cirin Fajardo</t>
  </si>
  <si>
    <t>Luis Alberto</t>
  </si>
  <si>
    <t>Chicaj Pérez</t>
  </si>
  <si>
    <t xml:space="preserve">David Abraham </t>
  </si>
  <si>
    <t>Choppen Sarceño</t>
  </si>
  <si>
    <t>Darwin Noe</t>
  </si>
  <si>
    <t>Domingo Aguilar</t>
  </si>
  <si>
    <t xml:space="preserve">Wilson Leonel </t>
  </si>
  <si>
    <t>Dubon Pirir</t>
  </si>
  <si>
    <t>Brayan Spencer</t>
  </si>
  <si>
    <t>Garcia Rivera</t>
  </si>
  <si>
    <t>Katherin Vanessa</t>
  </si>
  <si>
    <t>Godoy Vasquez</t>
  </si>
  <si>
    <t>Julio Cesar</t>
  </si>
  <si>
    <t>Gómez Mejia</t>
  </si>
  <si>
    <t>Fredy Alberto</t>
  </si>
  <si>
    <t>González Bran</t>
  </si>
  <si>
    <t>Kimberley Julissa</t>
  </si>
  <si>
    <t>González Hernández</t>
  </si>
  <si>
    <t>Hernández Alvarez</t>
  </si>
  <si>
    <t>Hernández Lopez</t>
  </si>
  <si>
    <t>Evelyn Yoexana</t>
  </si>
  <si>
    <t>Lòpez Miguel</t>
  </si>
  <si>
    <t>Martha Lorena</t>
  </si>
  <si>
    <t>Marroquin Caracun</t>
  </si>
  <si>
    <t>Hector Estuardo</t>
  </si>
  <si>
    <t>Marroquin Rodriguez</t>
  </si>
  <si>
    <t>Adrian</t>
  </si>
  <si>
    <t>Morales Maldonado</t>
  </si>
  <si>
    <t>Miriam Lorena</t>
  </si>
  <si>
    <t>Pacajoj Xúm</t>
  </si>
  <si>
    <t>Claudia Verónica</t>
  </si>
  <si>
    <t>Patzán Sicán</t>
  </si>
  <si>
    <t>Jerson Josue</t>
  </si>
  <si>
    <t>Pérez García</t>
  </si>
  <si>
    <t>Fardy Mayén</t>
  </si>
  <si>
    <t>Pérez Miranda</t>
  </si>
  <si>
    <t>Geiman Giovanni</t>
  </si>
  <si>
    <t>Pérez Tomás</t>
  </si>
  <si>
    <t>Winder Mardoqueo</t>
  </si>
  <si>
    <t>Pineda de León</t>
  </si>
  <si>
    <t xml:space="preserve">Edwin Ardany </t>
  </si>
  <si>
    <t>Ramírez Chavez</t>
  </si>
  <si>
    <t>Carolina Beatriz</t>
  </si>
  <si>
    <t>Rivera Najarro</t>
  </si>
  <si>
    <t>Jefri Alexander</t>
  </si>
  <si>
    <t>Santos Alvarez</t>
  </si>
  <si>
    <t>Dilian Amariliz</t>
  </si>
  <si>
    <t>Sontay Vicente</t>
  </si>
  <si>
    <t>Lorenzo</t>
  </si>
  <si>
    <t>Tamup Pérez</t>
  </si>
  <si>
    <t>Cecilia Esmeralda</t>
  </si>
  <si>
    <t>Vásquez Perez</t>
  </si>
  <si>
    <t>Jaqueline Alejandra</t>
  </si>
  <si>
    <t>Vásquez Santiago</t>
  </si>
  <si>
    <t>Mayrer Arely</t>
  </si>
  <si>
    <t>Villegas López</t>
  </si>
  <si>
    <t>Tania Katherine</t>
  </si>
  <si>
    <t>Alvarado Iquité</t>
  </si>
  <si>
    <t>xAstrid Carolina</t>
  </si>
  <si>
    <t>Barillas Arevalo</t>
  </si>
  <si>
    <t>Brenda Jeannette</t>
  </si>
  <si>
    <t>Verónica Azucena</t>
  </si>
  <si>
    <t>Chávez</t>
  </si>
  <si>
    <t>Bárbara Marisol</t>
  </si>
  <si>
    <t>Díaz Toledo</t>
  </si>
  <si>
    <t>Ayra Martha María</t>
  </si>
  <si>
    <t>García Alvarado</t>
  </si>
  <si>
    <t>Sindy Karina</t>
  </si>
  <si>
    <t>Lorenzo Yoc</t>
  </si>
  <si>
    <t>Carla Nohemi</t>
  </si>
  <si>
    <t>Martínez Martínez</t>
  </si>
  <si>
    <t>Cristina</t>
  </si>
  <si>
    <t>Noj Pirir</t>
  </si>
  <si>
    <t>Glendy Lissett</t>
  </si>
  <si>
    <t>Pineda Villatoro</t>
  </si>
  <si>
    <t>Ramírez Hernández</t>
  </si>
  <si>
    <t xml:space="preserve">Yessica Liseth </t>
  </si>
  <si>
    <t>Sical Valdez</t>
  </si>
  <si>
    <t>Ingrid Roxana</t>
  </si>
  <si>
    <t>Soch Tash</t>
  </si>
  <si>
    <t>María Angelina</t>
  </si>
  <si>
    <t>Yoc Patzán</t>
  </si>
  <si>
    <t>Wendy Gabriela</t>
  </si>
  <si>
    <t>Wilmer Alejandro</t>
  </si>
  <si>
    <t>Balcarcel Marroquin</t>
  </si>
  <si>
    <t>Katheryne Dayana</t>
  </si>
  <si>
    <t>Barrios de León</t>
  </si>
  <si>
    <t>Mildred Samara</t>
  </si>
  <si>
    <t>Carrillo López</t>
  </si>
  <si>
    <t>Kimberly Anally</t>
  </si>
  <si>
    <t>Conde Silvestre</t>
  </si>
  <si>
    <t>Abner Jonathan</t>
  </si>
  <si>
    <t>Chávez García</t>
  </si>
  <si>
    <t>Chavez García</t>
  </si>
  <si>
    <t>Julio Alfredo</t>
  </si>
  <si>
    <t>Alma Lorena</t>
  </si>
  <si>
    <t>Chicoj López</t>
  </si>
  <si>
    <t>Yaritza Sucely</t>
  </si>
  <si>
    <t>Domingo Domingo</t>
  </si>
  <si>
    <t>Nely Fernanda</t>
  </si>
  <si>
    <t>Elías Guite</t>
  </si>
  <si>
    <t>Eva Liliana</t>
  </si>
  <si>
    <t>Fajardo Ajbal</t>
  </si>
  <si>
    <t>Kevin Orlando</t>
  </si>
  <si>
    <t>Galicia Ralda</t>
  </si>
  <si>
    <t>Devin Enrique</t>
  </si>
  <si>
    <t>Gálvez Florián</t>
  </si>
  <si>
    <t>Candy María de los Angeles</t>
  </si>
  <si>
    <t>García García</t>
  </si>
  <si>
    <t>Claudia Elizabeth</t>
  </si>
  <si>
    <t>Garcia Ruiz</t>
  </si>
  <si>
    <t>Gerson Ariel</t>
  </si>
  <si>
    <t>Gómez Hernández</t>
  </si>
  <si>
    <t>Mishel Alejandra</t>
  </si>
  <si>
    <t>Gómez Pérez</t>
  </si>
  <si>
    <t>Ruth Nohemy</t>
  </si>
  <si>
    <t>Gomez Zapet</t>
  </si>
  <si>
    <t>Velvet Karina</t>
  </si>
  <si>
    <t>Guevara Gómez</t>
  </si>
  <si>
    <t>Angélica Judith</t>
  </si>
  <si>
    <t>Guzmán Mejía</t>
  </si>
  <si>
    <t>Jorge Alexander</t>
  </si>
  <si>
    <t>Lemus Rodas</t>
  </si>
  <si>
    <t>Alicia Maribel</t>
  </si>
  <si>
    <t>Maylin Noemi</t>
  </si>
  <si>
    <t>Martínez Maz</t>
  </si>
  <si>
    <t xml:space="preserve">Sigrid Ludvinia </t>
  </si>
  <si>
    <t>Méndez Méndez</t>
  </si>
  <si>
    <t>Jennifer Elena</t>
  </si>
  <si>
    <t>Morales Barillas</t>
  </si>
  <si>
    <t>José Francisco</t>
  </si>
  <si>
    <t>Morales Márquez</t>
  </si>
  <si>
    <t>Alma Yanira</t>
  </si>
  <si>
    <t>Morales Morales</t>
  </si>
  <si>
    <t>Katerin Alejandrina</t>
  </si>
  <si>
    <t>Morales Pérez</t>
  </si>
  <si>
    <t>Elser Geovany</t>
  </si>
  <si>
    <t>Morales Tubes</t>
  </si>
  <si>
    <t>Katherinne Patricia</t>
  </si>
  <si>
    <t>Morales</t>
  </si>
  <si>
    <t>Luz María de Jesús</t>
  </si>
  <si>
    <t>Patzán Bercian</t>
  </si>
  <si>
    <t>Ancelmo Ottoniel</t>
  </si>
  <si>
    <t>Patzán Coz</t>
  </si>
  <si>
    <t>Mario Arnoldo de Jesús</t>
  </si>
  <si>
    <t>Iliana Eunice</t>
  </si>
  <si>
    <t>Patzán Lancerio</t>
  </si>
  <si>
    <t>Katerin Escarlett</t>
  </si>
  <si>
    <t>Pérez</t>
  </si>
  <si>
    <t xml:space="preserve">Leybi Mariza </t>
  </si>
  <si>
    <t>Elieser Leonel</t>
  </si>
  <si>
    <t>Quiná Perén</t>
  </si>
  <si>
    <t>María Abigaíl</t>
  </si>
  <si>
    <t>Ramírez Godoy</t>
  </si>
  <si>
    <t>Sandra Arelis</t>
  </si>
  <si>
    <t>Jonathan José</t>
  </si>
  <si>
    <t>Ramirez Rodríguez</t>
  </si>
  <si>
    <t>Josue Isaias</t>
  </si>
  <si>
    <t>Reyes Aguaré</t>
  </si>
  <si>
    <t>Julio Alejandro</t>
  </si>
  <si>
    <t>Reyes Morataya</t>
  </si>
  <si>
    <t>Andrea Dulce Rocio</t>
  </si>
  <si>
    <t>Rivera Mes</t>
  </si>
  <si>
    <t>Marco Antonio</t>
  </si>
  <si>
    <t>Rodríguez Hernández</t>
  </si>
  <si>
    <t>Maria Yolanda</t>
  </si>
  <si>
    <t>Serech Par</t>
  </si>
  <si>
    <t>Nancy Fabiola</t>
  </si>
  <si>
    <t xml:space="preserve">Lesly Lissette </t>
  </si>
  <si>
    <t>Tezén Meléndez</t>
  </si>
  <si>
    <t>Sandra Adalí</t>
  </si>
  <si>
    <t>Torres Pelaez</t>
  </si>
  <si>
    <t>cod_mineduc</t>
  </si>
  <si>
    <t>nombres_alumnos</t>
  </si>
  <si>
    <t>apellidos_alumnos</t>
  </si>
  <si>
    <t>fecha_nacimiento</t>
  </si>
  <si>
    <t>genero</t>
  </si>
  <si>
    <t>edad</t>
  </si>
  <si>
    <t>dpi</t>
  </si>
  <si>
    <t>tel_casa</t>
  </si>
  <si>
    <t>cell</t>
  </si>
  <si>
    <t>direccion_alumnos</t>
  </si>
  <si>
    <t>estatus_mineduc</t>
  </si>
  <si>
    <t>categoria</t>
  </si>
  <si>
    <t>fecha_enrrolled</t>
  </si>
  <si>
    <t>estatus_grd_anterior</t>
  </si>
  <si>
    <t>promover_a</t>
  </si>
  <si>
    <t>es_nuevo_ingreso</t>
  </si>
  <si>
    <t>id_a_grados</t>
  </si>
  <si>
    <t>id_a_secciones</t>
  </si>
  <si>
    <t>id_a_carreras</t>
  </si>
  <si>
    <t>id_a_establecimientos</t>
  </si>
  <si>
    <t>pending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</si>
</sst>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123825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3" name="2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123825</xdr:colOff>
      <xdr:row>1</xdr:row>
      <xdr:rowOff>590550</xdr:rowOff>
    </xdr:from>
    <xdr:ext cx="184731" cy="264560"/>
    <xdr:sp macro="" textlink="">
      <xdr:nvSpPr>
        <xdr:cNvPr id="4" name="3 CuadroTexto"/>
        <xdr:cNvSpPr txBox="1"/>
      </xdr:nvSpPr>
      <xdr:spPr>
        <a:xfrm>
          <a:off x="123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theme="9" tint="-0.249977111117893"/>
  </sheetPr>
  <dimension ref="A1:T33"/>
  <sheetViews>
    <sheetView tabSelected="1" showWhiteSpace="0" topLeftCell="L1" workbookViewId="0">
      <selection activeCell="Q2" sqref="Q2:T33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2.57031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1</v>
      </c>
      <c r="C2" s="1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>
        <v>3</v>
      </c>
      <c r="R2" s="3">
        <v>5</v>
      </c>
      <c r="S2" s="3">
        <v>2</v>
      </c>
      <c r="T2" s="3">
        <v>1</v>
      </c>
    </row>
    <row r="3" spans="1:20">
      <c r="A3" s="4" t="s">
        <v>843</v>
      </c>
      <c r="B3" s="1" t="s">
        <v>3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>
        <v>3</v>
      </c>
      <c r="R3" s="3">
        <v>5</v>
      </c>
      <c r="S3" s="3">
        <v>2</v>
      </c>
      <c r="T3" s="3">
        <v>1</v>
      </c>
    </row>
    <row r="4" spans="1:20">
      <c r="A4" s="4" t="s">
        <v>843</v>
      </c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v>3</v>
      </c>
      <c r="R4" s="3">
        <v>5</v>
      </c>
      <c r="S4" s="3">
        <v>2</v>
      </c>
      <c r="T4" s="3">
        <v>1</v>
      </c>
    </row>
    <row r="5" spans="1:20">
      <c r="A5" s="4" t="s">
        <v>843</v>
      </c>
      <c r="B5" s="1" t="s">
        <v>7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v>3</v>
      </c>
      <c r="R5" s="3">
        <v>5</v>
      </c>
      <c r="S5" s="3">
        <v>2</v>
      </c>
      <c r="T5" s="3">
        <v>1</v>
      </c>
    </row>
    <row r="6" spans="1:20">
      <c r="A6" s="4" t="s">
        <v>843</v>
      </c>
      <c r="B6" s="1" t="s">
        <v>10</v>
      </c>
      <c r="C6" s="1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v>3</v>
      </c>
      <c r="R6" s="3">
        <v>5</v>
      </c>
      <c r="S6" s="3">
        <v>2</v>
      </c>
      <c r="T6" s="3">
        <v>1</v>
      </c>
    </row>
    <row r="7" spans="1:20">
      <c r="A7" s="4" t="s">
        <v>843</v>
      </c>
      <c r="B7" s="1" t="s">
        <v>11</v>
      </c>
      <c r="C7" s="1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v>3</v>
      </c>
      <c r="R7" s="3">
        <v>5</v>
      </c>
      <c r="S7" s="3">
        <v>2</v>
      </c>
      <c r="T7" s="3">
        <v>1</v>
      </c>
    </row>
    <row r="8" spans="1:20">
      <c r="A8" s="4" t="s">
        <v>843</v>
      </c>
      <c r="B8" s="1" t="s">
        <v>13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">
        <v>3</v>
      </c>
      <c r="R8" s="3">
        <v>5</v>
      </c>
      <c r="S8" s="3">
        <v>2</v>
      </c>
      <c r="T8" s="3">
        <v>1</v>
      </c>
    </row>
    <row r="9" spans="1:20">
      <c r="A9" s="4" t="s">
        <v>843</v>
      </c>
      <c r="B9" s="1" t="s">
        <v>15</v>
      </c>
      <c r="C9" s="1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">
        <v>3</v>
      </c>
      <c r="R9" s="3">
        <v>5</v>
      </c>
      <c r="S9" s="3">
        <v>2</v>
      </c>
      <c r="T9" s="3">
        <v>1</v>
      </c>
    </row>
    <row r="10" spans="1:20">
      <c r="A10" s="4" t="s">
        <v>843</v>
      </c>
      <c r="B10" s="1" t="s">
        <v>17</v>
      </c>
      <c r="C10" s="1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">
        <v>3</v>
      </c>
      <c r="R10" s="3">
        <v>5</v>
      </c>
      <c r="S10" s="3">
        <v>2</v>
      </c>
      <c r="T10" s="3">
        <v>1</v>
      </c>
    </row>
    <row r="11" spans="1:20">
      <c r="A11" s="4" t="s">
        <v>843</v>
      </c>
      <c r="B11" s="1" t="s">
        <v>19</v>
      </c>
      <c r="C11" s="1" t="s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">
        <v>3</v>
      </c>
      <c r="R11" s="3">
        <v>5</v>
      </c>
      <c r="S11" s="3">
        <v>2</v>
      </c>
      <c r="T11" s="3">
        <v>1</v>
      </c>
    </row>
    <row r="12" spans="1:20">
      <c r="A12" s="4" t="s">
        <v>843</v>
      </c>
      <c r="B12" s="1" t="s">
        <v>21</v>
      </c>
      <c r="C12" s="1" t="s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>
        <v>3</v>
      </c>
      <c r="R12" s="3">
        <v>5</v>
      </c>
      <c r="S12" s="3">
        <v>2</v>
      </c>
      <c r="T12" s="3">
        <v>1</v>
      </c>
    </row>
    <row r="13" spans="1:20">
      <c r="A13" s="4" t="s">
        <v>843</v>
      </c>
      <c r="B13" s="1" t="s">
        <v>23</v>
      </c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>
        <v>3</v>
      </c>
      <c r="R13" s="3">
        <v>5</v>
      </c>
      <c r="S13" s="3">
        <v>2</v>
      </c>
      <c r="T13" s="3">
        <v>1</v>
      </c>
    </row>
    <row r="14" spans="1:20">
      <c r="A14" s="4" t="s">
        <v>843</v>
      </c>
      <c r="B14" s="1" t="s">
        <v>25</v>
      </c>
      <c r="C14" s="1" t="s">
        <v>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v>3</v>
      </c>
      <c r="R14" s="3">
        <v>5</v>
      </c>
      <c r="S14" s="3">
        <v>2</v>
      </c>
      <c r="T14" s="3">
        <v>1</v>
      </c>
    </row>
    <row r="15" spans="1:20">
      <c r="A15" s="4" t="s">
        <v>843</v>
      </c>
      <c r="B15" s="1" t="s">
        <v>27</v>
      </c>
      <c r="C15" s="1" t="s">
        <v>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v>3</v>
      </c>
      <c r="R15" s="3">
        <v>5</v>
      </c>
      <c r="S15" s="3">
        <v>2</v>
      </c>
      <c r="T15" s="3">
        <v>1</v>
      </c>
    </row>
    <row r="16" spans="1:20">
      <c r="A16" s="4" t="s">
        <v>843</v>
      </c>
      <c r="B16" s="1" t="s">
        <v>29</v>
      </c>
      <c r="C16" s="1" t="s">
        <v>30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v>3</v>
      </c>
      <c r="R16" s="3">
        <v>5</v>
      </c>
      <c r="S16" s="3">
        <v>2</v>
      </c>
      <c r="T16" s="3">
        <v>1</v>
      </c>
    </row>
    <row r="17" spans="1:20">
      <c r="A17" s="4" t="s">
        <v>843</v>
      </c>
      <c r="B17" s="1" t="s">
        <v>31</v>
      </c>
      <c r="C17" s="1" t="s">
        <v>32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>
        <v>3</v>
      </c>
      <c r="R17" s="3">
        <v>5</v>
      </c>
      <c r="S17" s="3">
        <v>2</v>
      </c>
      <c r="T17" s="3">
        <v>1</v>
      </c>
    </row>
    <row r="18" spans="1:20">
      <c r="A18" s="4" t="s">
        <v>843</v>
      </c>
      <c r="B18" s="1" t="s">
        <v>33</v>
      </c>
      <c r="C18" s="1" t="s">
        <v>34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>
        <v>3</v>
      </c>
      <c r="R18" s="3">
        <v>5</v>
      </c>
      <c r="S18" s="3">
        <v>2</v>
      </c>
      <c r="T18" s="3">
        <v>1</v>
      </c>
    </row>
    <row r="19" spans="1:20">
      <c r="A19" s="4" t="s">
        <v>843</v>
      </c>
      <c r="B19" s="1" t="s">
        <v>35</v>
      </c>
      <c r="C19" s="1" t="s">
        <v>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>
        <v>3</v>
      </c>
      <c r="R19" s="3">
        <v>5</v>
      </c>
      <c r="S19" s="3">
        <v>2</v>
      </c>
      <c r="T19" s="3">
        <v>1</v>
      </c>
    </row>
    <row r="20" spans="1:20">
      <c r="A20" s="4" t="s">
        <v>843</v>
      </c>
      <c r="B20" s="1" t="s">
        <v>37</v>
      </c>
      <c r="C20" s="1" t="s">
        <v>38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>
        <v>3</v>
      </c>
      <c r="R20" s="3">
        <v>5</v>
      </c>
      <c r="S20" s="3">
        <v>2</v>
      </c>
      <c r="T20" s="3">
        <v>1</v>
      </c>
    </row>
    <row r="21" spans="1:20">
      <c r="A21" s="4" t="s">
        <v>843</v>
      </c>
      <c r="B21" s="1" t="s">
        <v>39</v>
      </c>
      <c r="C21" s="1" t="s">
        <v>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v>3</v>
      </c>
      <c r="R21" s="3">
        <v>5</v>
      </c>
      <c r="S21" s="3">
        <v>2</v>
      </c>
      <c r="T21" s="3">
        <v>1</v>
      </c>
    </row>
    <row r="22" spans="1:20">
      <c r="A22" s="4" t="s">
        <v>843</v>
      </c>
      <c r="B22" s="1" t="s">
        <v>41</v>
      </c>
      <c r="C22" s="1" t="s">
        <v>42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v>3</v>
      </c>
      <c r="R22" s="3">
        <v>5</v>
      </c>
      <c r="S22" s="3">
        <v>2</v>
      </c>
      <c r="T22" s="3">
        <v>1</v>
      </c>
    </row>
    <row r="23" spans="1:20">
      <c r="A23" s="4" t="s">
        <v>843</v>
      </c>
      <c r="B23" s="1" t="s">
        <v>43</v>
      </c>
      <c r="C23" s="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v>3</v>
      </c>
      <c r="R23" s="3">
        <v>5</v>
      </c>
      <c r="S23" s="3">
        <v>2</v>
      </c>
      <c r="T23" s="3">
        <v>1</v>
      </c>
    </row>
    <row r="24" spans="1:20">
      <c r="A24" s="4" t="s">
        <v>843</v>
      </c>
      <c r="B24" s="1" t="s">
        <v>45</v>
      </c>
      <c r="C24" s="1" t="s">
        <v>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v>3</v>
      </c>
      <c r="R24" s="3">
        <v>5</v>
      </c>
      <c r="S24" s="3">
        <v>2</v>
      </c>
      <c r="T24" s="3">
        <v>1</v>
      </c>
    </row>
    <row r="25" spans="1:20">
      <c r="A25" s="4" t="s">
        <v>843</v>
      </c>
      <c r="B25" s="1" t="s">
        <v>47</v>
      </c>
      <c r="C25" s="1" t="s">
        <v>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">
        <v>3</v>
      </c>
      <c r="R25" s="3">
        <v>5</v>
      </c>
      <c r="S25" s="3">
        <v>2</v>
      </c>
      <c r="T25" s="3">
        <v>1</v>
      </c>
    </row>
    <row r="26" spans="1:20">
      <c r="A26" s="4" t="s">
        <v>843</v>
      </c>
      <c r="B26" s="1" t="s">
        <v>49</v>
      </c>
      <c r="C26" s="1" t="s">
        <v>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">
        <v>3</v>
      </c>
      <c r="R26" s="3">
        <v>5</v>
      </c>
      <c r="S26" s="3">
        <v>2</v>
      </c>
      <c r="T26" s="3">
        <v>1</v>
      </c>
    </row>
    <row r="27" spans="1:20">
      <c r="A27" s="4" t="s">
        <v>843</v>
      </c>
      <c r="B27" s="1" t="s">
        <v>51</v>
      </c>
      <c r="C27" s="1" t="s">
        <v>52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>
        <v>3</v>
      </c>
      <c r="R27" s="3">
        <v>5</v>
      </c>
      <c r="S27" s="3">
        <v>2</v>
      </c>
      <c r="T27" s="3">
        <v>1</v>
      </c>
    </row>
    <row r="28" spans="1:20">
      <c r="A28" s="4" t="s">
        <v>843</v>
      </c>
      <c r="B28" s="1" t="s">
        <v>53</v>
      </c>
      <c r="C28" s="1" t="s">
        <v>54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>
        <v>3</v>
      </c>
      <c r="R28" s="3">
        <v>5</v>
      </c>
      <c r="S28" s="3">
        <v>2</v>
      </c>
      <c r="T28" s="3">
        <v>1</v>
      </c>
    </row>
    <row r="29" spans="1:20">
      <c r="A29" s="4" t="s">
        <v>843</v>
      </c>
      <c r="B29" s="1" t="s">
        <v>55</v>
      </c>
      <c r="C29" s="1" t="s">
        <v>56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v>3</v>
      </c>
      <c r="R29" s="3">
        <v>5</v>
      </c>
      <c r="S29" s="3">
        <v>2</v>
      </c>
      <c r="T29" s="3">
        <v>1</v>
      </c>
    </row>
    <row r="30" spans="1:20">
      <c r="A30" s="4" t="s">
        <v>843</v>
      </c>
      <c r="B30" s="1" t="s">
        <v>57</v>
      </c>
      <c r="C30" s="1" t="s">
        <v>58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v>3</v>
      </c>
      <c r="R30" s="3">
        <v>5</v>
      </c>
      <c r="S30" s="3">
        <v>2</v>
      </c>
      <c r="T30" s="3">
        <v>1</v>
      </c>
    </row>
    <row r="31" spans="1:20">
      <c r="A31" s="4" t="s">
        <v>843</v>
      </c>
      <c r="B31" s="1" t="s">
        <v>59</v>
      </c>
      <c r="C31" s="1" t="s">
        <v>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3">
        <v>3</v>
      </c>
      <c r="R31" s="3">
        <v>5</v>
      </c>
      <c r="S31" s="3">
        <v>2</v>
      </c>
      <c r="T31" s="3">
        <v>1</v>
      </c>
    </row>
    <row r="32" spans="1:20">
      <c r="A32" s="4" t="s">
        <v>843</v>
      </c>
      <c r="B32" s="1" t="s">
        <v>61</v>
      </c>
      <c r="C32" s="1" t="s">
        <v>62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3">
        <v>3</v>
      </c>
      <c r="R32" s="3">
        <v>5</v>
      </c>
      <c r="S32" s="3">
        <v>2</v>
      </c>
      <c r="T32" s="3">
        <v>1</v>
      </c>
    </row>
    <row r="33" spans="1:20">
      <c r="A33" s="4" t="s">
        <v>843</v>
      </c>
      <c r="B33" s="1" t="s">
        <v>63</v>
      </c>
      <c r="C33" s="1" t="s">
        <v>64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>
        <v>3</v>
      </c>
      <c r="R33" s="3">
        <v>5</v>
      </c>
      <c r="S33" s="3">
        <v>2</v>
      </c>
      <c r="T33" s="3">
        <v>1</v>
      </c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8">
    <tabColor theme="8" tint="-0.249977111117893"/>
  </sheetPr>
  <dimension ref="A1:T29"/>
  <sheetViews>
    <sheetView showWhiteSpace="0" topLeftCell="A19" workbookViewId="0">
      <selection activeCell="A30" sqref="A30:XFD48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.57031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512</v>
      </c>
      <c r="C2" s="1" t="s">
        <v>458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513</v>
      </c>
      <c r="C3" s="1" t="s">
        <v>514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515</v>
      </c>
      <c r="C4" s="1" t="s">
        <v>516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517</v>
      </c>
      <c r="C5" s="1" t="s">
        <v>518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519</v>
      </c>
      <c r="C6" s="1" t="s">
        <v>520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521</v>
      </c>
      <c r="C7" s="1" t="s">
        <v>522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523</v>
      </c>
      <c r="C8" s="1" t="s">
        <v>524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525</v>
      </c>
      <c r="C9" s="1" t="s">
        <v>526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527</v>
      </c>
      <c r="C10" s="1" t="s">
        <v>528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529</v>
      </c>
      <c r="C11" s="1" t="s">
        <v>530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531</v>
      </c>
      <c r="C12" s="1" t="s">
        <v>532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533</v>
      </c>
      <c r="C13" s="1" t="s">
        <v>534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535</v>
      </c>
      <c r="C14" s="1" t="s">
        <v>536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537</v>
      </c>
      <c r="C15" s="1" t="s">
        <v>538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539</v>
      </c>
      <c r="C16" s="1" t="s">
        <v>540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541</v>
      </c>
      <c r="C17" s="1" t="s">
        <v>542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543</v>
      </c>
      <c r="C18" s="1" t="s">
        <v>544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545</v>
      </c>
      <c r="C19" s="1" t="s">
        <v>267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546</v>
      </c>
      <c r="C20" s="1" t="s">
        <v>547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548</v>
      </c>
      <c r="C21" s="1" t="s">
        <v>549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550</v>
      </c>
      <c r="C22" s="1" t="s">
        <v>551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552</v>
      </c>
      <c r="C23" s="1" t="s">
        <v>553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554</v>
      </c>
      <c r="C24" s="1" t="s">
        <v>555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371</v>
      </c>
      <c r="C25" s="1" t="s">
        <v>556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557</v>
      </c>
      <c r="C26" s="1" t="s">
        <v>558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559</v>
      </c>
      <c r="C27" s="1" t="s">
        <v>509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560</v>
      </c>
      <c r="C28" s="1" t="s">
        <v>561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562</v>
      </c>
      <c r="C29" s="1" t="s">
        <v>563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>
    <tabColor rgb="FF00B0F0"/>
  </sheetPr>
  <dimension ref="A1:T38"/>
  <sheetViews>
    <sheetView showWhiteSpace="0" topLeftCell="A19" workbookViewId="0">
      <selection activeCell="A39" sqref="A39:XFD46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2.710937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635</v>
      </c>
      <c r="C2" s="1" t="s">
        <v>636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637</v>
      </c>
      <c r="C3" s="1" t="s">
        <v>638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639</v>
      </c>
      <c r="C4" s="1" t="s">
        <v>640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641</v>
      </c>
      <c r="C5" s="1" t="s">
        <v>642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643</v>
      </c>
      <c r="C6" s="1" t="s">
        <v>644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645</v>
      </c>
      <c r="C7" s="1" t="s">
        <v>646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647</v>
      </c>
      <c r="C8" s="1" t="s">
        <v>648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649</v>
      </c>
      <c r="C9" s="1" t="s">
        <v>650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651</v>
      </c>
      <c r="C10" s="1" t="s">
        <v>652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653</v>
      </c>
      <c r="C11" s="1" t="s">
        <v>654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655</v>
      </c>
      <c r="C12" s="1" t="s">
        <v>656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657</v>
      </c>
      <c r="C13" s="1" t="s">
        <v>658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659</v>
      </c>
      <c r="C14" s="1" t="s">
        <v>660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661</v>
      </c>
      <c r="C15" s="1" t="s">
        <v>662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663</v>
      </c>
      <c r="C16" s="1" t="s">
        <v>664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665</v>
      </c>
      <c r="C17" s="1" t="s">
        <v>666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667</v>
      </c>
      <c r="C18" s="1" t="s">
        <v>668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244</v>
      </c>
      <c r="C19" s="1" t="s">
        <v>669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377</v>
      </c>
      <c r="C20" s="1" t="s">
        <v>670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671</v>
      </c>
      <c r="C21" s="1" t="s">
        <v>672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673</v>
      </c>
      <c r="C22" s="1" t="s">
        <v>674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675</v>
      </c>
      <c r="C23" s="1" t="s">
        <v>676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677</v>
      </c>
      <c r="C24" s="1" t="s">
        <v>678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679</v>
      </c>
      <c r="C25" s="1" t="s">
        <v>680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681</v>
      </c>
      <c r="C26" s="1" t="s">
        <v>682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683</v>
      </c>
      <c r="C27" s="1" t="s">
        <v>684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685</v>
      </c>
      <c r="C28" s="1" t="s">
        <v>686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687</v>
      </c>
      <c r="C29" s="1" t="s">
        <v>688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689</v>
      </c>
      <c r="C30" s="1" t="s">
        <v>690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691</v>
      </c>
      <c r="C31" s="1" t="s">
        <v>692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693</v>
      </c>
      <c r="C32" s="1" t="s">
        <v>694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695</v>
      </c>
      <c r="C33" s="1" t="s">
        <v>696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697</v>
      </c>
      <c r="C34" s="1" t="s">
        <v>698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699</v>
      </c>
      <c r="C35" s="1" t="s">
        <v>700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701</v>
      </c>
      <c r="C36" s="1" t="s">
        <v>702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703</v>
      </c>
      <c r="C37" s="1" t="s">
        <v>704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705</v>
      </c>
      <c r="C38" s="1" t="s">
        <v>706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>
    <tabColor rgb="FF00B0F0"/>
  </sheetPr>
  <dimension ref="A1:T50"/>
  <sheetViews>
    <sheetView showWhiteSpace="0" workbookViewId="0">
      <selection activeCell="A2" sqref="A2:A50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4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3" t="s">
        <v>733</v>
      </c>
      <c r="C2" s="3" t="s">
        <v>331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734</v>
      </c>
      <c r="C3" s="1" t="s">
        <v>735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736</v>
      </c>
      <c r="C4" s="1" t="s">
        <v>737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738</v>
      </c>
      <c r="C5" s="1" t="s">
        <v>739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740</v>
      </c>
      <c r="C6" s="1" t="s">
        <v>741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742</v>
      </c>
      <c r="C7" s="1" t="s">
        <v>743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627</v>
      </c>
      <c r="C8" s="1" t="s">
        <v>744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745</v>
      </c>
      <c r="C9" s="1" t="s">
        <v>713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746</v>
      </c>
      <c r="C10" s="1" t="s">
        <v>747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748</v>
      </c>
      <c r="C11" s="1" t="s">
        <v>749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750</v>
      </c>
      <c r="C12" s="1" t="s">
        <v>751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752</v>
      </c>
      <c r="C13" s="1" t="s">
        <v>753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754</v>
      </c>
      <c r="C14" s="1" t="s">
        <v>755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756</v>
      </c>
      <c r="C15" s="1" t="s">
        <v>757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758</v>
      </c>
      <c r="C16" s="1" t="s">
        <v>759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760</v>
      </c>
      <c r="C17" s="1" t="s">
        <v>761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762</v>
      </c>
      <c r="C18" s="1" t="s">
        <v>763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764</v>
      </c>
      <c r="C19" s="1" t="s">
        <v>765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766</v>
      </c>
      <c r="C20" s="1" t="s">
        <v>767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768</v>
      </c>
      <c r="C21" s="1" t="s">
        <v>769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770</v>
      </c>
      <c r="C22" s="1" t="s">
        <v>771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772</v>
      </c>
      <c r="C23" s="1" t="s">
        <v>773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774</v>
      </c>
      <c r="C24" s="1" t="s">
        <v>490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775</v>
      </c>
      <c r="C25" s="1" t="s">
        <v>776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777</v>
      </c>
      <c r="C26" s="1" t="s">
        <v>778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779</v>
      </c>
      <c r="C27" s="1" t="s">
        <v>780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781</v>
      </c>
      <c r="C28" s="1" t="s">
        <v>782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783</v>
      </c>
      <c r="C29" s="1" t="s">
        <v>784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785</v>
      </c>
      <c r="C30" s="1" t="s">
        <v>786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787</v>
      </c>
      <c r="C31" s="1" t="s">
        <v>788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789</v>
      </c>
      <c r="C32" s="1" t="s">
        <v>790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791</v>
      </c>
      <c r="C33" s="1" t="s">
        <v>792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793</v>
      </c>
      <c r="C34" s="1" t="s">
        <v>794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795</v>
      </c>
      <c r="C35" s="1" t="s">
        <v>794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796</v>
      </c>
      <c r="C36" s="1" t="s">
        <v>797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798</v>
      </c>
      <c r="C37" s="1" t="s">
        <v>799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800</v>
      </c>
      <c r="C38" s="1" t="s">
        <v>799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801</v>
      </c>
      <c r="C39" s="1" t="s">
        <v>802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803</v>
      </c>
      <c r="C40" s="1" t="s">
        <v>804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4" t="s">
        <v>843</v>
      </c>
      <c r="B41" s="1" t="s">
        <v>805</v>
      </c>
      <c r="C41" s="1" t="s">
        <v>450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843</v>
      </c>
      <c r="B42" s="1" t="s">
        <v>806</v>
      </c>
      <c r="C42" s="1" t="s">
        <v>807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4" t="s">
        <v>843</v>
      </c>
      <c r="B43" s="1" t="s">
        <v>808</v>
      </c>
      <c r="C43" s="1" t="s">
        <v>809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843</v>
      </c>
      <c r="B44" s="1" t="s">
        <v>810</v>
      </c>
      <c r="C44" s="1" t="s">
        <v>811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4" t="s">
        <v>843</v>
      </c>
      <c r="B45" s="1" t="s">
        <v>812</v>
      </c>
      <c r="C45" s="1" t="s">
        <v>813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4" t="s">
        <v>843</v>
      </c>
      <c r="B46" s="1" t="s">
        <v>814</v>
      </c>
      <c r="C46" s="1" t="s">
        <v>815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4" t="s">
        <v>843</v>
      </c>
      <c r="B47" s="1" t="s">
        <v>816</v>
      </c>
      <c r="C47" s="1" t="s">
        <v>817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4" t="s">
        <v>843</v>
      </c>
      <c r="B48" s="1" t="s">
        <v>818</v>
      </c>
      <c r="C48" s="1" t="s">
        <v>150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4" t="s">
        <v>843</v>
      </c>
      <c r="B49" s="1" t="s">
        <v>819</v>
      </c>
      <c r="C49" s="1" t="s">
        <v>820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4" t="s">
        <v>843</v>
      </c>
      <c r="B50" s="1" t="s">
        <v>821</v>
      </c>
      <c r="C50" s="1" t="s">
        <v>822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pageMargins left="0.23622047244094491" right="0.23622047244094491" top="0.74803149606299213" bottom="0.74803149606299213" header="0.31496062992125984" footer="0.31496062992125984"/>
  <pageSetup paperSize="5" scale="85" orientation="landscape" horizontalDpi="4294967294" verticalDpi="0" r:id="rId1"/>
  <customProperties>
    <customPr name="DVSECTIONID" r:id="rId2"/>
  </customPropertie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4"/>
  <dimension ref="A1:IV82"/>
  <sheetViews>
    <sheetView workbookViewId="0">
      <selection activeCell="GD7" sqref="GD7"/>
    </sheetView>
  </sheetViews>
  <sheetFormatPr baseColWidth="10" defaultRowHeight="15"/>
  <sheetData>
    <row r="1" spans="1:256">
      <c r="A1" t="e">
        <f>IF('4to. Secre.'!#REF!,"AAAAAHd7fQA=",0)</f>
        <v>#REF!</v>
      </c>
      <c r="B1" t="e">
        <f>AND('4to. Secre.'!#REF!,"AAAAAHd7fQE=")</f>
        <v>#REF!</v>
      </c>
      <c r="C1" t="e">
        <f>AND('4to. Secre.'!#REF!,"AAAAAHd7fQI=")</f>
        <v>#REF!</v>
      </c>
      <c r="D1" t="e">
        <f>AND('4to. Secre.'!#REF!,"AAAAAHd7fQM=")</f>
        <v>#REF!</v>
      </c>
      <c r="E1" t="e">
        <f>AND('4to. Secre.'!#REF!,"AAAAAHd7fQQ=")</f>
        <v>#REF!</v>
      </c>
      <c r="F1" t="e">
        <f>AND('4to. Secre.'!#REF!,"AAAAAHd7fQU=")</f>
        <v>#REF!</v>
      </c>
      <c r="G1" t="e">
        <f>AND('4to. Secre.'!#REF!,"AAAAAHd7fQY=")</f>
        <v>#REF!</v>
      </c>
      <c r="H1" t="e">
        <f>AND('4to. Secre.'!#REF!,"AAAAAHd7fQc=")</f>
        <v>#REF!</v>
      </c>
      <c r="I1" t="e">
        <f>AND('4to. Secre.'!#REF!,"AAAAAHd7fQg=")</f>
        <v>#REF!</v>
      </c>
      <c r="J1" t="e">
        <f>AND('4to. Secre.'!#REF!,"AAAAAHd7fQk=")</f>
        <v>#REF!</v>
      </c>
      <c r="K1" t="e">
        <f>AND('4to. Secre.'!#REF!,"AAAAAHd7fQo=")</f>
        <v>#REF!</v>
      </c>
      <c r="L1" t="e">
        <f>AND('4to. Secre.'!#REF!,"AAAAAHd7fQs=")</f>
        <v>#REF!</v>
      </c>
      <c r="M1" t="e">
        <f>AND('4to. Secre.'!#REF!,"AAAAAHd7fQw=")</f>
        <v>#REF!</v>
      </c>
      <c r="N1" t="e">
        <f>AND('4to. Secre.'!#REF!,"AAAAAHd7fQ0=")</f>
        <v>#REF!</v>
      </c>
      <c r="O1" t="e">
        <f>AND('4to. Secre.'!#REF!,"AAAAAHd7fQ4=")</f>
        <v>#REF!</v>
      </c>
      <c r="P1" t="e">
        <f>AND('4to. Secre.'!#REF!,"AAAAAHd7fQ8=")</f>
        <v>#REF!</v>
      </c>
      <c r="Q1" t="e">
        <f>AND('4to. Secre.'!#REF!,"AAAAAHd7fRA=")</f>
        <v>#REF!</v>
      </c>
      <c r="R1" t="e">
        <f>AND('4to. Secre.'!#REF!,"AAAAAHd7fRE=")</f>
        <v>#REF!</v>
      </c>
      <c r="S1" t="e">
        <f>AND('4to. Secre.'!#REF!,"AAAAAHd7fRI=")</f>
        <v>#REF!</v>
      </c>
      <c r="T1" t="e">
        <f>AND('4to. Secre.'!#REF!,"AAAAAHd7fRM=")</f>
        <v>#REF!</v>
      </c>
      <c r="U1" t="e">
        <f>AND('4to. Secre.'!#REF!,"AAAAAHd7fRQ=")</f>
        <v>#REF!</v>
      </c>
      <c r="V1" t="e">
        <f>AND('4to. Secre.'!#REF!,"AAAAAHd7fRU=")</f>
        <v>#REF!</v>
      </c>
      <c r="W1" t="e">
        <f>AND('4to. Secre.'!#REF!,"AAAAAHd7fRY=")</f>
        <v>#REF!</v>
      </c>
      <c r="X1" t="e">
        <f>AND('4to. Secre.'!#REF!,"AAAAAHd7fRc=")</f>
        <v>#REF!</v>
      </c>
      <c r="Y1" t="e">
        <f>AND('4to. Secre.'!#REF!,"AAAAAHd7fRg=")</f>
        <v>#REF!</v>
      </c>
      <c r="Z1" t="e">
        <f>AND('4to. Secre.'!#REF!,"AAAAAHd7fRk=")</f>
        <v>#REF!</v>
      </c>
      <c r="AA1" t="e">
        <f>IF('4to. Secre.'!#REF!,"AAAAAHd7fRo=",0)</f>
        <v>#REF!</v>
      </c>
      <c r="AB1" t="e">
        <f>AND('4to. Secre.'!#REF!,"AAAAAHd7fRs=")</f>
        <v>#REF!</v>
      </c>
      <c r="AC1" t="e">
        <f>AND('4to. Secre.'!#REF!,"AAAAAHd7fRw=")</f>
        <v>#REF!</v>
      </c>
      <c r="AD1" t="e">
        <f>AND('4to. Secre.'!#REF!,"AAAAAHd7fR0=")</f>
        <v>#REF!</v>
      </c>
      <c r="AE1" t="e">
        <f>AND('4to. Secre.'!#REF!,"AAAAAHd7fR4=")</f>
        <v>#REF!</v>
      </c>
      <c r="AF1" t="e">
        <f>AND('4to. Secre.'!#REF!,"AAAAAHd7fR8=")</f>
        <v>#REF!</v>
      </c>
      <c r="AG1" t="e">
        <f>AND('4to. Secre.'!#REF!,"AAAAAHd7fSA=")</f>
        <v>#REF!</v>
      </c>
      <c r="AH1" t="e">
        <f>AND('4to. Secre.'!#REF!,"AAAAAHd7fSE=")</f>
        <v>#REF!</v>
      </c>
      <c r="AI1" t="e">
        <f>AND('4to. Secre.'!#REF!,"AAAAAHd7fSI=")</f>
        <v>#REF!</v>
      </c>
      <c r="AJ1" t="e">
        <f>AND('4to. Secre.'!#REF!,"AAAAAHd7fSM=")</f>
        <v>#REF!</v>
      </c>
      <c r="AK1" t="e">
        <f>AND('4to. Secre.'!#REF!,"AAAAAHd7fSQ=")</f>
        <v>#REF!</v>
      </c>
      <c r="AL1" t="e">
        <f>AND('4to. Secre.'!#REF!,"AAAAAHd7fSU=")</f>
        <v>#REF!</v>
      </c>
      <c r="AM1" t="e">
        <f>AND('4to. Secre.'!#REF!,"AAAAAHd7fSY=")</f>
        <v>#REF!</v>
      </c>
      <c r="AN1" t="e">
        <f>AND('4to. Secre.'!#REF!,"AAAAAHd7fSc=")</f>
        <v>#REF!</v>
      </c>
      <c r="AO1" t="e">
        <f>AND('4to. Secre.'!#REF!,"AAAAAHd7fSg=")</f>
        <v>#REF!</v>
      </c>
      <c r="AP1" t="e">
        <f>AND('4to. Secre.'!#REF!,"AAAAAHd7fSk=")</f>
        <v>#REF!</v>
      </c>
      <c r="AQ1" t="e">
        <f>AND('4to. Secre.'!#REF!,"AAAAAHd7fSo=")</f>
        <v>#REF!</v>
      </c>
      <c r="AR1" t="e">
        <f>AND('4to. Secre.'!#REF!,"AAAAAHd7fSs=")</f>
        <v>#REF!</v>
      </c>
      <c r="AS1" t="e">
        <f>AND('4to. Secre.'!#REF!,"AAAAAHd7fSw=")</f>
        <v>#REF!</v>
      </c>
      <c r="AT1" t="e">
        <f>AND('4to. Secre.'!#REF!,"AAAAAHd7fS0=")</f>
        <v>#REF!</v>
      </c>
      <c r="AU1" t="e">
        <f>AND('4to. Secre.'!#REF!,"AAAAAHd7fS4=")</f>
        <v>#REF!</v>
      </c>
      <c r="AV1" t="e">
        <f>AND('4to. Secre.'!#REF!,"AAAAAHd7fS8=")</f>
        <v>#REF!</v>
      </c>
      <c r="AW1" t="e">
        <f>AND('4to. Secre.'!#REF!,"AAAAAHd7fTA=")</f>
        <v>#REF!</v>
      </c>
      <c r="AX1" t="e">
        <f>AND('4to. Secre.'!#REF!,"AAAAAHd7fTE=")</f>
        <v>#REF!</v>
      </c>
      <c r="AY1" t="e">
        <f>AND('4to. Secre.'!#REF!,"AAAAAHd7fTI=")</f>
        <v>#REF!</v>
      </c>
      <c r="AZ1" t="e">
        <f>AND('4to. Secre.'!#REF!,"AAAAAHd7fTM=")</f>
        <v>#REF!</v>
      </c>
      <c r="BA1" t="e">
        <f>IF('4to. Secre.'!#REF!,"AAAAAHd7fTQ=",0)</f>
        <v>#REF!</v>
      </c>
      <c r="BB1" t="e">
        <f>AND('4to. Secre.'!#REF!,"AAAAAHd7fTU=")</f>
        <v>#REF!</v>
      </c>
      <c r="BC1" t="e">
        <f>AND('4to. Secre.'!#REF!,"AAAAAHd7fTY=")</f>
        <v>#REF!</v>
      </c>
      <c r="BD1" t="e">
        <f>AND('4to. Secre.'!#REF!,"AAAAAHd7fTc=")</f>
        <v>#REF!</v>
      </c>
      <c r="BE1" t="e">
        <f>AND('4to. Secre.'!#REF!,"AAAAAHd7fTg=")</f>
        <v>#REF!</v>
      </c>
      <c r="BF1" t="e">
        <f>AND('4to. Secre.'!#REF!,"AAAAAHd7fTk=")</f>
        <v>#REF!</v>
      </c>
      <c r="BG1" t="e">
        <f>AND('4to. Secre.'!#REF!,"AAAAAHd7fTo=")</f>
        <v>#REF!</v>
      </c>
      <c r="BH1" t="e">
        <f>AND('4to. Secre.'!#REF!,"AAAAAHd7fTs=")</f>
        <v>#REF!</v>
      </c>
      <c r="BI1" t="e">
        <f>AND('4to. Secre.'!#REF!,"AAAAAHd7fTw=")</f>
        <v>#REF!</v>
      </c>
      <c r="BJ1" t="e">
        <f>AND('4to. Secre.'!#REF!,"AAAAAHd7fT0=")</f>
        <v>#REF!</v>
      </c>
      <c r="BK1" t="e">
        <f>AND('4to. Secre.'!#REF!,"AAAAAHd7fT4=")</f>
        <v>#REF!</v>
      </c>
      <c r="BL1" t="e">
        <f>AND('4to. Secre.'!#REF!,"AAAAAHd7fT8=")</f>
        <v>#REF!</v>
      </c>
      <c r="BM1" t="e">
        <f>AND('4to. Secre.'!#REF!,"AAAAAHd7fUA=")</f>
        <v>#REF!</v>
      </c>
      <c r="BN1" t="e">
        <f>AND('4to. Secre.'!#REF!,"AAAAAHd7fUE=")</f>
        <v>#REF!</v>
      </c>
      <c r="BO1" t="e">
        <f>AND('4to. Secre.'!#REF!,"AAAAAHd7fUI=")</f>
        <v>#REF!</v>
      </c>
      <c r="BP1" t="e">
        <f>AND('4to. Secre.'!#REF!,"AAAAAHd7fUM=")</f>
        <v>#REF!</v>
      </c>
      <c r="BQ1" t="e">
        <f>AND('4to. Secre.'!#REF!,"AAAAAHd7fUQ=")</f>
        <v>#REF!</v>
      </c>
      <c r="BR1" t="e">
        <f>AND('4to. Secre.'!#REF!,"AAAAAHd7fUU=")</f>
        <v>#REF!</v>
      </c>
      <c r="BS1" t="e">
        <f>AND('4to. Secre.'!#REF!,"AAAAAHd7fUY=")</f>
        <v>#REF!</v>
      </c>
      <c r="BT1" t="e">
        <f>AND('4to. Secre.'!#REF!,"AAAAAHd7fUc=")</f>
        <v>#REF!</v>
      </c>
      <c r="BU1" t="e">
        <f>AND('4to. Secre.'!#REF!,"AAAAAHd7fUg=")</f>
        <v>#REF!</v>
      </c>
      <c r="BV1" t="e">
        <f>AND('4to. Secre.'!#REF!,"AAAAAHd7fUk=")</f>
        <v>#REF!</v>
      </c>
      <c r="BW1" t="e">
        <f>AND('4to. Secre.'!#REF!,"AAAAAHd7fUo=")</f>
        <v>#REF!</v>
      </c>
      <c r="BX1" t="e">
        <f>AND('4to. Secre.'!#REF!,"AAAAAHd7fUs=")</f>
        <v>#REF!</v>
      </c>
      <c r="BY1" t="e">
        <f>AND('4to. Secre.'!#REF!,"AAAAAHd7fUw=")</f>
        <v>#REF!</v>
      </c>
      <c r="BZ1" t="e">
        <f>AND('4to. Secre.'!#REF!,"AAAAAHd7fU0=")</f>
        <v>#REF!</v>
      </c>
      <c r="CA1" t="e">
        <f>IF('4to. Secre.'!#REF!,"AAAAAHd7fU4=",0)</f>
        <v>#REF!</v>
      </c>
      <c r="CB1" t="e">
        <f>AND('4to. Secre.'!#REF!,"AAAAAHd7fU8=")</f>
        <v>#REF!</v>
      </c>
      <c r="CC1" t="e">
        <f>AND('4to. Secre.'!#REF!,"AAAAAHd7fVA=")</f>
        <v>#REF!</v>
      </c>
      <c r="CD1" t="e">
        <f>AND('4to. Secre.'!#REF!,"AAAAAHd7fVE=")</f>
        <v>#REF!</v>
      </c>
      <c r="CE1" t="e">
        <f>AND('4to. Secre.'!#REF!,"AAAAAHd7fVI=")</f>
        <v>#REF!</v>
      </c>
      <c r="CF1" t="e">
        <f>AND('4to. Secre.'!#REF!,"AAAAAHd7fVM=")</f>
        <v>#REF!</v>
      </c>
      <c r="CG1" t="e">
        <f>AND('4to. Secre.'!#REF!,"AAAAAHd7fVQ=")</f>
        <v>#REF!</v>
      </c>
      <c r="CH1" t="e">
        <f>AND('4to. Secre.'!#REF!,"AAAAAHd7fVU=")</f>
        <v>#REF!</v>
      </c>
      <c r="CI1" t="e">
        <f>AND('4to. Secre.'!#REF!,"AAAAAHd7fVY=")</f>
        <v>#REF!</v>
      </c>
      <c r="CJ1" t="e">
        <f>AND('4to. Secre.'!#REF!,"AAAAAHd7fVc=")</f>
        <v>#REF!</v>
      </c>
      <c r="CK1" t="e">
        <f>AND('4to. Secre.'!#REF!,"AAAAAHd7fVg=")</f>
        <v>#REF!</v>
      </c>
      <c r="CL1" t="e">
        <f>AND('4to. Secre.'!#REF!,"AAAAAHd7fVk=")</f>
        <v>#REF!</v>
      </c>
      <c r="CM1" t="e">
        <f>AND('4to. Secre.'!#REF!,"AAAAAHd7fVo=")</f>
        <v>#REF!</v>
      </c>
      <c r="CN1" t="e">
        <f>AND('4to. Secre.'!#REF!,"AAAAAHd7fVs=")</f>
        <v>#REF!</v>
      </c>
      <c r="CO1" t="e">
        <f>AND('4to. Secre.'!#REF!,"AAAAAHd7fVw=")</f>
        <v>#REF!</v>
      </c>
      <c r="CP1" t="e">
        <f>AND('4to. Secre.'!#REF!,"AAAAAHd7fV0=")</f>
        <v>#REF!</v>
      </c>
      <c r="CQ1" t="e">
        <f>AND('4to. Secre.'!#REF!,"AAAAAHd7fV4=")</f>
        <v>#REF!</v>
      </c>
      <c r="CR1" t="e">
        <f>AND('4to. Secre.'!#REF!,"AAAAAHd7fV8=")</f>
        <v>#REF!</v>
      </c>
      <c r="CS1" t="e">
        <f>AND('4to. Secre.'!#REF!,"AAAAAHd7fWA=")</f>
        <v>#REF!</v>
      </c>
      <c r="CT1" t="e">
        <f>AND('4to. Secre.'!#REF!,"AAAAAHd7fWE=")</f>
        <v>#REF!</v>
      </c>
      <c r="CU1" t="e">
        <f>AND('4to. Secre.'!#REF!,"AAAAAHd7fWI=")</f>
        <v>#REF!</v>
      </c>
      <c r="CV1" t="e">
        <f>AND('4to. Secre.'!#REF!,"AAAAAHd7fWM=")</f>
        <v>#REF!</v>
      </c>
      <c r="CW1" t="e">
        <f>AND('4to. Secre.'!#REF!,"AAAAAHd7fWQ=")</f>
        <v>#REF!</v>
      </c>
      <c r="CX1" t="e">
        <f>AND('4to. Secre.'!#REF!,"AAAAAHd7fWU=")</f>
        <v>#REF!</v>
      </c>
      <c r="CY1" t="e">
        <f>AND('4to. Secre.'!#REF!,"AAAAAHd7fWY=")</f>
        <v>#REF!</v>
      </c>
      <c r="CZ1" t="e">
        <f>AND('4to. Secre.'!#REF!,"AAAAAHd7fWc=")</f>
        <v>#REF!</v>
      </c>
      <c r="DA1">
        <f>IF('4to. Secre.'!2:2,"AAAAAHd7fWg=",0)</f>
        <v>0</v>
      </c>
      <c r="DB1" t="e">
        <f>AND('4to. Secre.'!A2,"AAAAAHd7fWk=")</f>
        <v>#VALUE!</v>
      </c>
      <c r="DC1" t="e">
        <f>AND('4to. Secre.'!B2,"AAAAAHd7fWo=")</f>
        <v>#VALUE!</v>
      </c>
      <c r="DD1" t="e">
        <f>AND('4to. Secre.'!C2,"AAAAAHd7fWs=")</f>
        <v>#VALUE!</v>
      </c>
      <c r="DE1" t="e">
        <f>AND('4to. Secre.'!D2,"AAAAAHd7fWw=")</f>
        <v>#VALUE!</v>
      </c>
      <c r="DF1" t="e">
        <f>AND('4to. Secre.'!E2,"AAAAAHd7fW0=")</f>
        <v>#VALUE!</v>
      </c>
      <c r="DG1" t="e">
        <f>AND('4to. Secre.'!F2,"AAAAAHd7fW4=")</f>
        <v>#VALUE!</v>
      </c>
      <c r="DH1" t="e">
        <f>AND('4to. Secre.'!G2,"AAAAAHd7fW8=")</f>
        <v>#VALUE!</v>
      </c>
      <c r="DI1" t="e">
        <f>AND('4to. Secre.'!H2,"AAAAAHd7fXA=")</f>
        <v>#VALUE!</v>
      </c>
      <c r="DJ1" t="e">
        <f>AND('4to. Secre.'!I2,"AAAAAHd7fXE=")</f>
        <v>#VALUE!</v>
      </c>
      <c r="DK1" t="e">
        <f>AND('4to. Secre.'!J2,"AAAAAHd7fXI=")</f>
        <v>#VALUE!</v>
      </c>
      <c r="DL1" t="e">
        <f>AND('4to. Secre.'!K2,"AAAAAHd7fXM=")</f>
        <v>#VALUE!</v>
      </c>
      <c r="DM1" t="e">
        <f>AND('4to. Secre.'!L2,"AAAAAHd7fXQ=")</f>
        <v>#VALUE!</v>
      </c>
      <c r="DN1" t="e">
        <f>AND('4to. Secre.'!M2,"AAAAAHd7fXU=")</f>
        <v>#VALUE!</v>
      </c>
      <c r="DO1" t="e">
        <f>AND('4to. Secre.'!N2,"AAAAAHd7fXY=")</f>
        <v>#VALUE!</v>
      </c>
      <c r="DP1" t="e">
        <f>AND('4to. Secre.'!O2,"AAAAAHd7fXc=")</f>
        <v>#VALUE!</v>
      </c>
      <c r="DQ1" t="e">
        <f>AND('4to. Secre.'!P2,"AAAAAHd7fXg=")</f>
        <v>#VALUE!</v>
      </c>
      <c r="DR1" t="e">
        <f>AND('4to. Secre.'!Q2,"AAAAAHd7fXk=")</f>
        <v>#VALUE!</v>
      </c>
      <c r="DS1" t="e">
        <f>AND('4to. Secre.'!R2,"AAAAAHd7fXo=")</f>
        <v>#VALUE!</v>
      </c>
      <c r="DT1" t="e">
        <f>AND('4to. Secre.'!S2,"AAAAAHd7fXs=")</f>
        <v>#VALUE!</v>
      </c>
      <c r="DU1" t="e">
        <f>AND('4to. Secre.'!T2,"AAAAAHd7fXw=")</f>
        <v>#VALUE!</v>
      </c>
      <c r="DV1" t="e">
        <f>AND('4to. Secre.'!#REF!,"AAAAAHd7fX0=")</f>
        <v>#REF!</v>
      </c>
      <c r="DW1" t="e">
        <f>AND('4to. Secre.'!#REF!,"AAAAAHd7fX4=")</f>
        <v>#REF!</v>
      </c>
      <c r="DX1" t="e">
        <f>AND('4to. Secre.'!#REF!,"AAAAAHd7fX8=")</f>
        <v>#REF!</v>
      </c>
      <c r="DY1" t="e">
        <f>AND('4to. Secre.'!#REF!,"AAAAAHd7fYA=")</f>
        <v>#REF!</v>
      </c>
      <c r="DZ1" t="e">
        <f>AND('4to. Secre.'!#REF!,"AAAAAHd7fYE=")</f>
        <v>#REF!</v>
      </c>
      <c r="EA1">
        <f>IF('4to. Secre.'!3:3,"AAAAAHd7fYI=",0)</f>
        <v>0</v>
      </c>
      <c r="EB1" t="e">
        <f>AND('4to. Secre.'!A3,"AAAAAHd7fYM=")</f>
        <v>#VALUE!</v>
      </c>
      <c r="EC1" t="e">
        <f>AND('4to. Secre.'!B3,"AAAAAHd7fYQ=")</f>
        <v>#VALUE!</v>
      </c>
      <c r="ED1" t="e">
        <f>AND('4to. Secre.'!C3,"AAAAAHd7fYU=")</f>
        <v>#VALUE!</v>
      </c>
      <c r="EE1" t="e">
        <f>AND('4to. Secre.'!D3,"AAAAAHd7fYY=")</f>
        <v>#VALUE!</v>
      </c>
      <c r="EF1" t="e">
        <f>AND('4to. Secre.'!E3,"AAAAAHd7fYc=")</f>
        <v>#VALUE!</v>
      </c>
      <c r="EG1" t="e">
        <f>AND('4to. Secre.'!F3,"AAAAAHd7fYg=")</f>
        <v>#VALUE!</v>
      </c>
      <c r="EH1" t="e">
        <f>AND('4to. Secre.'!G3,"AAAAAHd7fYk=")</f>
        <v>#VALUE!</v>
      </c>
      <c r="EI1" t="e">
        <f>AND('4to. Secre.'!H3,"AAAAAHd7fYo=")</f>
        <v>#VALUE!</v>
      </c>
      <c r="EJ1" t="e">
        <f>AND('4to. Secre.'!I3,"AAAAAHd7fYs=")</f>
        <v>#VALUE!</v>
      </c>
      <c r="EK1" t="e">
        <f>AND('4to. Secre.'!J3,"AAAAAHd7fYw=")</f>
        <v>#VALUE!</v>
      </c>
      <c r="EL1" t="e">
        <f>AND('4to. Secre.'!K3,"AAAAAHd7fY0=")</f>
        <v>#VALUE!</v>
      </c>
      <c r="EM1" t="e">
        <f>AND('4to. Secre.'!L3,"AAAAAHd7fY4=")</f>
        <v>#VALUE!</v>
      </c>
      <c r="EN1" t="e">
        <f>AND('4to. Secre.'!M3,"AAAAAHd7fY8=")</f>
        <v>#VALUE!</v>
      </c>
      <c r="EO1" t="e">
        <f>AND('4to. Secre.'!N3,"AAAAAHd7fZA=")</f>
        <v>#VALUE!</v>
      </c>
      <c r="EP1" t="e">
        <f>AND('4to. Secre.'!O3,"AAAAAHd7fZE=")</f>
        <v>#VALUE!</v>
      </c>
      <c r="EQ1" t="e">
        <f>AND('4to. Secre.'!P3,"AAAAAHd7fZI=")</f>
        <v>#VALUE!</v>
      </c>
      <c r="ER1" t="e">
        <f>AND('4to. Secre.'!Q3,"AAAAAHd7fZM=")</f>
        <v>#VALUE!</v>
      </c>
      <c r="ES1" t="e">
        <f>AND('4to. Secre.'!R3,"AAAAAHd7fZQ=")</f>
        <v>#VALUE!</v>
      </c>
      <c r="ET1" t="e">
        <f>AND('4to. Secre.'!S3,"AAAAAHd7fZU=")</f>
        <v>#VALUE!</v>
      </c>
      <c r="EU1" t="e">
        <f>AND('4to. Secre.'!T3,"AAAAAHd7fZY=")</f>
        <v>#VALUE!</v>
      </c>
      <c r="EV1" t="e">
        <f>AND('4to. Secre.'!#REF!,"AAAAAHd7fZc=")</f>
        <v>#REF!</v>
      </c>
      <c r="EW1" t="e">
        <f>AND('4to. Secre.'!#REF!,"AAAAAHd7fZg=")</f>
        <v>#REF!</v>
      </c>
      <c r="EX1" t="e">
        <f>AND('4to. Secre.'!#REF!,"AAAAAHd7fZk=")</f>
        <v>#REF!</v>
      </c>
      <c r="EY1" t="e">
        <f>AND('4to. Secre.'!#REF!,"AAAAAHd7fZo=")</f>
        <v>#REF!</v>
      </c>
      <c r="EZ1" t="e">
        <f>AND('4to. Secre.'!#REF!,"AAAAAHd7fZs=")</f>
        <v>#REF!</v>
      </c>
      <c r="FA1">
        <f>IF('4to. Secre.'!4:4,"AAAAAHd7fZw=",0)</f>
        <v>0</v>
      </c>
      <c r="FB1" t="e">
        <f>AND('4to. Secre.'!A4,"AAAAAHd7fZ0=")</f>
        <v>#VALUE!</v>
      </c>
      <c r="FC1" t="e">
        <f>AND('4to. Secre.'!B4,"AAAAAHd7fZ4=")</f>
        <v>#VALUE!</v>
      </c>
      <c r="FD1" t="e">
        <f>AND('4to. Secre.'!C4,"AAAAAHd7fZ8=")</f>
        <v>#VALUE!</v>
      </c>
      <c r="FE1" t="e">
        <f>AND('4to. Secre.'!D4,"AAAAAHd7faA=")</f>
        <v>#VALUE!</v>
      </c>
      <c r="FF1" t="e">
        <f>AND('4to. Secre.'!E4,"AAAAAHd7faE=")</f>
        <v>#VALUE!</v>
      </c>
      <c r="FG1" t="e">
        <f>AND('4to. Secre.'!F4,"AAAAAHd7faI=")</f>
        <v>#VALUE!</v>
      </c>
      <c r="FH1" t="e">
        <f>AND('4to. Secre.'!G4,"AAAAAHd7faM=")</f>
        <v>#VALUE!</v>
      </c>
      <c r="FI1" t="e">
        <f>AND('4to. Secre.'!H4,"AAAAAHd7faQ=")</f>
        <v>#VALUE!</v>
      </c>
      <c r="FJ1" t="e">
        <f>AND('4to. Secre.'!I4,"AAAAAHd7faU=")</f>
        <v>#VALUE!</v>
      </c>
      <c r="FK1" t="e">
        <f>AND('4to. Secre.'!J4,"AAAAAHd7faY=")</f>
        <v>#VALUE!</v>
      </c>
      <c r="FL1" t="e">
        <f>AND('4to. Secre.'!K4,"AAAAAHd7fac=")</f>
        <v>#VALUE!</v>
      </c>
      <c r="FM1" t="e">
        <f>AND('4to. Secre.'!L4,"AAAAAHd7fag=")</f>
        <v>#VALUE!</v>
      </c>
      <c r="FN1" t="e">
        <f>AND('4to. Secre.'!M4,"AAAAAHd7fak=")</f>
        <v>#VALUE!</v>
      </c>
      <c r="FO1" t="e">
        <f>AND('4to. Secre.'!N4,"AAAAAHd7fao=")</f>
        <v>#VALUE!</v>
      </c>
      <c r="FP1" t="e">
        <f>AND('4to. Secre.'!O4,"AAAAAHd7fas=")</f>
        <v>#VALUE!</v>
      </c>
      <c r="FQ1" t="e">
        <f>AND('4to. Secre.'!P4,"AAAAAHd7faw=")</f>
        <v>#VALUE!</v>
      </c>
      <c r="FR1" t="e">
        <f>AND('4to. Secre.'!Q4,"AAAAAHd7fa0=")</f>
        <v>#VALUE!</v>
      </c>
      <c r="FS1" t="e">
        <f>AND('4to. Secre.'!R4,"AAAAAHd7fa4=")</f>
        <v>#VALUE!</v>
      </c>
      <c r="FT1" t="e">
        <f>AND('4to. Secre.'!S4,"AAAAAHd7fa8=")</f>
        <v>#VALUE!</v>
      </c>
      <c r="FU1" t="e">
        <f>AND('4to. Secre.'!T4,"AAAAAHd7fbA=")</f>
        <v>#VALUE!</v>
      </c>
      <c r="FV1" t="e">
        <f>AND('4to. Secre.'!#REF!,"AAAAAHd7fbE=")</f>
        <v>#REF!</v>
      </c>
      <c r="FW1" t="e">
        <f>AND('4to. Secre.'!#REF!,"AAAAAHd7fbI=")</f>
        <v>#REF!</v>
      </c>
      <c r="FX1" t="e">
        <f>AND('4to. Secre.'!#REF!,"AAAAAHd7fbM=")</f>
        <v>#REF!</v>
      </c>
      <c r="FY1" t="e">
        <f>AND('4to. Secre.'!#REF!,"AAAAAHd7fbQ=")</f>
        <v>#REF!</v>
      </c>
      <c r="FZ1" t="e">
        <f>AND('4to. Secre.'!#REF!,"AAAAAHd7fbU=")</f>
        <v>#REF!</v>
      </c>
      <c r="GA1">
        <f>IF('4to. Secre.'!5:5,"AAAAAHd7fbY=",0)</f>
        <v>0</v>
      </c>
      <c r="GB1" t="e">
        <f>AND('4to. Secre.'!A5,"AAAAAHd7fbc=")</f>
        <v>#VALUE!</v>
      </c>
      <c r="GC1" t="e">
        <f>AND('4to. Secre.'!B5,"AAAAAHd7fbg=")</f>
        <v>#VALUE!</v>
      </c>
      <c r="GD1" t="e">
        <f>AND('4to. Secre.'!C5,"AAAAAHd7fbk=")</f>
        <v>#VALUE!</v>
      </c>
      <c r="GE1" t="e">
        <f>AND('4to. Secre.'!D5,"AAAAAHd7fbo=")</f>
        <v>#VALUE!</v>
      </c>
      <c r="GF1" t="e">
        <f>AND('4to. Secre.'!E5,"AAAAAHd7fbs=")</f>
        <v>#VALUE!</v>
      </c>
      <c r="GG1" t="e">
        <f>AND('4to. Secre.'!F5,"AAAAAHd7fbw=")</f>
        <v>#VALUE!</v>
      </c>
      <c r="GH1" t="e">
        <f>AND('4to. Secre.'!G5,"AAAAAHd7fb0=")</f>
        <v>#VALUE!</v>
      </c>
      <c r="GI1" t="e">
        <f>AND('4to. Secre.'!H5,"AAAAAHd7fb4=")</f>
        <v>#VALUE!</v>
      </c>
      <c r="GJ1" t="e">
        <f>AND('4to. Secre.'!I5,"AAAAAHd7fb8=")</f>
        <v>#VALUE!</v>
      </c>
      <c r="GK1" t="e">
        <f>AND('4to. Secre.'!J5,"AAAAAHd7fcA=")</f>
        <v>#VALUE!</v>
      </c>
      <c r="GL1" t="e">
        <f>AND('4to. Secre.'!K5,"AAAAAHd7fcE=")</f>
        <v>#VALUE!</v>
      </c>
      <c r="GM1" t="e">
        <f>AND('4to. Secre.'!L5,"AAAAAHd7fcI=")</f>
        <v>#VALUE!</v>
      </c>
      <c r="GN1" t="e">
        <f>AND('4to. Secre.'!M5,"AAAAAHd7fcM=")</f>
        <v>#VALUE!</v>
      </c>
      <c r="GO1" t="e">
        <f>AND('4to. Secre.'!N5,"AAAAAHd7fcQ=")</f>
        <v>#VALUE!</v>
      </c>
      <c r="GP1" t="e">
        <f>AND('4to. Secre.'!O5,"AAAAAHd7fcU=")</f>
        <v>#VALUE!</v>
      </c>
      <c r="GQ1" t="e">
        <f>AND('4to. Secre.'!P5,"AAAAAHd7fcY=")</f>
        <v>#VALUE!</v>
      </c>
      <c r="GR1" t="e">
        <f>AND('4to. Secre.'!Q5,"AAAAAHd7fcc=")</f>
        <v>#VALUE!</v>
      </c>
      <c r="GS1" t="e">
        <f>AND('4to. Secre.'!R5,"AAAAAHd7fcg=")</f>
        <v>#VALUE!</v>
      </c>
      <c r="GT1" t="e">
        <f>AND('4to. Secre.'!S5,"AAAAAHd7fck=")</f>
        <v>#VALUE!</v>
      </c>
      <c r="GU1" t="e">
        <f>AND('4to. Secre.'!T5,"AAAAAHd7fco=")</f>
        <v>#VALUE!</v>
      </c>
      <c r="GV1" t="e">
        <f>AND('4to. Secre.'!#REF!,"AAAAAHd7fcs=")</f>
        <v>#REF!</v>
      </c>
      <c r="GW1" t="e">
        <f>AND('4to. Secre.'!#REF!,"AAAAAHd7fcw=")</f>
        <v>#REF!</v>
      </c>
      <c r="GX1" t="e">
        <f>AND('4to. Secre.'!#REF!,"AAAAAHd7fc0=")</f>
        <v>#REF!</v>
      </c>
      <c r="GY1" t="e">
        <f>AND('4to. Secre.'!#REF!,"AAAAAHd7fc4=")</f>
        <v>#REF!</v>
      </c>
      <c r="GZ1" t="e">
        <f>AND('4to. Secre.'!#REF!,"AAAAAHd7fc8=")</f>
        <v>#REF!</v>
      </c>
      <c r="HA1">
        <f>IF('4to. Secre.'!6:6,"AAAAAHd7fdA=",0)</f>
        <v>0</v>
      </c>
      <c r="HB1" t="e">
        <f>AND('4to. Secre.'!A6,"AAAAAHd7fdE=")</f>
        <v>#VALUE!</v>
      </c>
      <c r="HC1" t="e">
        <f>AND('4to. Secre.'!B6,"AAAAAHd7fdI=")</f>
        <v>#VALUE!</v>
      </c>
      <c r="HD1" t="e">
        <f>AND('4to. Secre.'!C6,"AAAAAHd7fdM=")</f>
        <v>#VALUE!</v>
      </c>
      <c r="HE1" t="e">
        <f>AND('4to. Secre.'!D6,"AAAAAHd7fdQ=")</f>
        <v>#VALUE!</v>
      </c>
      <c r="HF1" t="e">
        <f>AND('4to. Secre.'!E6,"AAAAAHd7fdU=")</f>
        <v>#VALUE!</v>
      </c>
      <c r="HG1" t="e">
        <f>AND('4to. Secre.'!F6,"AAAAAHd7fdY=")</f>
        <v>#VALUE!</v>
      </c>
      <c r="HH1" t="e">
        <f>AND('4to. Secre.'!G6,"AAAAAHd7fdc=")</f>
        <v>#VALUE!</v>
      </c>
      <c r="HI1" t="e">
        <f>AND('4to. Secre.'!H6,"AAAAAHd7fdg=")</f>
        <v>#VALUE!</v>
      </c>
      <c r="HJ1" t="e">
        <f>AND('4to. Secre.'!I6,"AAAAAHd7fdk=")</f>
        <v>#VALUE!</v>
      </c>
      <c r="HK1" t="e">
        <f>AND('4to. Secre.'!J6,"AAAAAHd7fdo=")</f>
        <v>#VALUE!</v>
      </c>
      <c r="HL1" t="e">
        <f>AND('4to. Secre.'!K6,"AAAAAHd7fds=")</f>
        <v>#VALUE!</v>
      </c>
      <c r="HM1" t="e">
        <f>AND('4to. Secre.'!L6,"AAAAAHd7fdw=")</f>
        <v>#VALUE!</v>
      </c>
      <c r="HN1" t="e">
        <f>AND('4to. Secre.'!M6,"AAAAAHd7fd0=")</f>
        <v>#VALUE!</v>
      </c>
      <c r="HO1" t="e">
        <f>AND('4to. Secre.'!N6,"AAAAAHd7fd4=")</f>
        <v>#VALUE!</v>
      </c>
      <c r="HP1" t="e">
        <f>AND('4to. Secre.'!O6,"AAAAAHd7fd8=")</f>
        <v>#VALUE!</v>
      </c>
      <c r="HQ1" t="e">
        <f>AND('4to. Secre.'!P6,"AAAAAHd7feA=")</f>
        <v>#VALUE!</v>
      </c>
      <c r="HR1" t="e">
        <f>AND('4to. Secre.'!Q6,"AAAAAHd7feE=")</f>
        <v>#VALUE!</v>
      </c>
      <c r="HS1" t="e">
        <f>AND('4to. Secre.'!R6,"AAAAAHd7feI=")</f>
        <v>#VALUE!</v>
      </c>
      <c r="HT1" t="e">
        <f>AND('4to. Secre.'!S6,"AAAAAHd7feM=")</f>
        <v>#VALUE!</v>
      </c>
      <c r="HU1" t="e">
        <f>AND('4to. Secre.'!T6,"AAAAAHd7feQ=")</f>
        <v>#VALUE!</v>
      </c>
      <c r="HV1" t="e">
        <f>AND('4to. Secre.'!#REF!,"AAAAAHd7feU=")</f>
        <v>#REF!</v>
      </c>
      <c r="HW1" t="e">
        <f>AND('4to. Secre.'!#REF!,"AAAAAHd7feY=")</f>
        <v>#REF!</v>
      </c>
      <c r="HX1" t="e">
        <f>AND('4to. Secre.'!#REF!,"AAAAAHd7fec=")</f>
        <v>#REF!</v>
      </c>
      <c r="HY1" t="e">
        <f>AND('4to. Secre.'!#REF!,"AAAAAHd7feg=")</f>
        <v>#REF!</v>
      </c>
      <c r="HZ1" t="e">
        <f>AND('4to. Secre.'!#REF!,"AAAAAHd7fek=")</f>
        <v>#REF!</v>
      </c>
      <c r="IA1">
        <f>IF('4to. Secre.'!7:7,"AAAAAHd7feo=",0)</f>
        <v>0</v>
      </c>
      <c r="IB1" t="e">
        <f>AND('4to. Secre.'!A7,"AAAAAHd7fes=")</f>
        <v>#VALUE!</v>
      </c>
      <c r="IC1" t="e">
        <f>AND('4to. Secre.'!B7,"AAAAAHd7few=")</f>
        <v>#VALUE!</v>
      </c>
      <c r="ID1" t="e">
        <f>AND('4to. Secre.'!C7,"AAAAAHd7fe0=")</f>
        <v>#VALUE!</v>
      </c>
      <c r="IE1" t="e">
        <f>AND('4to. Secre.'!D7,"AAAAAHd7fe4=")</f>
        <v>#VALUE!</v>
      </c>
      <c r="IF1" t="e">
        <f>AND('4to. Secre.'!E7,"AAAAAHd7fe8=")</f>
        <v>#VALUE!</v>
      </c>
      <c r="IG1" t="e">
        <f>AND('4to. Secre.'!F7,"AAAAAHd7ffA=")</f>
        <v>#VALUE!</v>
      </c>
      <c r="IH1" t="e">
        <f>AND('4to. Secre.'!G7,"AAAAAHd7ffE=")</f>
        <v>#VALUE!</v>
      </c>
      <c r="II1" t="e">
        <f>AND('4to. Secre.'!H7,"AAAAAHd7ffI=")</f>
        <v>#VALUE!</v>
      </c>
      <c r="IJ1" t="e">
        <f>AND('4to. Secre.'!I7,"AAAAAHd7ffM=")</f>
        <v>#VALUE!</v>
      </c>
      <c r="IK1" t="e">
        <f>AND('4to. Secre.'!J7,"AAAAAHd7ffQ=")</f>
        <v>#VALUE!</v>
      </c>
      <c r="IL1" t="e">
        <f>AND('4to. Secre.'!K7,"AAAAAHd7ffU=")</f>
        <v>#VALUE!</v>
      </c>
      <c r="IM1" t="e">
        <f>AND('4to. Secre.'!L7,"AAAAAHd7ffY=")</f>
        <v>#VALUE!</v>
      </c>
      <c r="IN1" t="e">
        <f>AND('4to. Secre.'!M7,"AAAAAHd7ffc=")</f>
        <v>#VALUE!</v>
      </c>
      <c r="IO1" t="e">
        <f>AND('4to. Secre.'!N7,"AAAAAHd7ffg=")</f>
        <v>#VALUE!</v>
      </c>
      <c r="IP1" t="e">
        <f>AND('4to. Secre.'!O7,"AAAAAHd7ffk=")</f>
        <v>#VALUE!</v>
      </c>
      <c r="IQ1" t="e">
        <f>AND('4to. Secre.'!P7,"AAAAAHd7ffo=")</f>
        <v>#VALUE!</v>
      </c>
      <c r="IR1" t="e">
        <f>AND('4to. Secre.'!Q7,"AAAAAHd7ffs=")</f>
        <v>#VALUE!</v>
      </c>
      <c r="IS1" t="e">
        <f>AND('4to. Secre.'!R7,"AAAAAHd7ffw=")</f>
        <v>#VALUE!</v>
      </c>
      <c r="IT1" t="e">
        <f>AND('4to. Secre.'!S7,"AAAAAHd7ff0=")</f>
        <v>#VALUE!</v>
      </c>
      <c r="IU1" t="e">
        <f>AND('4to. Secre.'!T7,"AAAAAHd7ff4=")</f>
        <v>#VALUE!</v>
      </c>
      <c r="IV1" t="e">
        <f>AND('4to. Secre.'!#REF!,"AAAAAHd7ff8=")</f>
        <v>#REF!</v>
      </c>
    </row>
    <row r="2" spans="1:256">
      <c r="A2" t="e">
        <f>AND('4to. Secre.'!#REF!,"AAAAAGjfnwA=")</f>
        <v>#REF!</v>
      </c>
      <c r="B2" t="e">
        <f>AND('4to. Secre.'!#REF!,"AAAAAGjfnwE=")</f>
        <v>#REF!</v>
      </c>
      <c r="C2" t="e">
        <f>AND('4to. Secre.'!#REF!,"AAAAAGjfnwI=")</f>
        <v>#REF!</v>
      </c>
      <c r="D2" t="e">
        <f>AND('4to. Secre.'!#REF!,"AAAAAGjfnwM=")</f>
        <v>#REF!</v>
      </c>
      <c r="E2">
        <f>IF('4to. Secre.'!8:8,"AAAAAGjfnwQ=",0)</f>
        <v>0</v>
      </c>
      <c r="F2" t="e">
        <f>AND('4to. Secre.'!A8,"AAAAAGjfnwU=")</f>
        <v>#VALUE!</v>
      </c>
      <c r="G2" t="e">
        <f>AND('4to. Secre.'!B8,"AAAAAGjfnwY=")</f>
        <v>#VALUE!</v>
      </c>
      <c r="H2" t="e">
        <f>AND('4to. Secre.'!C8,"AAAAAGjfnwc=")</f>
        <v>#VALUE!</v>
      </c>
      <c r="I2" t="e">
        <f>AND('4to. Secre.'!D8,"AAAAAGjfnwg=")</f>
        <v>#VALUE!</v>
      </c>
      <c r="J2" t="e">
        <f>AND('4to. Secre.'!E8,"AAAAAGjfnwk=")</f>
        <v>#VALUE!</v>
      </c>
      <c r="K2" t="e">
        <f>AND('4to. Secre.'!F8,"AAAAAGjfnwo=")</f>
        <v>#VALUE!</v>
      </c>
      <c r="L2" t="e">
        <f>AND('4to. Secre.'!G8,"AAAAAGjfnws=")</f>
        <v>#VALUE!</v>
      </c>
      <c r="M2" t="e">
        <f>AND('4to. Secre.'!H8,"AAAAAGjfnww=")</f>
        <v>#VALUE!</v>
      </c>
      <c r="N2" t="e">
        <f>AND('4to. Secre.'!I8,"AAAAAGjfnw0=")</f>
        <v>#VALUE!</v>
      </c>
      <c r="O2" t="e">
        <f>AND('4to. Secre.'!J8,"AAAAAGjfnw4=")</f>
        <v>#VALUE!</v>
      </c>
      <c r="P2" t="e">
        <f>AND('4to. Secre.'!K8,"AAAAAGjfnw8=")</f>
        <v>#VALUE!</v>
      </c>
      <c r="Q2" t="e">
        <f>AND('4to. Secre.'!L8,"AAAAAGjfnxA=")</f>
        <v>#VALUE!</v>
      </c>
      <c r="R2" t="e">
        <f>AND('4to. Secre.'!M8,"AAAAAGjfnxE=")</f>
        <v>#VALUE!</v>
      </c>
      <c r="S2" t="e">
        <f>AND('4to. Secre.'!N8,"AAAAAGjfnxI=")</f>
        <v>#VALUE!</v>
      </c>
      <c r="T2" t="e">
        <f>AND('4to. Secre.'!O8,"AAAAAGjfnxM=")</f>
        <v>#VALUE!</v>
      </c>
      <c r="U2" t="e">
        <f>AND('4to. Secre.'!P8,"AAAAAGjfnxQ=")</f>
        <v>#VALUE!</v>
      </c>
      <c r="V2" t="e">
        <f>AND('4to. Secre.'!Q8,"AAAAAGjfnxU=")</f>
        <v>#VALUE!</v>
      </c>
      <c r="W2" t="e">
        <f>AND('4to. Secre.'!R8,"AAAAAGjfnxY=")</f>
        <v>#VALUE!</v>
      </c>
      <c r="X2" t="e">
        <f>AND('4to. Secre.'!S8,"AAAAAGjfnxc=")</f>
        <v>#VALUE!</v>
      </c>
      <c r="Y2" t="e">
        <f>AND('4to. Secre.'!T8,"AAAAAGjfnxg=")</f>
        <v>#VALUE!</v>
      </c>
      <c r="Z2" t="e">
        <f>AND('4to. Secre.'!#REF!,"AAAAAGjfnxk=")</f>
        <v>#REF!</v>
      </c>
      <c r="AA2" t="e">
        <f>AND('4to. Secre.'!#REF!,"AAAAAGjfnxo=")</f>
        <v>#REF!</v>
      </c>
      <c r="AB2" t="e">
        <f>AND('4to. Secre.'!#REF!,"AAAAAGjfnxs=")</f>
        <v>#REF!</v>
      </c>
      <c r="AC2" t="e">
        <f>AND('4to. Secre.'!#REF!,"AAAAAGjfnxw=")</f>
        <v>#REF!</v>
      </c>
      <c r="AD2" t="e">
        <f>AND('4to. Secre.'!#REF!,"AAAAAGjfnx0=")</f>
        <v>#REF!</v>
      </c>
      <c r="AE2">
        <f>IF('4to. Secre.'!9:9,"AAAAAGjfnx4=",0)</f>
        <v>0</v>
      </c>
      <c r="AF2" t="e">
        <f>AND('4to. Secre.'!A9,"AAAAAGjfnx8=")</f>
        <v>#VALUE!</v>
      </c>
      <c r="AG2" t="e">
        <f>AND('4to. Secre.'!B9,"AAAAAGjfnyA=")</f>
        <v>#VALUE!</v>
      </c>
      <c r="AH2" t="e">
        <f>AND('4to. Secre.'!C9,"AAAAAGjfnyE=")</f>
        <v>#VALUE!</v>
      </c>
      <c r="AI2" t="e">
        <f>AND('4to. Secre.'!D9,"AAAAAGjfnyI=")</f>
        <v>#VALUE!</v>
      </c>
      <c r="AJ2" t="e">
        <f>AND('4to. Secre.'!E9,"AAAAAGjfnyM=")</f>
        <v>#VALUE!</v>
      </c>
      <c r="AK2" t="e">
        <f>AND('4to. Secre.'!F9,"AAAAAGjfnyQ=")</f>
        <v>#VALUE!</v>
      </c>
      <c r="AL2" t="e">
        <f>AND('4to. Secre.'!G9,"AAAAAGjfnyU=")</f>
        <v>#VALUE!</v>
      </c>
      <c r="AM2" t="e">
        <f>AND('4to. Secre.'!H9,"AAAAAGjfnyY=")</f>
        <v>#VALUE!</v>
      </c>
      <c r="AN2" t="e">
        <f>AND('4to. Secre.'!I9,"AAAAAGjfnyc=")</f>
        <v>#VALUE!</v>
      </c>
      <c r="AO2" t="e">
        <f>AND('4to. Secre.'!J9,"AAAAAGjfnyg=")</f>
        <v>#VALUE!</v>
      </c>
      <c r="AP2" t="e">
        <f>AND('4to. Secre.'!K9,"AAAAAGjfnyk=")</f>
        <v>#VALUE!</v>
      </c>
      <c r="AQ2" t="e">
        <f>AND('4to. Secre.'!L9,"AAAAAGjfnyo=")</f>
        <v>#VALUE!</v>
      </c>
      <c r="AR2" t="e">
        <f>AND('4to. Secre.'!M9,"AAAAAGjfnys=")</f>
        <v>#VALUE!</v>
      </c>
      <c r="AS2" t="e">
        <f>AND('4to. Secre.'!N9,"AAAAAGjfnyw=")</f>
        <v>#VALUE!</v>
      </c>
      <c r="AT2" t="e">
        <f>AND('4to. Secre.'!O9,"AAAAAGjfny0=")</f>
        <v>#VALUE!</v>
      </c>
      <c r="AU2" t="e">
        <f>AND('4to. Secre.'!P9,"AAAAAGjfny4=")</f>
        <v>#VALUE!</v>
      </c>
      <c r="AV2" t="e">
        <f>AND('4to. Secre.'!Q9,"AAAAAGjfny8=")</f>
        <v>#VALUE!</v>
      </c>
      <c r="AW2" t="e">
        <f>AND('4to. Secre.'!R9,"AAAAAGjfnzA=")</f>
        <v>#VALUE!</v>
      </c>
      <c r="AX2" t="e">
        <f>AND('4to. Secre.'!S9,"AAAAAGjfnzE=")</f>
        <v>#VALUE!</v>
      </c>
      <c r="AY2" t="e">
        <f>AND('4to. Secre.'!T9,"AAAAAGjfnzI=")</f>
        <v>#VALUE!</v>
      </c>
      <c r="AZ2" t="e">
        <f>AND('4to. Secre.'!#REF!,"AAAAAGjfnzM=")</f>
        <v>#REF!</v>
      </c>
      <c r="BA2" t="e">
        <f>AND('4to. Secre.'!#REF!,"AAAAAGjfnzQ=")</f>
        <v>#REF!</v>
      </c>
      <c r="BB2" t="e">
        <f>AND('4to. Secre.'!#REF!,"AAAAAGjfnzU=")</f>
        <v>#REF!</v>
      </c>
      <c r="BC2" t="e">
        <f>AND('4to. Secre.'!#REF!,"AAAAAGjfnzY=")</f>
        <v>#REF!</v>
      </c>
      <c r="BD2" t="e">
        <f>AND('4to. Secre.'!#REF!,"AAAAAGjfnzc=")</f>
        <v>#REF!</v>
      </c>
      <c r="BE2">
        <f>IF('4to. Secre.'!10:10,"AAAAAGjfnzg=",0)</f>
        <v>0</v>
      </c>
      <c r="BF2" t="e">
        <f>AND('4to. Secre.'!A10,"AAAAAGjfnzk=")</f>
        <v>#VALUE!</v>
      </c>
      <c r="BG2" t="e">
        <f>AND('4to. Secre.'!B10,"AAAAAGjfnzo=")</f>
        <v>#VALUE!</v>
      </c>
      <c r="BH2" t="e">
        <f>AND('4to. Secre.'!C10,"AAAAAGjfnzs=")</f>
        <v>#VALUE!</v>
      </c>
      <c r="BI2" t="e">
        <f>AND('4to. Secre.'!D10,"AAAAAGjfnzw=")</f>
        <v>#VALUE!</v>
      </c>
      <c r="BJ2" t="e">
        <f>AND('4to. Secre.'!E10,"AAAAAGjfnz0=")</f>
        <v>#VALUE!</v>
      </c>
      <c r="BK2" t="e">
        <f>AND('4to. Secre.'!F10,"AAAAAGjfnz4=")</f>
        <v>#VALUE!</v>
      </c>
      <c r="BL2" t="e">
        <f>AND('4to. Secre.'!G10,"AAAAAGjfnz8=")</f>
        <v>#VALUE!</v>
      </c>
      <c r="BM2" t="e">
        <f>AND('4to. Secre.'!H10,"AAAAAGjfn0A=")</f>
        <v>#VALUE!</v>
      </c>
      <c r="BN2" t="e">
        <f>AND('4to. Secre.'!I10,"AAAAAGjfn0E=")</f>
        <v>#VALUE!</v>
      </c>
      <c r="BO2" t="e">
        <f>AND('4to. Secre.'!J10,"AAAAAGjfn0I=")</f>
        <v>#VALUE!</v>
      </c>
      <c r="BP2" t="e">
        <f>AND('4to. Secre.'!K10,"AAAAAGjfn0M=")</f>
        <v>#VALUE!</v>
      </c>
      <c r="BQ2" t="e">
        <f>AND('4to. Secre.'!L10,"AAAAAGjfn0Q=")</f>
        <v>#VALUE!</v>
      </c>
      <c r="BR2" t="e">
        <f>AND('4to. Secre.'!M10,"AAAAAGjfn0U=")</f>
        <v>#VALUE!</v>
      </c>
      <c r="BS2" t="e">
        <f>AND('4to. Secre.'!N10,"AAAAAGjfn0Y=")</f>
        <v>#VALUE!</v>
      </c>
      <c r="BT2" t="e">
        <f>AND('4to. Secre.'!O10,"AAAAAGjfn0c=")</f>
        <v>#VALUE!</v>
      </c>
      <c r="BU2" t="e">
        <f>AND('4to. Secre.'!P10,"AAAAAGjfn0g=")</f>
        <v>#VALUE!</v>
      </c>
      <c r="BV2" t="e">
        <f>AND('4to. Secre.'!Q10,"AAAAAGjfn0k=")</f>
        <v>#VALUE!</v>
      </c>
      <c r="BW2" t="e">
        <f>AND('4to. Secre.'!R10,"AAAAAGjfn0o=")</f>
        <v>#VALUE!</v>
      </c>
      <c r="BX2" t="e">
        <f>AND('4to. Secre.'!S10,"AAAAAGjfn0s=")</f>
        <v>#VALUE!</v>
      </c>
      <c r="BY2" t="e">
        <f>AND('4to. Secre.'!T10,"AAAAAGjfn0w=")</f>
        <v>#VALUE!</v>
      </c>
      <c r="BZ2" t="e">
        <f>AND('4to. Secre.'!#REF!,"AAAAAGjfn00=")</f>
        <v>#REF!</v>
      </c>
      <c r="CA2" t="e">
        <f>AND('4to. Secre.'!#REF!,"AAAAAGjfn04=")</f>
        <v>#REF!</v>
      </c>
      <c r="CB2" t="e">
        <f>AND('4to. Secre.'!#REF!,"AAAAAGjfn08=")</f>
        <v>#REF!</v>
      </c>
      <c r="CC2" t="e">
        <f>AND('4to. Secre.'!#REF!,"AAAAAGjfn1A=")</f>
        <v>#REF!</v>
      </c>
      <c r="CD2" t="e">
        <f>AND('4to. Secre.'!#REF!,"AAAAAGjfn1E=")</f>
        <v>#REF!</v>
      </c>
      <c r="CE2">
        <f>IF('4to. Secre.'!11:11,"AAAAAGjfn1I=",0)</f>
        <v>0</v>
      </c>
      <c r="CF2" t="e">
        <f>AND('4to. Secre.'!A11,"AAAAAGjfn1M=")</f>
        <v>#VALUE!</v>
      </c>
      <c r="CG2" t="e">
        <f>AND('4to. Secre.'!B11,"AAAAAGjfn1Q=")</f>
        <v>#VALUE!</v>
      </c>
      <c r="CH2" t="e">
        <f>AND('4to. Secre.'!C11,"AAAAAGjfn1U=")</f>
        <v>#VALUE!</v>
      </c>
      <c r="CI2" t="e">
        <f>AND('4to. Secre.'!D11,"AAAAAGjfn1Y=")</f>
        <v>#VALUE!</v>
      </c>
      <c r="CJ2" t="e">
        <f>AND('4to. Secre.'!E11,"AAAAAGjfn1c=")</f>
        <v>#VALUE!</v>
      </c>
      <c r="CK2" t="e">
        <f>AND('4to. Secre.'!F11,"AAAAAGjfn1g=")</f>
        <v>#VALUE!</v>
      </c>
      <c r="CL2" t="e">
        <f>AND('4to. Secre.'!G11,"AAAAAGjfn1k=")</f>
        <v>#VALUE!</v>
      </c>
      <c r="CM2" t="e">
        <f>AND('4to. Secre.'!H11,"AAAAAGjfn1o=")</f>
        <v>#VALUE!</v>
      </c>
      <c r="CN2" t="e">
        <f>AND('4to. Secre.'!I11,"AAAAAGjfn1s=")</f>
        <v>#VALUE!</v>
      </c>
      <c r="CO2" t="e">
        <f>AND('4to. Secre.'!J11,"AAAAAGjfn1w=")</f>
        <v>#VALUE!</v>
      </c>
      <c r="CP2" t="e">
        <f>AND('4to. Secre.'!K11,"AAAAAGjfn10=")</f>
        <v>#VALUE!</v>
      </c>
      <c r="CQ2" t="e">
        <f>AND('4to. Secre.'!L11,"AAAAAGjfn14=")</f>
        <v>#VALUE!</v>
      </c>
      <c r="CR2" t="e">
        <f>AND('4to. Secre.'!M11,"AAAAAGjfn18=")</f>
        <v>#VALUE!</v>
      </c>
      <c r="CS2" t="e">
        <f>AND('4to. Secre.'!N11,"AAAAAGjfn2A=")</f>
        <v>#VALUE!</v>
      </c>
      <c r="CT2" t="e">
        <f>AND('4to. Secre.'!O11,"AAAAAGjfn2E=")</f>
        <v>#VALUE!</v>
      </c>
      <c r="CU2" t="e">
        <f>AND('4to. Secre.'!P11,"AAAAAGjfn2I=")</f>
        <v>#VALUE!</v>
      </c>
      <c r="CV2" t="e">
        <f>AND('4to. Secre.'!Q11,"AAAAAGjfn2M=")</f>
        <v>#VALUE!</v>
      </c>
      <c r="CW2" t="e">
        <f>AND('4to. Secre.'!R11,"AAAAAGjfn2Q=")</f>
        <v>#VALUE!</v>
      </c>
      <c r="CX2" t="e">
        <f>AND('4to. Secre.'!S11,"AAAAAGjfn2U=")</f>
        <v>#VALUE!</v>
      </c>
      <c r="CY2" t="e">
        <f>AND('4to. Secre.'!T11,"AAAAAGjfn2Y=")</f>
        <v>#VALUE!</v>
      </c>
      <c r="CZ2" t="e">
        <f>AND('4to. Secre.'!#REF!,"AAAAAGjfn2c=")</f>
        <v>#REF!</v>
      </c>
      <c r="DA2" t="e">
        <f>AND('4to. Secre.'!#REF!,"AAAAAGjfn2g=")</f>
        <v>#REF!</v>
      </c>
      <c r="DB2" t="e">
        <f>AND('4to. Secre.'!#REF!,"AAAAAGjfn2k=")</f>
        <v>#REF!</v>
      </c>
      <c r="DC2" t="e">
        <f>AND('4to. Secre.'!#REF!,"AAAAAGjfn2o=")</f>
        <v>#REF!</v>
      </c>
      <c r="DD2" t="e">
        <f>AND('4to. Secre.'!#REF!,"AAAAAGjfn2s=")</f>
        <v>#REF!</v>
      </c>
      <c r="DE2">
        <f>IF('4to. Secre.'!12:12,"AAAAAGjfn2w=",0)</f>
        <v>0</v>
      </c>
      <c r="DF2" t="e">
        <f>AND('4to. Secre.'!A12,"AAAAAGjfn20=")</f>
        <v>#VALUE!</v>
      </c>
      <c r="DG2" t="e">
        <f>AND('4to. Secre.'!B12,"AAAAAGjfn24=")</f>
        <v>#VALUE!</v>
      </c>
      <c r="DH2" t="e">
        <f>AND('4to. Secre.'!C12,"AAAAAGjfn28=")</f>
        <v>#VALUE!</v>
      </c>
      <c r="DI2" t="e">
        <f>AND('4to. Secre.'!D12,"AAAAAGjfn3A=")</f>
        <v>#VALUE!</v>
      </c>
      <c r="DJ2" t="e">
        <f>AND('4to. Secre.'!E12,"AAAAAGjfn3E=")</f>
        <v>#VALUE!</v>
      </c>
      <c r="DK2" t="e">
        <f>AND('4to. Secre.'!F12,"AAAAAGjfn3I=")</f>
        <v>#VALUE!</v>
      </c>
      <c r="DL2" t="e">
        <f>AND('4to. Secre.'!G12,"AAAAAGjfn3M=")</f>
        <v>#VALUE!</v>
      </c>
      <c r="DM2" t="e">
        <f>AND('4to. Secre.'!H12,"AAAAAGjfn3Q=")</f>
        <v>#VALUE!</v>
      </c>
      <c r="DN2" t="e">
        <f>AND('4to. Secre.'!I12,"AAAAAGjfn3U=")</f>
        <v>#VALUE!</v>
      </c>
      <c r="DO2" t="e">
        <f>AND('4to. Secre.'!J12,"AAAAAGjfn3Y=")</f>
        <v>#VALUE!</v>
      </c>
      <c r="DP2" t="e">
        <f>AND('4to. Secre.'!K12,"AAAAAGjfn3c=")</f>
        <v>#VALUE!</v>
      </c>
      <c r="DQ2" t="e">
        <f>AND('4to. Secre.'!L12,"AAAAAGjfn3g=")</f>
        <v>#VALUE!</v>
      </c>
      <c r="DR2" t="e">
        <f>AND('4to. Secre.'!M12,"AAAAAGjfn3k=")</f>
        <v>#VALUE!</v>
      </c>
      <c r="DS2" t="e">
        <f>AND('4to. Secre.'!N12,"AAAAAGjfn3o=")</f>
        <v>#VALUE!</v>
      </c>
      <c r="DT2" t="e">
        <f>AND('4to. Secre.'!O12,"AAAAAGjfn3s=")</f>
        <v>#VALUE!</v>
      </c>
      <c r="DU2" t="e">
        <f>AND('4to. Secre.'!P12,"AAAAAGjfn3w=")</f>
        <v>#VALUE!</v>
      </c>
      <c r="DV2" t="e">
        <f>AND('4to. Secre.'!Q12,"AAAAAGjfn30=")</f>
        <v>#VALUE!</v>
      </c>
      <c r="DW2" t="e">
        <f>AND('4to. Secre.'!R12,"AAAAAGjfn34=")</f>
        <v>#VALUE!</v>
      </c>
      <c r="DX2" t="e">
        <f>AND('4to. Secre.'!S12,"AAAAAGjfn38=")</f>
        <v>#VALUE!</v>
      </c>
      <c r="DY2" t="e">
        <f>AND('4to. Secre.'!T12,"AAAAAGjfn4A=")</f>
        <v>#VALUE!</v>
      </c>
      <c r="DZ2" t="e">
        <f>AND('4to. Secre.'!#REF!,"AAAAAGjfn4E=")</f>
        <v>#REF!</v>
      </c>
      <c r="EA2" t="e">
        <f>AND('4to. Secre.'!#REF!,"AAAAAGjfn4I=")</f>
        <v>#REF!</v>
      </c>
      <c r="EB2" t="e">
        <f>AND('4to. Secre.'!#REF!,"AAAAAGjfn4M=")</f>
        <v>#REF!</v>
      </c>
      <c r="EC2" t="e">
        <f>AND('4to. Secre.'!#REF!,"AAAAAGjfn4Q=")</f>
        <v>#REF!</v>
      </c>
      <c r="ED2" t="e">
        <f>AND('4to. Secre.'!#REF!,"AAAAAGjfn4U=")</f>
        <v>#REF!</v>
      </c>
      <c r="EE2">
        <f>IF('4to. Secre.'!13:13,"AAAAAGjfn4Y=",0)</f>
        <v>0</v>
      </c>
      <c r="EF2" t="e">
        <f>AND('4to. Secre.'!A13,"AAAAAGjfn4c=")</f>
        <v>#VALUE!</v>
      </c>
      <c r="EG2" t="e">
        <f>AND('4to. Secre.'!B13,"AAAAAGjfn4g=")</f>
        <v>#VALUE!</v>
      </c>
      <c r="EH2" t="e">
        <f>AND('4to. Secre.'!C13,"AAAAAGjfn4k=")</f>
        <v>#VALUE!</v>
      </c>
      <c r="EI2" t="e">
        <f>AND('4to. Secre.'!D13,"AAAAAGjfn4o=")</f>
        <v>#VALUE!</v>
      </c>
      <c r="EJ2" t="e">
        <f>AND('4to. Secre.'!E13,"AAAAAGjfn4s=")</f>
        <v>#VALUE!</v>
      </c>
      <c r="EK2" t="e">
        <f>AND('4to. Secre.'!F13,"AAAAAGjfn4w=")</f>
        <v>#VALUE!</v>
      </c>
      <c r="EL2" t="e">
        <f>AND('4to. Secre.'!G13,"AAAAAGjfn40=")</f>
        <v>#VALUE!</v>
      </c>
      <c r="EM2" t="e">
        <f>AND('4to. Secre.'!H13,"AAAAAGjfn44=")</f>
        <v>#VALUE!</v>
      </c>
      <c r="EN2" t="e">
        <f>AND('4to. Secre.'!I13,"AAAAAGjfn48=")</f>
        <v>#VALUE!</v>
      </c>
      <c r="EO2" t="e">
        <f>AND('4to. Secre.'!J13,"AAAAAGjfn5A=")</f>
        <v>#VALUE!</v>
      </c>
      <c r="EP2" t="e">
        <f>AND('4to. Secre.'!K13,"AAAAAGjfn5E=")</f>
        <v>#VALUE!</v>
      </c>
      <c r="EQ2" t="e">
        <f>AND('4to. Secre.'!L13,"AAAAAGjfn5I=")</f>
        <v>#VALUE!</v>
      </c>
      <c r="ER2" t="e">
        <f>AND('4to. Secre.'!M13,"AAAAAGjfn5M=")</f>
        <v>#VALUE!</v>
      </c>
      <c r="ES2" t="e">
        <f>AND('4to. Secre.'!N13,"AAAAAGjfn5Q=")</f>
        <v>#VALUE!</v>
      </c>
      <c r="ET2" t="e">
        <f>AND('4to. Secre.'!O13,"AAAAAGjfn5U=")</f>
        <v>#VALUE!</v>
      </c>
      <c r="EU2" t="e">
        <f>AND('4to. Secre.'!P13,"AAAAAGjfn5Y=")</f>
        <v>#VALUE!</v>
      </c>
      <c r="EV2" t="e">
        <f>AND('4to. Secre.'!Q13,"AAAAAGjfn5c=")</f>
        <v>#VALUE!</v>
      </c>
      <c r="EW2" t="e">
        <f>AND('4to. Secre.'!R13,"AAAAAGjfn5g=")</f>
        <v>#VALUE!</v>
      </c>
      <c r="EX2" t="e">
        <f>AND('4to. Secre.'!S13,"AAAAAGjfn5k=")</f>
        <v>#VALUE!</v>
      </c>
      <c r="EY2" t="e">
        <f>AND('4to. Secre.'!T13,"AAAAAGjfn5o=")</f>
        <v>#VALUE!</v>
      </c>
      <c r="EZ2" t="e">
        <f>AND('4to. Secre.'!#REF!,"AAAAAGjfn5s=")</f>
        <v>#REF!</v>
      </c>
      <c r="FA2" t="e">
        <f>AND('4to. Secre.'!#REF!,"AAAAAGjfn5w=")</f>
        <v>#REF!</v>
      </c>
      <c r="FB2" t="e">
        <f>AND('4to. Secre.'!#REF!,"AAAAAGjfn50=")</f>
        <v>#REF!</v>
      </c>
      <c r="FC2" t="e">
        <f>AND('4to. Secre.'!#REF!,"AAAAAGjfn54=")</f>
        <v>#REF!</v>
      </c>
      <c r="FD2" t="e">
        <f>AND('4to. Secre.'!#REF!,"AAAAAGjfn58=")</f>
        <v>#REF!</v>
      </c>
      <c r="FE2">
        <f>IF('4to. Secre.'!14:14,"AAAAAGjfn6A=",0)</f>
        <v>0</v>
      </c>
      <c r="FF2" t="e">
        <f>AND('4to. Secre.'!A14,"AAAAAGjfn6E=")</f>
        <v>#VALUE!</v>
      </c>
      <c r="FG2" t="e">
        <f>AND('4to. Secre.'!B14,"AAAAAGjfn6I=")</f>
        <v>#VALUE!</v>
      </c>
      <c r="FH2" t="e">
        <f>AND('4to. Secre.'!C14,"AAAAAGjfn6M=")</f>
        <v>#VALUE!</v>
      </c>
      <c r="FI2" t="e">
        <f>AND('4to. Secre.'!D14,"AAAAAGjfn6Q=")</f>
        <v>#VALUE!</v>
      </c>
      <c r="FJ2" t="e">
        <f>AND('4to. Secre.'!E14,"AAAAAGjfn6U=")</f>
        <v>#VALUE!</v>
      </c>
      <c r="FK2" t="e">
        <f>AND('4to. Secre.'!F14,"AAAAAGjfn6Y=")</f>
        <v>#VALUE!</v>
      </c>
      <c r="FL2" t="e">
        <f>AND('4to. Secre.'!G14,"AAAAAGjfn6c=")</f>
        <v>#VALUE!</v>
      </c>
      <c r="FM2" t="e">
        <f>AND('4to. Secre.'!H14,"AAAAAGjfn6g=")</f>
        <v>#VALUE!</v>
      </c>
      <c r="FN2" t="e">
        <f>AND('4to. Secre.'!I14,"AAAAAGjfn6k=")</f>
        <v>#VALUE!</v>
      </c>
      <c r="FO2" t="e">
        <f>AND('4to. Secre.'!J14,"AAAAAGjfn6o=")</f>
        <v>#VALUE!</v>
      </c>
      <c r="FP2" t="e">
        <f>AND('4to. Secre.'!K14,"AAAAAGjfn6s=")</f>
        <v>#VALUE!</v>
      </c>
      <c r="FQ2" t="e">
        <f>AND('4to. Secre.'!L14,"AAAAAGjfn6w=")</f>
        <v>#VALUE!</v>
      </c>
      <c r="FR2" t="e">
        <f>AND('4to. Secre.'!M14,"AAAAAGjfn60=")</f>
        <v>#VALUE!</v>
      </c>
      <c r="FS2" t="e">
        <f>AND('4to. Secre.'!N14,"AAAAAGjfn64=")</f>
        <v>#VALUE!</v>
      </c>
      <c r="FT2" t="e">
        <f>AND('4to. Secre.'!O14,"AAAAAGjfn68=")</f>
        <v>#VALUE!</v>
      </c>
      <c r="FU2" t="e">
        <f>AND('4to. Secre.'!P14,"AAAAAGjfn7A=")</f>
        <v>#VALUE!</v>
      </c>
      <c r="FV2" t="e">
        <f>AND('4to. Secre.'!Q14,"AAAAAGjfn7E=")</f>
        <v>#VALUE!</v>
      </c>
      <c r="FW2" t="e">
        <f>AND('4to. Secre.'!R14,"AAAAAGjfn7I=")</f>
        <v>#VALUE!</v>
      </c>
      <c r="FX2" t="e">
        <f>AND('4to. Secre.'!S14,"AAAAAGjfn7M=")</f>
        <v>#VALUE!</v>
      </c>
      <c r="FY2" t="e">
        <f>AND('4to. Secre.'!T14,"AAAAAGjfn7Q=")</f>
        <v>#VALUE!</v>
      </c>
      <c r="FZ2" t="e">
        <f>AND('4to. Secre.'!#REF!,"AAAAAGjfn7U=")</f>
        <v>#REF!</v>
      </c>
      <c r="GA2" t="e">
        <f>AND('4to. Secre.'!#REF!,"AAAAAGjfn7Y=")</f>
        <v>#REF!</v>
      </c>
      <c r="GB2" t="e">
        <f>AND('4to. Secre.'!#REF!,"AAAAAGjfn7c=")</f>
        <v>#REF!</v>
      </c>
      <c r="GC2" t="e">
        <f>AND('4to. Secre.'!#REF!,"AAAAAGjfn7g=")</f>
        <v>#REF!</v>
      </c>
      <c r="GD2" t="e">
        <f>AND('4to. Secre.'!#REF!,"AAAAAGjfn7k=")</f>
        <v>#REF!</v>
      </c>
      <c r="GE2">
        <f>IF('4to. Secre.'!15:15,"AAAAAGjfn7o=",0)</f>
        <v>0</v>
      </c>
      <c r="GF2" t="e">
        <f>AND('4to. Secre.'!A15,"AAAAAGjfn7s=")</f>
        <v>#VALUE!</v>
      </c>
      <c r="GG2" t="e">
        <f>AND('4to. Secre.'!B15,"AAAAAGjfn7w=")</f>
        <v>#VALUE!</v>
      </c>
      <c r="GH2" t="e">
        <f>AND('4to. Secre.'!C15,"AAAAAGjfn70=")</f>
        <v>#VALUE!</v>
      </c>
      <c r="GI2" t="e">
        <f>AND('4to. Secre.'!D15,"AAAAAGjfn74=")</f>
        <v>#VALUE!</v>
      </c>
      <c r="GJ2" t="e">
        <f>AND('4to. Secre.'!E15,"AAAAAGjfn78=")</f>
        <v>#VALUE!</v>
      </c>
      <c r="GK2" t="e">
        <f>AND('4to. Secre.'!F15,"AAAAAGjfn8A=")</f>
        <v>#VALUE!</v>
      </c>
      <c r="GL2" t="e">
        <f>AND('4to. Secre.'!G15,"AAAAAGjfn8E=")</f>
        <v>#VALUE!</v>
      </c>
      <c r="GM2" t="e">
        <f>AND('4to. Secre.'!H15,"AAAAAGjfn8I=")</f>
        <v>#VALUE!</v>
      </c>
      <c r="GN2" t="e">
        <f>AND('4to. Secre.'!I15,"AAAAAGjfn8M=")</f>
        <v>#VALUE!</v>
      </c>
      <c r="GO2" t="e">
        <f>AND('4to. Secre.'!J15,"AAAAAGjfn8Q=")</f>
        <v>#VALUE!</v>
      </c>
      <c r="GP2" t="e">
        <f>AND('4to. Secre.'!K15,"AAAAAGjfn8U=")</f>
        <v>#VALUE!</v>
      </c>
      <c r="GQ2" t="e">
        <f>AND('4to. Secre.'!L15,"AAAAAGjfn8Y=")</f>
        <v>#VALUE!</v>
      </c>
      <c r="GR2" t="e">
        <f>AND('4to. Secre.'!M15,"AAAAAGjfn8c=")</f>
        <v>#VALUE!</v>
      </c>
      <c r="GS2" t="e">
        <f>AND('4to. Secre.'!N15,"AAAAAGjfn8g=")</f>
        <v>#VALUE!</v>
      </c>
      <c r="GT2" t="e">
        <f>AND('4to. Secre.'!O15,"AAAAAGjfn8k=")</f>
        <v>#VALUE!</v>
      </c>
      <c r="GU2" t="e">
        <f>AND('4to. Secre.'!P15,"AAAAAGjfn8o=")</f>
        <v>#VALUE!</v>
      </c>
      <c r="GV2" t="e">
        <f>AND('4to. Secre.'!Q15,"AAAAAGjfn8s=")</f>
        <v>#VALUE!</v>
      </c>
      <c r="GW2" t="e">
        <f>AND('4to. Secre.'!R15,"AAAAAGjfn8w=")</f>
        <v>#VALUE!</v>
      </c>
      <c r="GX2" t="e">
        <f>AND('4to. Secre.'!S15,"AAAAAGjfn80=")</f>
        <v>#VALUE!</v>
      </c>
      <c r="GY2" t="e">
        <f>AND('4to. Secre.'!T15,"AAAAAGjfn84=")</f>
        <v>#VALUE!</v>
      </c>
      <c r="GZ2" t="e">
        <f>AND('4to. Secre.'!#REF!,"AAAAAGjfn88=")</f>
        <v>#REF!</v>
      </c>
      <c r="HA2" t="e">
        <f>AND('4to. Secre.'!#REF!,"AAAAAGjfn9A=")</f>
        <v>#REF!</v>
      </c>
      <c r="HB2" t="e">
        <f>AND('4to. Secre.'!#REF!,"AAAAAGjfn9E=")</f>
        <v>#REF!</v>
      </c>
      <c r="HC2" t="e">
        <f>AND('4to. Secre.'!#REF!,"AAAAAGjfn9I=")</f>
        <v>#REF!</v>
      </c>
      <c r="HD2" t="e">
        <f>AND('4to. Secre.'!#REF!,"AAAAAGjfn9M=")</f>
        <v>#REF!</v>
      </c>
      <c r="HE2">
        <f>IF('4to. Secre.'!16:16,"AAAAAGjfn9Q=",0)</f>
        <v>0</v>
      </c>
      <c r="HF2" t="e">
        <f>AND('4to. Secre.'!A16,"AAAAAGjfn9U=")</f>
        <v>#VALUE!</v>
      </c>
      <c r="HG2" t="e">
        <f>AND('4to. Secre.'!B16,"AAAAAGjfn9Y=")</f>
        <v>#VALUE!</v>
      </c>
      <c r="HH2" t="e">
        <f>AND('4to. Secre.'!C16,"AAAAAGjfn9c=")</f>
        <v>#VALUE!</v>
      </c>
      <c r="HI2" t="e">
        <f>AND('4to. Secre.'!D16,"AAAAAGjfn9g=")</f>
        <v>#VALUE!</v>
      </c>
      <c r="HJ2" t="e">
        <f>AND('4to. Secre.'!E16,"AAAAAGjfn9k=")</f>
        <v>#VALUE!</v>
      </c>
      <c r="HK2" t="e">
        <f>AND('4to. Secre.'!F16,"AAAAAGjfn9o=")</f>
        <v>#VALUE!</v>
      </c>
      <c r="HL2" t="e">
        <f>AND('4to. Secre.'!G16,"AAAAAGjfn9s=")</f>
        <v>#VALUE!</v>
      </c>
      <c r="HM2" t="e">
        <f>AND('4to. Secre.'!H16,"AAAAAGjfn9w=")</f>
        <v>#VALUE!</v>
      </c>
      <c r="HN2" t="e">
        <f>AND('4to. Secre.'!I16,"AAAAAGjfn90=")</f>
        <v>#VALUE!</v>
      </c>
      <c r="HO2" t="e">
        <f>AND('4to. Secre.'!J16,"AAAAAGjfn94=")</f>
        <v>#VALUE!</v>
      </c>
      <c r="HP2" t="e">
        <f>AND('4to. Secre.'!K16,"AAAAAGjfn98=")</f>
        <v>#VALUE!</v>
      </c>
      <c r="HQ2" t="e">
        <f>AND('4to. Secre.'!L16,"AAAAAGjfn+A=")</f>
        <v>#VALUE!</v>
      </c>
      <c r="HR2" t="e">
        <f>AND('4to. Secre.'!M16,"AAAAAGjfn+E=")</f>
        <v>#VALUE!</v>
      </c>
      <c r="HS2" t="e">
        <f>AND('4to. Secre.'!N16,"AAAAAGjfn+I=")</f>
        <v>#VALUE!</v>
      </c>
      <c r="HT2" t="e">
        <f>AND('4to. Secre.'!O16,"AAAAAGjfn+M=")</f>
        <v>#VALUE!</v>
      </c>
      <c r="HU2" t="e">
        <f>AND('4to. Secre.'!P16,"AAAAAGjfn+Q=")</f>
        <v>#VALUE!</v>
      </c>
      <c r="HV2" t="e">
        <f>AND('4to. Secre.'!Q16,"AAAAAGjfn+U=")</f>
        <v>#VALUE!</v>
      </c>
      <c r="HW2" t="e">
        <f>AND('4to. Secre.'!R16,"AAAAAGjfn+Y=")</f>
        <v>#VALUE!</v>
      </c>
      <c r="HX2" t="e">
        <f>AND('4to. Secre.'!S16,"AAAAAGjfn+c=")</f>
        <v>#VALUE!</v>
      </c>
      <c r="HY2" t="e">
        <f>AND('4to. Secre.'!T16,"AAAAAGjfn+g=")</f>
        <v>#VALUE!</v>
      </c>
      <c r="HZ2" t="e">
        <f>AND('4to. Secre.'!#REF!,"AAAAAGjfn+k=")</f>
        <v>#REF!</v>
      </c>
      <c r="IA2" t="e">
        <f>AND('4to. Secre.'!#REF!,"AAAAAGjfn+o=")</f>
        <v>#REF!</v>
      </c>
      <c r="IB2" t="e">
        <f>AND('4to. Secre.'!#REF!,"AAAAAGjfn+s=")</f>
        <v>#REF!</v>
      </c>
      <c r="IC2" t="e">
        <f>AND('4to. Secre.'!#REF!,"AAAAAGjfn+w=")</f>
        <v>#REF!</v>
      </c>
      <c r="ID2" t="e">
        <f>AND('4to. Secre.'!#REF!,"AAAAAGjfn+0=")</f>
        <v>#REF!</v>
      </c>
      <c r="IE2">
        <f>IF('4to. Secre.'!17:17,"AAAAAGjfn+4=",0)</f>
        <v>0</v>
      </c>
      <c r="IF2" t="e">
        <f>AND('4to. Secre.'!A17,"AAAAAGjfn+8=")</f>
        <v>#VALUE!</v>
      </c>
      <c r="IG2" t="e">
        <f>AND('4to. Secre.'!B17,"AAAAAGjfn/A=")</f>
        <v>#VALUE!</v>
      </c>
      <c r="IH2" t="e">
        <f>AND('4to. Secre.'!C17,"AAAAAGjfn/E=")</f>
        <v>#VALUE!</v>
      </c>
      <c r="II2" t="e">
        <f>AND('4to. Secre.'!D17,"AAAAAGjfn/I=")</f>
        <v>#VALUE!</v>
      </c>
      <c r="IJ2" t="e">
        <f>AND('4to. Secre.'!E17,"AAAAAGjfn/M=")</f>
        <v>#VALUE!</v>
      </c>
      <c r="IK2" t="e">
        <f>AND('4to. Secre.'!F17,"AAAAAGjfn/Q=")</f>
        <v>#VALUE!</v>
      </c>
      <c r="IL2" t="e">
        <f>AND('4to. Secre.'!G17,"AAAAAGjfn/U=")</f>
        <v>#VALUE!</v>
      </c>
      <c r="IM2" t="e">
        <f>AND('4to. Secre.'!H17,"AAAAAGjfn/Y=")</f>
        <v>#VALUE!</v>
      </c>
      <c r="IN2" t="e">
        <f>AND('4to. Secre.'!I17,"AAAAAGjfn/c=")</f>
        <v>#VALUE!</v>
      </c>
      <c r="IO2" t="e">
        <f>AND('4to. Secre.'!J17,"AAAAAGjfn/g=")</f>
        <v>#VALUE!</v>
      </c>
      <c r="IP2" t="e">
        <f>AND('4to. Secre.'!K17,"AAAAAGjfn/k=")</f>
        <v>#VALUE!</v>
      </c>
      <c r="IQ2" t="e">
        <f>AND('4to. Secre.'!L17,"AAAAAGjfn/o=")</f>
        <v>#VALUE!</v>
      </c>
      <c r="IR2" t="e">
        <f>AND('4to. Secre.'!M17,"AAAAAGjfn/s=")</f>
        <v>#VALUE!</v>
      </c>
      <c r="IS2" t="e">
        <f>AND('4to. Secre.'!N17,"AAAAAGjfn/w=")</f>
        <v>#VALUE!</v>
      </c>
      <c r="IT2" t="e">
        <f>AND('4to. Secre.'!O17,"AAAAAGjfn/0=")</f>
        <v>#VALUE!</v>
      </c>
      <c r="IU2" t="e">
        <f>AND('4to. Secre.'!P17,"AAAAAGjfn/4=")</f>
        <v>#VALUE!</v>
      </c>
      <c r="IV2" t="e">
        <f>AND('4to. Secre.'!Q17,"AAAAAGjfn/8=")</f>
        <v>#VALUE!</v>
      </c>
    </row>
    <row r="3" spans="1:256">
      <c r="A3" t="e">
        <f>AND('4to. Secre.'!R17,"AAAAAC/rLgA=")</f>
        <v>#VALUE!</v>
      </c>
      <c r="B3" t="e">
        <f>AND('4to. Secre.'!S17,"AAAAAC/rLgE=")</f>
        <v>#VALUE!</v>
      </c>
      <c r="C3" t="e">
        <f>AND('4to. Secre.'!T17,"AAAAAC/rLgI=")</f>
        <v>#VALUE!</v>
      </c>
      <c r="D3" t="e">
        <f>AND('4to. Secre.'!#REF!,"AAAAAC/rLgM=")</f>
        <v>#REF!</v>
      </c>
      <c r="E3" t="e">
        <f>AND('4to. Secre.'!#REF!,"AAAAAC/rLgQ=")</f>
        <v>#REF!</v>
      </c>
      <c r="F3" t="e">
        <f>AND('4to. Secre.'!#REF!,"AAAAAC/rLgU=")</f>
        <v>#REF!</v>
      </c>
      <c r="G3" t="e">
        <f>AND('4to. Secre.'!#REF!,"AAAAAC/rLgY=")</f>
        <v>#REF!</v>
      </c>
      <c r="H3" t="e">
        <f>AND('4to. Secre.'!#REF!,"AAAAAC/rLgc=")</f>
        <v>#REF!</v>
      </c>
      <c r="I3">
        <f>IF('4to. Secre.'!18:18,"AAAAAC/rLgg=",0)</f>
        <v>0</v>
      </c>
      <c r="J3" t="e">
        <f>AND('4to. Secre.'!A18,"AAAAAC/rLgk=")</f>
        <v>#VALUE!</v>
      </c>
      <c r="K3" t="e">
        <f>AND('4to. Secre.'!B18,"AAAAAC/rLgo=")</f>
        <v>#VALUE!</v>
      </c>
      <c r="L3" t="e">
        <f>AND('4to. Secre.'!C18,"AAAAAC/rLgs=")</f>
        <v>#VALUE!</v>
      </c>
      <c r="M3" t="e">
        <f>AND('4to. Secre.'!D18,"AAAAAC/rLgw=")</f>
        <v>#VALUE!</v>
      </c>
      <c r="N3" t="e">
        <f>AND('4to. Secre.'!E18,"AAAAAC/rLg0=")</f>
        <v>#VALUE!</v>
      </c>
      <c r="O3" t="e">
        <f>AND('4to. Secre.'!F18,"AAAAAC/rLg4=")</f>
        <v>#VALUE!</v>
      </c>
      <c r="P3" t="e">
        <f>AND('4to. Secre.'!G18,"AAAAAC/rLg8=")</f>
        <v>#VALUE!</v>
      </c>
      <c r="Q3" t="e">
        <f>AND('4to. Secre.'!H18,"AAAAAC/rLhA=")</f>
        <v>#VALUE!</v>
      </c>
      <c r="R3" t="e">
        <f>AND('4to. Secre.'!I18,"AAAAAC/rLhE=")</f>
        <v>#VALUE!</v>
      </c>
      <c r="S3" t="e">
        <f>AND('4to. Secre.'!J18,"AAAAAC/rLhI=")</f>
        <v>#VALUE!</v>
      </c>
      <c r="T3" t="e">
        <f>AND('4to. Secre.'!K18,"AAAAAC/rLhM=")</f>
        <v>#VALUE!</v>
      </c>
      <c r="U3" t="e">
        <f>AND('4to. Secre.'!L18,"AAAAAC/rLhQ=")</f>
        <v>#VALUE!</v>
      </c>
      <c r="V3" t="e">
        <f>AND('4to. Secre.'!M18,"AAAAAC/rLhU=")</f>
        <v>#VALUE!</v>
      </c>
      <c r="W3" t="e">
        <f>AND('4to. Secre.'!N18,"AAAAAC/rLhY=")</f>
        <v>#VALUE!</v>
      </c>
      <c r="X3" t="e">
        <f>AND('4to. Secre.'!O18,"AAAAAC/rLhc=")</f>
        <v>#VALUE!</v>
      </c>
      <c r="Y3" t="e">
        <f>AND('4to. Secre.'!P18,"AAAAAC/rLhg=")</f>
        <v>#VALUE!</v>
      </c>
      <c r="Z3" t="e">
        <f>AND('4to. Secre.'!Q18,"AAAAAC/rLhk=")</f>
        <v>#VALUE!</v>
      </c>
      <c r="AA3" t="e">
        <f>AND('4to. Secre.'!R18,"AAAAAC/rLho=")</f>
        <v>#VALUE!</v>
      </c>
      <c r="AB3" t="e">
        <f>AND('4to. Secre.'!S18,"AAAAAC/rLhs=")</f>
        <v>#VALUE!</v>
      </c>
      <c r="AC3" t="e">
        <f>AND('4to. Secre.'!T18,"AAAAAC/rLhw=")</f>
        <v>#VALUE!</v>
      </c>
      <c r="AD3" t="e">
        <f>AND('4to. Secre.'!#REF!,"AAAAAC/rLh0=")</f>
        <v>#REF!</v>
      </c>
      <c r="AE3" t="e">
        <f>AND('4to. Secre.'!#REF!,"AAAAAC/rLh4=")</f>
        <v>#REF!</v>
      </c>
      <c r="AF3" t="e">
        <f>AND('4to. Secre.'!#REF!,"AAAAAC/rLh8=")</f>
        <v>#REF!</v>
      </c>
      <c r="AG3" t="e">
        <f>AND('4to. Secre.'!#REF!,"AAAAAC/rLiA=")</f>
        <v>#REF!</v>
      </c>
      <c r="AH3" t="e">
        <f>AND('4to. Secre.'!#REF!,"AAAAAC/rLiE=")</f>
        <v>#REF!</v>
      </c>
      <c r="AI3">
        <f>IF('4to. Secre.'!19:19,"AAAAAC/rLiI=",0)</f>
        <v>0</v>
      </c>
      <c r="AJ3" t="e">
        <f>AND('4to. Secre.'!A19,"AAAAAC/rLiM=")</f>
        <v>#VALUE!</v>
      </c>
      <c r="AK3" t="e">
        <f>AND('4to. Secre.'!B19,"AAAAAC/rLiQ=")</f>
        <v>#VALUE!</v>
      </c>
      <c r="AL3" t="e">
        <f>AND('4to. Secre.'!C19,"AAAAAC/rLiU=")</f>
        <v>#VALUE!</v>
      </c>
      <c r="AM3" t="e">
        <f>AND('4to. Secre.'!D19,"AAAAAC/rLiY=")</f>
        <v>#VALUE!</v>
      </c>
      <c r="AN3" t="e">
        <f>AND('4to. Secre.'!E19,"AAAAAC/rLic=")</f>
        <v>#VALUE!</v>
      </c>
      <c r="AO3" t="e">
        <f>AND('4to. Secre.'!F19,"AAAAAC/rLig=")</f>
        <v>#VALUE!</v>
      </c>
      <c r="AP3" t="e">
        <f>AND('4to. Secre.'!G19,"AAAAAC/rLik=")</f>
        <v>#VALUE!</v>
      </c>
      <c r="AQ3" t="e">
        <f>AND('4to. Secre.'!H19,"AAAAAC/rLio=")</f>
        <v>#VALUE!</v>
      </c>
      <c r="AR3" t="e">
        <f>AND('4to. Secre.'!I19,"AAAAAC/rLis=")</f>
        <v>#VALUE!</v>
      </c>
      <c r="AS3" t="e">
        <f>AND('4to. Secre.'!J19,"AAAAAC/rLiw=")</f>
        <v>#VALUE!</v>
      </c>
      <c r="AT3" t="e">
        <f>AND('4to. Secre.'!K19,"AAAAAC/rLi0=")</f>
        <v>#VALUE!</v>
      </c>
      <c r="AU3" t="e">
        <f>AND('4to. Secre.'!L19,"AAAAAC/rLi4=")</f>
        <v>#VALUE!</v>
      </c>
      <c r="AV3" t="e">
        <f>AND('4to. Secre.'!M19,"AAAAAC/rLi8=")</f>
        <v>#VALUE!</v>
      </c>
      <c r="AW3" t="e">
        <f>AND('4to. Secre.'!N19,"AAAAAC/rLjA=")</f>
        <v>#VALUE!</v>
      </c>
      <c r="AX3" t="e">
        <f>AND('4to. Secre.'!O19,"AAAAAC/rLjE=")</f>
        <v>#VALUE!</v>
      </c>
      <c r="AY3" t="e">
        <f>AND('4to. Secre.'!P19,"AAAAAC/rLjI=")</f>
        <v>#VALUE!</v>
      </c>
      <c r="AZ3" t="e">
        <f>AND('4to. Secre.'!Q19,"AAAAAC/rLjM=")</f>
        <v>#VALUE!</v>
      </c>
      <c r="BA3" t="e">
        <f>AND('4to. Secre.'!R19,"AAAAAC/rLjQ=")</f>
        <v>#VALUE!</v>
      </c>
      <c r="BB3" t="e">
        <f>AND('4to. Secre.'!S19,"AAAAAC/rLjU=")</f>
        <v>#VALUE!</v>
      </c>
      <c r="BC3" t="e">
        <f>AND('4to. Secre.'!T19,"AAAAAC/rLjY=")</f>
        <v>#VALUE!</v>
      </c>
      <c r="BD3" t="e">
        <f>AND('4to. Secre.'!#REF!,"AAAAAC/rLjc=")</f>
        <v>#REF!</v>
      </c>
      <c r="BE3" t="e">
        <f>AND('4to. Secre.'!#REF!,"AAAAAC/rLjg=")</f>
        <v>#REF!</v>
      </c>
      <c r="BF3" t="e">
        <f>AND('4to. Secre.'!#REF!,"AAAAAC/rLjk=")</f>
        <v>#REF!</v>
      </c>
      <c r="BG3" t="e">
        <f>AND('4to. Secre.'!#REF!,"AAAAAC/rLjo=")</f>
        <v>#REF!</v>
      </c>
      <c r="BH3" t="e">
        <f>AND('4to. Secre.'!#REF!,"AAAAAC/rLjs=")</f>
        <v>#REF!</v>
      </c>
      <c r="BI3">
        <f>IF('4to. Secre.'!20:20,"AAAAAC/rLjw=",0)</f>
        <v>0</v>
      </c>
      <c r="BJ3" t="e">
        <f>AND('4to. Secre.'!A20,"AAAAAC/rLj0=")</f>
        <v>#VALUE!</v>
      </c>
      <c r="BK3" t="e">
        <f>AND('4to. Secre.'!B20,"AAAAAC/rLj4=")</f>
        <v>#VALUE!</v>
      </c>
      <c r="BL3" t="e">
        <f>AND('4to. Secre.'!C20,"AAAAAC/rLj8=")</f>
        <v>#VALUE!</v>
      </c>
      <c r="BM3" t="e">
        <f>AND('4to. Secre.'!D20,"AAAAAC/rLkA=")</f>
        <v>#VALUE!</v>
      </c>
      <c r="BN3" t="e">
        <f>AND('4to. Secre.'!E20,"AAAAAC/rLkE=")</f>
        <v>#VALUE!</v>
      </c>
      <c r="BO3" t="e">
        <f>AND('4to. Secre.'!F20,"AAAAAC/rLkI=")</f>
        <v>#VALUE!</v>
      </c>
      <c r="BP3" t="e">
        <f>AND('4to. Secre.'!G20,"AAAAAC/rLkM=")</f>
        <v>#VALUE!</v>
      </c>
      <c r="BQ3" t="e">
        <f>AND('4to. Secre.'!H20,"AAAAAC/rLkQ=")</f>
        <v>#VALUE!</v>
      </c>
      <c r="BR3" t="e">
        <f>AND('4to. Secre.'!I20,"AAAAAC/rLkU=")</f>
        <v>#VALUE!</v>
      </c>
      <c r="BS3" t="e">
        <f>AND('4to. Secre.'!J20,"AAAAAC/rLkY=")</f>
        <v>#VALUE!</v>
      </c>
      <c r="BT3" t="e">
        <f>AND('4to. Secre.'!K20,"AAAAAC/rLkc=")</f>
        <v>#VALUE!</v>
      </c>
      <c r="BU3" t="e">
        <f>AND('4to. Secre.'!L20,"AAAAAC/rLkg=")</f>
        <v>#VALUE!</v>
      </c>
      <c r="BV3" t="e">
        <f>AND('4to. Secre.'!M20,"AAAAAC/rLkk=")</f>
        <v>#VALUE!</v>
      </c>
      <c r="BW3" t="e">
        <f>AND('4to. Secre.'!N20,"AAAAAC/rLko=")</f>
        <v>#VALUE!</v>
      </c>
      <c r="BX3" t="e">
        <f>AND('4to. Secre.'!O20,"AAAAAC/rLks=")</f>
        <v>#VALUE!</v>
      </c>
      <c r="BY3" t="e">
        <f>AND('4to. Secre.'!P20,"AAAAAC/rLkw=")</f>
        <v>#VALUE!</v>
      </c>
      <c r="BZ3" t="e">
        <f>AND('4to. Secre.'!Q20,"AAAAAC/rLk0=")</f>
        <v>#VALUE!</v>
      </c>
      <c r="CA3" t="e">
        <f>AND('4to. Secre.'!R20,"AAAAAC/rLk4=")</f>
        <v>#VALUE!</v>
      </c>
      <c r="CB3" t="e">
        <f>AND('4to. Secre.'!S20,"AAAAAC/rLk8=")</f>
        <v>#VALUE!</v>
      </c>
      <c r="CC3" t="e">
        <f>AND('4to. Secre.'!T20,"AAAAAC/rLlA=")</f>
        <v>#VALUE!</v>
      </c>
      <c r="CD3" t="e">
        <f>AND('4to. Secre.'!#REF!,"AAAAAC/rLlE=")</f>
        <v>#REF!</v>
      </c>
      <c r="CE3" t="e">
        <f>AND('4to. Secre.'!#REF!,"AAAAAC/rLlI=")</f>
        <v>#REF!</v>
      </c>
      <c r="CF3" t="e">
        <f>AND('4to. Secre.'!#REF!,"AAAAAC/rLlM=")</f>
        <v>#REF!</v>
      </c>
      <c r="CG3" t="e">
        <f>AND('4to. Secre.'!#REF!,"AAAAAC/rLlQ=")</f>
        <v>#REF!</v>
      </c>
      <c r="CH3" t="e">
        <f>AND('4to. Secre.'!#REF!,"AAAAAC/rLlU=")</f>
        <v>#REF!</v>
      </c>
      <c r="CI3">
        <f>IF('4to. Secre.'!21:21,"AAAAAC/rLlY=",0)</f>
        <v>0</v>
      </c>
      <c r="CJ3" t="e">
        <f>AND('4to. Secre.'!A21,"AAAAAC/rLlc=")</f>
        <v>#VALUE!</v>
      </c>
      <c r="CK3" t="e">
        <f>AND('4to. Secre.'!B21,"AAAAAC/rLlg=")</f>
        <v>#VALUE!</v>
      </c>
      <c r="CL3" t="e">
        <f>AND('4to. Secre.'!C21,"AAAAAC/rLlk=")</f>
        <v>#VALUE!</v>
      </c>
      <c r="CM3" t="e">
        <f>AND('4to. Secre.'!D21,"AAAAAC/rLlo=")</f>
        <v>#VALUE!</v>
      </c>
      <c r="CN3" t="e">
        <f>AND('4to. Secre.'!E21,"AAAAAC/rLls=")</f>
        <v>#VALUE!</v>
      </c>
      <c r="CO3" t="e">
        <f>AND('4to. Secre.'!F21,"AAAAAC/rLlw=")</f>
        <v>#VALUE!</v>
      </c>
      <c r="CP3" t="e">
        <f>AND('4to. Secre.'!G21,"AAAAAC/rLl0=")</f>
        <v>#VALUE!</v>
      </c>
      <c r="CQ3" t="e">
        <f>AND('4to. Secre.'!H21,"AAAAAC/rLl4=")</f>
        <v>#VALUE!</v>
      </c>
      <c r="CR3" t="e">
        <f>AND('4to. Secre.'!I21,"AAAAAC/rLl8=")</f>
        <v>#VALUE!</v>
      </c>
      <c r="CS3" t="e">
        <f>AND('4to. Secre.'!J21,"AAAAAC/rLmA=")</f>
        <v>#VALUE!</v>
      </c>
      <c r="CT3" t="e">
        <f>AND('4to. Secre.'!K21,"AAAAAC/rLmE=")</f>
        <v>#VALUE!</v>
      </c>
      <c r="CU3" t="e">
        <f>AND('4to. Secre.'!L21,"AAAAAC/rLmI=")</f>
        <v>#VALUE!</v>
      </c>
      <c r="CV3" t="e">
        <f>AND('4to. Secre.'!M21,"AAAAAC/rLmM=")</f>
        <v>#VALUE!</v>
      </c>
      <c r="CW3" t="e">
        <f>AND('4to. Secre.'!N21,"AAAAAC/rLmQ=")</f>
        <v>#VALUE!</v>
      </c>
      <c r="CX3" t="e">
        <f>AND('4to. Secre.'!O21,"AAAAAC/rLmU=")</f>
        <v>#VALUE!</v>
      </c>
      <c r="CY3" t="e">
        <f>AND('4to. Secre.'!P21,"AAAAAC/rLmY=")</f>
        <v>#VALUE!</v>
      </c>
      <c r="CZ3" t="e">
        <f>AND('4to. Secre.'!Q21,"AAAAAC/rLmc=")</f>
        <v>#VALUE!</v>
      </c>
      <c r="DA3" t="e">
        <f>AND('4to. Secre.'!R21,"AAAAAC/rLmg=")</f>
        <v>#VALUE!</v>
      </c>
      <c r="DB3" t="e">
        <f>AND('4to. Secre.'!S21,"AAAAAC/rLmk=")</f>
        <v>#VALUE!</v>
      </c>
      <c r="DC3" t="e">
        <f>AND('4to. Secre.'!T21,"AAAAAC/rLmo=")</f>
        <v>#VALUE!</v>
      </c>
      <c r="DD3" t="e">
        <f>AND('4to. Secre.'!#REF!,"AAAAAC/rLms=")</f>
        <v>#REF!</v>
      </c>
      <c r="DE3" t="e">
        <f>AND('4to. Secre.'!#REF!,"AAAAAC/rLmw=")</f>
        <v>#REF!</v>
      </c>
      <c r="DF3" t="e">
        <f>AND('4to. Secre.'!#REF!,"AAAAAC/rLm0=")</f>
        <v>#REF!</v>
      </c>
      <c r="DG3" t="e">
        <f>AND('4to. Secre.'!#REF!,"AAAAAC/rLm4=")</f>
        <v>#REF!</v>
      </c>
      <c r="DH3" t="e">
        <f>AND('4to. Secre.'!#REF!,"AAAAAC/rLm8=")</f>
        <v>#REF!</v>
      </c>
      <c r="DI3">
        <f>IF('4to. Secre.'!22:22,"AAAAAC/rLnA=",0)</f>
        <v>0</v>
      </c>
      <c r="DJ3" t="e">
        <f>AND('4to. Secre.'!A22,"AAAAAC/rLnE=")</f>
        <v>#VALUE!</v>
      </c>
      <c r="DK3" t="e">
        <f>AND('4to. Secre.'!B22,"AAAAAC/rLnI=")</f>
        <v>#VALUE!</v>
      </c>
      <c r="DL3" t="e">
        <f>AND('4to. Secre.'!C22,"AAAAAC/rLnM=")</f>
        <v>#VALUE!</v>
      </c>
      <c r="DM3" t="e">
        <f>AND('4to. Secre.'!D22,"AAAAAC/rLnQ=")</f>
        <v>#VALUE!</v>
      </c>
      <c r="DN3" t="e">
        <f>AND('4to. Secre.'!E22,"AAAAAC/rLnU=")</f>
        <v>#VALUE!</v>
      </c>
      <c r="DO3" t="e">
        <f>AND('4to. Secre.'!F22,"AAAAAC/rLnY=")</f>
        <v>#VALUE!</v>
      </c>
      <c r="DP3" t="e">
        <f>AND('4to. Secre.'!G22,"AAAAAC/rLnc=")</f>
        <v>#VALUE!</v>
      </c>
      <c r="DQ3" t="e">
        <f>AND('4to. Secre.'!H22,"AAAAAC/rLng=")</f>
        <v>#VALUE!</v>
      </c>
      <c r="DR3" t="e">
        <f>AND('4to. Secre.'!I22,"AAAAAC/rLnk=")</f>
        <v>#VALUE!</v>
      </c>
      <c r="DS3" t="e">
        <f>AND('4to. Secre.'!J22,"AAAAAC/rLno=")</f>
        <v>#VALUE!</v>
      </c>
      <c r="DT3" t="e">
        <f>AND('4to. Secre.'!K22,"AAAAAC/rLns=")</f>
        <v>#VALUE!</v>
      </c>
      <c r="DU3" t="e">
        <f>AND('4to. Secre.'!L22,"AAAAAC/rLnw=")</f>
        <v>#VALUE!</v>
      </c>
      <c r="DV3" t="e">
        <f>AND('4to. Secre.'!M22,"AAAAAC/rLn0=")</f>
        <v>#VALUE!</v>
      </c>
      <c r="DW3" t="e">
        <f>AND('4to. Secre.'!N22,"AAAAAC/rLn4=")</f>
        <v>#VALUE!</v>
      </c>
      <c r="DX3" t="e">
        <f>AND('4to. Secre.'!O22,"AAAAAC/rLn8=")</f>
        <v>#VALUE!</v>
      </c>
      <c r="DY3" t="e">
        <f>AND('4to. Secre.'!P22,"AAAAAC/rLoA=")</f>
        <v>#VALUE!</v>
      </c>
      <c r="DZ3" t="e">
        <f>AND('4to. Secre.'!Q22,"AAAAAC/rLoE=")</f>
        <v>#VALUE!</v>
      </c>
      <c r="EA3" t="e">
        <f>AND('4to. Secre.'!R22,"AAAAAC/rLoI=")</f>
        <v>#VALUE!</v>
      </c>
      <c r="EB3" t="e">
        <f>AND('4to. Secre.'!S22,"AAAAAC/rLoM=")</f>
        <v>#VALUE!</v>
      </c>
      <c r="EC3" t="e">
        <f>AND('4to. Secre.'!T22,"AAAAAC/rLoQ=")</f>
        <v>#VALUE!</v>
      </c>
      <c r="ED3" t="e">
        <f>AND('4to. Secre.'!#REF!,"AAAAAC/rLoU=")</f>
        <v>#REF!</v>
      </c>
      <c r="EE3" t="e">
        <f>AND('4to. Secre.'!#REF!,"AAAAAC/rLoY=")</f>
        <v>#REF!</v>
      </c>
      <c r="EF3" t="e">
        <f>AND('4to. Secre.'!#REF!,"AAAAAC/rLoc=")</f>
        <v>#REF!</v>
      </c>
      <c r="EG3" t="e">
        <f>AND('4to. Secre.'!#REF!,"AAAAAC/rLog=")</f>
        <v>#REF!</v>
      </c>
      <c r="EH3" t="e">
        <f>AND('4to. Secre.'!#REF!,"AAAAAC/rLok=")</f>
        <v>#REF!</v>
      </c>
      <c r="EI3">
        <f>IF('4to. Secre.'!23:23,"AAAAAC/rLoo=",0)</f>
        <v>0</v>
      </c>
      <c r="EJ3" t="e">
        <f>AND('4to. Secre.'!A23,"AAAAAC/rLos=")</f>
        <v>#VALUE!</v>
      </c>
      <c r="EK3" t="e">
        <f>AND('4to. Secre.'!B23,"AAAAAC/rLow=")</f>
        <v>#VALUE!</v>
      </c>
      <c r="EL3" t="e">
        <f>AND('4to. Secre.'!C23,"AAAAAC/rLo0=")</f>
        <v>#VALUE!</v>
      </c>
      <c r="EM3" t="e">
        <f>AND('4to. Secre.'!D23,"AAAAAC/rLo4=")</f>
        <v>#VALUE!</v>
      </c>
      <c r="EN3" t="e">
        <f>AND('4to. Secre.'!E23,"AAAAAC/rLo8=")</f>
        <v>#VALUE!</v>
      </c>
      <c r="EO3" t="e">
        <f>AND('4to. Secre.'!F23,"AAAAAC/rLpA=")</f>
        <v>#VALUE!</v>
      </c>
      <c r="EP3" t="e">
        <f>AND('4to. Secre.'!G23,"AAAAAC/rLpE=")</f>
        <v>#VALUE!</v>
      </c>
      <c r="EQ3" t="e">
        <f>AND('4to. Secre.'!H23,"AAAAAC/rLpI=")</f>
        <v>#VALUE!</v>
      </c>
      <c r="ER3" t="e">
        <f>AND('4to. Secre.'!I23,"AAAAAC/rLpM=")</f>
        <v>#VALUE!</v>
      </c>
      <c r="ES3" t="e">
        <f>AND('4to. Secre.'!J23,"AAAAAC/rLpQ=")</f>
        <v>#VALUE!</v>
      </c>
      <c r="ET3" t="e">
        <f>AND('4to. Secre.'!K23,"AAAAAC/rLpU=")</f>
        <v>#VALUE!</v>
      </c>
      <c r="EU3" t="e">
        <f>AND('4to. Secre.'!L23,"AAAAAC/rLpY=")</f>
        <v>#VALUE!</v>
      </c>
      <c r="EV3" t="e">
        <f>AND('4to. Secre.'!M23,"AAAAAC/rLpc=")</f>
        <v>#VALUE!</v>
      </c>
      <c r="EW3" t="e">
        <f>AND('4to. Secre.'!N23,"AAAAAC/rLpg=")</f>
        <v>#VALUE!</v>
      </c>
      <c r="EX3" t="e">
        <f>AND('4to. Secre.'!O23,"AAAAAC/rLpk=")</f>
        <v>#VALUE!</v>
      </c>
      <c r="EY3" t="e">
        <f>AND('4to. Secre.'!P23,"AAAAAC/rLpo=")</f>
        <v>#VALUE!</v>
      </c>
      <c r="EZ3" t="e">
        <f>AND('4to. Secre.'!Q23,"AAAAAC/rLps=")</f>
        <v>#VALUE!</v>
      </c>
      <c r="FA3" t="e">
        <f>AND('4to. Secre.'!R23,"AAAAAC/rLpw=")</f>
        <v>#VALUE!</v>
      </c>
      <c r="FB3" t="e">
        <f>AND('4to. Secre.'!S23,"AAAAAC/rLp0=")</f>
        <v>#VALUE!</v>
      </c>
      <c r="FC3" t="e">
        <f>AND('4to. Secre.'!T23,"AAAAAC/rLp4=")</f>
        <v>#VALUE!</v>
      </c>
      <c r="FD3" t="e">
        <f>AND('4to. Secre.'!#REF!,"AAAAAC/rLp8=")</f>
        <v>#REF!</v>
      </c>
      <c r="FE3" t="e">
        <f>AND('4to. Secre.'!#REF!,"AAAAAC/rLqA=")</f>
        <v>#REF!</v>
      </c>
      <c r="FF3" t="e">
        <f>AND('4to. Secre.'!#REF!,"AAAAAC/rLqE=")</f>
        <v>#REF!</v>
      </c>
      <c r="FG3" t="e">
        <f>AND('4to. Secre.'!#REF!,"AAAAAC/rLqI=")</f>
        <v>#REF!</v>
      </c>
      <c r="FH3" t="e">
        <f>AND('4to. Secre.'!#REF!,"AAAAAC/rLqM=")</f>
        <v>#REF!</v>
      </c>
      <c r="FI3">
        <f>IF('4to. Secre.'!24:24,"AAAAAC/rLqQ=",0)</f>
        <v>0</v>
      </c>
      <c r="FJ3" t="e">
        <f>AND('4to. Secre.'!A24,"AAAAAC/rLqU=")</f>
        <v>#VALUE!</v>
      </c>
      <c r="FK3" t="e">
        <f>AND('4to. Secre.'!B24,"AAAAAC/rLqY=")</f>
        <v>#VALUE!</v>
      </c>
      <c r="FL3" t="e">
        <f>AND('4to. Secre.'!C24,"AAAAAC/rLqc=")</f>
        <v>#VALUE!</v>
      </c>
      <c r="FM3" t="e">
        <f>AND('4to. Secre.'!D24,"AAAAAC/rLqg=")</f>
        <v>#VALUE!</v>
      </c>
      <c r="FN3" t="e">
        <f>AND('4to. Secre.'!E24,"AAAAAC/rLqk=")</f>
        <v>#VALUE!</v>
      </c>
      <c r="FO3" t="e">
        <f>AND('4to. Secre.'!F24,"AAAAAC/rLqo=")</f>
        <v>#VALUE!</v>
      </c>
      <c r="FP3" t="e">
        <f>AND('4to. Secre.'!G24,"AAAAAC/rLqs=")</f>
        <v>#VALUE!</v>
      </c>
      <c r="FQ3" t="e">
        <f>AND('4to. Secre.'!H24,"AAAAAC/rLqw=")</f>
        <v>#VALUE!</v>
      </c>
      <c r="FR3" t="e">
        <f>AND('4to. Secre.'!I24,"AAAAAC/rLq0=")</f>
        <v>#VALUE!</v>
      </c>
      <c r="FS3" t="e">
        <f>AND('4to. Secre.'!J24,"AAAAAC/rLq4=")</f>
        <v>#VALUE!</v>
      </c>
      <c r="FT3" t="e">
        <f>AND('4to. Secre.'!K24,"AAAAAC/rLq8=")</f>
        <v>#VALUE!</v>
      </c>
      <c r="FU3" t="e">
        <f>AND('4to. Secre.'!L24,"AAAAAC/rLrA=")</f>
        <v>#VALUE!</v>
      </c>
      <c r="FV3" t="e">
        <f>AND('4to. Secre.'!M24,"AAAAAC/rLrE=")</f>
        <v>#VALUE!</v>
      </c>
      <c r="FW3" t="e">
        <f>AND('4to. Secre.'!N24,"AAAAAC/rLrI=")</f>
        <v>#VALUE!</v>
      </c>
      <c r="FX3" t="e">
        <f>AND('4to. Secre.'!O24,"AAAAAC/rLrM=")</f>
        <v>#VALUE!</v>
      </c>
      <c r="FY3" t="e">
        <f>AND('4to. Secre.'!P24,"AAAAAC/rLrQ=")</f>
        <v>#VALUE!</v>
      </c>
      <c r="FZ3" t="e">
        <f>AND('4to. Secre.'!Q24,"AAAAAC/rLrU=")</f>
        <v>#VALUE!</v>
      </c>
      <c r="GA3" t="e">
        <f>AND('4to. Secre.'!R24,"AAAAAC/rLrY=")</f>
        <v>#VALUE!</v>
      </c>
      <c r="GB3" t="e">
        <f>AND('4to. Secre.'!S24,"AAAAAC/rLrc=")</f>
        <v>#VALUE!</v>
      </c>
      <c r="GC3" t="e">
        <f>AND('4to. Secre.'!T24,"AAAAAC/rLrg=")</f>
        <v>#VALUE!</v>
      </c>
      <c r="GD3" t="e">
        <f>AND('4to. Secre.'!#REF!,"AAAAAC/rLrk=")</f>
        <v>#REF!</v>
      </c>
      <c r="GE3" t="e">
        <f>AND('4to. Secre.'!#REF!,"AAAAAC/rLro=")</f>
        <v>#REF!</v>
      </c>
      <c r="GF3" t="e">
        <f>AND('4to. Secre.'!#REF!,"AAAAAC/rLrs=")</f>
        <v>#REF!</v>
      </c>
      <c r="GG3" t="e">
        <f>AND('4to. Secre.'!#REF!,"AAAAAC/rLrw=")</f>
        <v>#REF!</v>
      </c>
      <c r="GH3" t="e">
        <f>AND('4to. Secre.'!#REF!,"AAAAAC/rLr0=")</f>
        <v>#REF!</v>
      </c>
      <c r="GI3">
        <f>IF('4to. Secre.'!25:25,"AAAAAC/rLr4=",0)</f>
        <v>0</v>
      </c>
      <c r="GJ3" t="e">
        <f>AND('4to. Secre.'!A25,"AAAAAC/rLr8=")</f>
        <v>#VALUE!</v>
      </c>
      <c r="GK3" t="e">
        <f>AND('4to. Secre.'!B25,"AAAAAC/rLsA=")</f>
        <v>#VALUE!</v>
      </c>
      <c r="GL3" t="e">
        <f>AND('4to. Secre.'!C25,"AAAAAC/rLsE=")</f>
        <v>#VALUE!</v>
      </c>
      <c r="GM3" t="e">
        <f>AND('4to. Secre.'!D25,"AAAAAC/rLsI=")</f>
        <v>#VALUE!</v>
      </c>
      <c r="GN3" t="e">
        <f>AND('4to. Secre.'!E25,"AAAAAC/rLsM=")</f>
        <v>#VALUE!</v>
      </c>
      <c r="GO3" t="e">
        <f>AND('4to. Secre.'!F25,"AAAAAC/rLsQ=")</f>
        <v>#VALUE!</v>
      </c>
      <c r="GP3" t="e">
        <f>AND('4to. Secre.'!G25,"AAAAAC/rLsU=")</f>
        <v>#VALUE!</v>
      </c>
      <c r="GQ3" t="e">
        <f>AND('4to. Secre.'!H25,"AAAAAC/rLsY=")</f>
        <v>#VALUE!</v>
      </c>
      <c r="GR3" t="e">
        <f>AND('4to. Secre.'!I25,"AAAAAC/rLsc=")</f>
        <v>#VALUE!</v>
      </c>
      <c r="GS3" t="e">
        <f>AND('4to. Secre.'!J25,"AAAAAC/rLsg=")</f>
        <v>#VALUE!</v>
      </c>
      <c r="GT3" t="e">
        <f>AND('4to. Secre.'!K25,"AAAAAC/rLsk=")</f>
        <v>#VALUE!</v>
      </c>
      <c r="GU3" t="e">
        <f>AND('4to. Secre.'!L25,"AAAAAC/rLso=")</f>
        <v>#VALUE!</v>
      </c>
      <c r="GV3" t="e">
        <f>AND('4to. Secre.'!M25,"AAAAAC/rLss=")</f>
        <v>#VALUE!</v>
      </c>
      <c r="GW3" t="e">
        <f>AND('4to. Secre.'!N25,"AAAAAC/rLsw=")</f>
        <v>#VALUE!</v>
      </c>
      <c r="GX3" t="e">
        <f>AND('4to. Secre.'!O25,"AAAAAC/rLs0=")</f>
        <v>#VALUE!</v>
      </c>
      <c r="GY3" t="e">
        <f>AND('4to. Secre.'!P25,"AAAAAC/rLs4=")</f>
        <v>#VALUE!</v>
      </c>
      <c r="GZ3" t="e">
        <f>AND('4to. Secre.'!Q25,"AAAAAC/rLs8=")</f>
        <v>#VALUE!</v>
      </c>
      <c r="HA3" t="e">
        <f>AND('4to. Secre.'!R25,"AAAAAC/rLtA=")</f>
        <v>#VALUE!</v>
      </c>
      <c r="HB3" t="e">
        <f>AND('4to. Secre.'!S25,"AAAAAC/rLtE=")</f>
        <v>#VALUE!</v>
      </c>
      <c r="HC3" t="e">
        <f>AND('4to. Secre.'!T25,"AAAAAC/rLtI=")</f>
        <v>#VALUE!</v>
      </c>
      <c r="HD3" t="e">
        <f>AND('4to. Secre.'!#REF!,"AAAAAC/rLtM=")</f>
        <v>#REF!</v>
      </c>
      <c r="HE3" t="e">
        <f>AND('4to. Secre.'!#REF!,"AAAAAC/rLtQ=")</f>
        <v>#REF!</v>
      </c>
      <c r="HF3" t="e">
        <f>AND('4to. Secre.'!#REF!,"AAAAAC/rLtU=")</f>
        <v>#REF!</v>
      </c>
      <c r="HG3" t="e">
        <f>AND('4to. Secre.'!#REF!,"AAAAAC/rLtY=")</f>
        <v>#REF!</v>
      </c>
      <c r="HH3" t="e">
        <f>AND('4to. Secre.'!#REF!,"AAAAAC/rLtc=")</f>
        <v>#REF!</v>
      </c>
      <c r="HI3">
        <f>IF('4to. Secre.'!26:26,"AAAAAC/rLtg=",0)</f>
        <v>0</v>
      </c>
      <c r="HJ3" t="e">
        <f>AND('4to. Secre.'!A26,"AAAAAC/rLtk=")</f>
        <v>#VALUE!</v>
      </c>
      <c r="HK3" t="e">
        <f>AND('4to. Secre.'!B26,"AAAAAC/rLto=")</f>
        <v>#VALUE!</v>
      </c>
      <c r="HL3" t="e">
        <f>AND('4to. Secre.'!C26,"AAAAAC/rLts=")</f>
        <v>#VALUE!</v>
      </c>
      <c r="HM3" t="e">
        <f>AND('4to. Secre.'!D26,"AAAAAC/rLtw=")</f>
        <v>#VALUE!</v>
      </c>
      <c r="HN3" t="e">
        <f>AND('4to. Secre.'!E26,"AAAAAC/rLt0=")</f>
        <v>#VALUE!</v>
      </c>
      <c r="HO3" t="e">
        <f>AND('4to. Secre.'!F26,"AAAAAC/rLt4=")</f>
        <v>#VALUE!</v>
      </c>
      <c r="HP3" t="e">
        <f>AND('4to. Secre.'!G26,"AAAAAC/rLt8=")</f>
        <v>#VALUE!</v>
      </c>
      <c r="HQ3" t="e">
        <f>AND('4to. Secre.'!H26,"AAAAAC/rLuA=")</f>
        <v>#VALUE!</v>
      </c>
      <c r="HR3" t="e">
        <f>AND('4to. Secre.'!I26,"AAAAAC/rLuE=")</f>
        <v>#VALUE!</v>
      </c>
      <c r="HS3" t="e">
        <f>AND('4to. Secre.'!J26,"AAAAAC/rLuI=")</f>
        <v>#VALUE!</v>
      </c>
      <c r="HT3" t="e">
        <f>AND('4to. Secre.'!K26,"AAAAAC/rLuM=")</f>
        <v>#VALUE!</v>
      </c>
      <c r="HU3" t="e">
        <f>AND('4to. Secre.'!L26,"AAAAAC/rLuQ=")</f>
        <v>#VALUE!</v>
      </c>
      <c r="HV3" t="e">
        <f>AND('4to. Secre.'!M26,"AAAAAC/rLuU=")</f>
        <v>#VALUE!</v>
      </c>
      <c r="HW3" t="e">
        <f>AND('4to. Secre.'!N26,"AAAAAC/rLuY=")</f>
        <v>#VALUE!</v>
      </c>
      <c r="HX3" t="e">
        <f>AND('4to. Secre.'!O26,"AAAAAC/rLuc=")</f>
        <v>#VALUE!</v>
      </c>
      <c r="HY3" t="e">
        <f>AND('4to. Secre.'!P26,"AAAAAC/rLug=")</f>
        <v>#VALUE!</v>
      </c>
      <c r="HZ3" t="e">
        <f>AND('4to. Secre.'!Q26,"AAAAAC/rLuk=")</f>
        <v>#VALUE!</v>
      </c>
      <c r="IA3" t="e">
        <f>AND('4to. Secre.'!R26,"AAAAAC/rLuo=")</f>
        <v>#VALUE!</v>
      </c>
      <c r="IB3" t="e">
        <f>AND('4to. Secre.'!S26,"AAAAAC/rLus=")</f>
        <v>#VALUE!</v>
      </c>
      <c r="IC3" t="e">
        <f>AND('4to. Secre.'!T26,"AAAAAC/rLuw=")</f>
        <v>#VALUE!</v>
      </c>
      <c r="ID3" t="e">
        <f>AND('4to. Secre.'!#REF!,"AAAAAC/rLu0=")</f>
        <v>#REF!</v>
      </c>
      <c r="IE3" t="e">
        <f>AND('4to. Secre.'!#REF!,"AAAAAC/rLu4=")</f>
        <v>#REF!</v>
      </c>
      <c r="IF3" t="e">
        <f>AND('4to. Secre.'!#REF!,"AAAAAC/rLu8=")</f>
        <v>#REF!</v>
      </c>
      <c r="IG3" t="e">
        <f>AND('4to. Secre.'!#REF!,"AAAAAC/rLvA=")</f>
        <v>#REF!</v>
      </c>
      <c r="IH3" t="e">
        <f>AND('4to. Secre.'!#REF!,"AAAAAC/rLvE=")</f>
        <v>#REF!</v>
      </c>
      <c r="II3">
        <f>IF('4to. Secre.'!27:27,"AAAAAC/rLvI=",0)</f>
        <v>0</v>
      </c>
      <c r="IJ3" t="e">
        <f>AND('4to. Secre.'!A27,"AAAAAC/rLvM=")</f>
        <v>#VALUE!</v>
      </c>
      <c r="IK3" t="e">
        <f>AND('4to. Secre.'!B27,"AAAAAC/rLvQ=")</f>
        <v>#VALUE!</v>
      </c>
      <c r="IL3" t="e">
        <f>AND('4to. Secre.'!C27,"AAAAAC/rLvU=")</f>
        <v>#VALUE!</v>
      </c>
      <c r="IM3" t="e">
        <f>AND('4to. Secre.'!D27,"AAAAAC/rLvY=")</f>
        <v>#VALUE!</v>
      </c>
      <c r="IN3" t="e">
        <f>AND('4to. Secre.'!E27,"AAAAAC/rLvc=")</f>
        <v>#VALUE!</v>
      </c>
      <c r="IO3" t="e">
        <f>AND('4to. Secre.'!F27,"AAAAAC/rLvg=")</f>
        <v>#VALUE!</v>
      </c>
      <c r="IP3" t="e">
        <f>AND('4to. Secre.'!G27,"AAAAAC/rLvk=")</f>
        <v>#VALUE!</v>
      </c>
      <c r="IQ3" t="e">
        <f>AND('4to. Secre.'!H27,"AAAAAC/rLvo=")</f>
        <v>#VALUE!</v>
      </c>
      <c r="IR3" t="e">
        <f>AND('4to. Secre.'!I27,"AAAAAC/rLvs=")</f>
        <v>#VALUE!</v>
      </c>
      <c r="IS3" t="e">
        <f>AND('4to. Secre.'!J27,"AAAAAC/rLvw=")</f>
        <v>#VALUE!</v>
      </c>
      <c r="IT3" t="e">
        <f>AND('4to. Secre.'!K27,"AAAAAC/rLv0=")</f>
        <v>#VALUE!</v>
      </c>
      <c r="IU3" t="e">
        <f>AND('4to. Secre.'!L27,"AAAAAC/rLv4=")</f>
        <v>#VALUE!</v>
      </c>
      <c r="IV3" t="e">
        <f>AND('4to. Secre.'!M27,"AAAAAC/rLv8=")</f>
        <v>#VALUE!</v>
      </c>
    </row>
    <row r="4" spans="1:256">
      <c r="A4" t="e">
        <f>AND('4to. Secre.'!N27,"AAAAAH8b+QA=")</f>
        <v>#VALUE!</v>
      </c>
      <c r="B4" t="e">
        <f>AND('4to. Secre.'!O27,"AAAAAH8b+QE=")</f>
        <v>#VALUE!</v>
      </c>
      <c r="C4" t="e">
        <f>AND('4to. Secre.'!P27,"AAAAAH8b+QI=")</f>
        <v>#VALUE!</v>
      </c>
      <c r="D4" t="e">
        <f>AND('4to. Secre.'!Q27,"AAAAAH8b+QM=")</f>
        <v>#VALUE!</v>
      </c>
      <c r="E4" t="e">
        <f>AND('4to. Secre.'!R27,"AAAAAH8b+QQ=")</f>
        <v>#VALUE!</v>
      </c>
      <c r="F4" t="e">
        <f>AND('4to. Secre.'!S27,"AAAAAH8b+QU=")</f>
        <v>#VALUE!</v>
      </c>
      <c r="G4" t="e">
        <f>AND('4to. Secre.'!T27,"AAAAAH8b+QY=")</f>
        <v>#VALUE!</v>
      </c>
      <c r="H4" t="e">
        <f>AND('4to. Secre.'!#REF!,"AAAAAH8b+Qc=")</f>
        <v>#REF!</v>
      </c>
      <c r="I4" t="e">
        <f>AND('4to. Secre.'!#REF!,"AAAAAH8b+Qg=")</f>
        <v>#REF!</v>
      </c>
      <c r="J4" t="e">
        <f>AND('4to. Secre.'!#REF!,"AAAAAH8b+Qk=")</f>
        <v>#REF!</v>
      </c>
      <c r="K4" t="e">
        <f>AND('4to. Secre.'!#REF!,"AAAAAH8b+Qo=")</f>
        <v>#REF!</v>
      </c>
      <c r="L4" t="e">
        <f>AND('4to. Secre.'!#REF!,"AAAAAH8b+Qs=")</f>
        <v>#REF!</v>
      </c>
      <c r="M4">
        <f>IF('4to. Secre.'!28:28,"AAAAAH8b+Qw=",0)</f>
        <v>0</v>
      </c>
      <c r="N4" t="e">
        <f>AND('4to. Secre.'!A28,"AAAAAH8b+Q0=")</f>
        <v>#VALUE!</v>
      </c>
      <c r="O4" t="e">
        <f>AND('4to. Secre.'!B28,"AAAAAH8b+Q4=")</f>
        <v>#VALUE!</v>
      </c>
      <c r="P4" t="e">
        <f>AND('4to. Secre.'!C28,"AAAAAH8b+Q8=")</f>
        <v>#VALUE!</v>
      </c>
      <c r="Q4" t="e">
        <f>AND('4to. Secre.'!D28,"AAAAAH8b+RA=")</f>
        <v>#VALUE!</v>
      </c>
      <c r="R4" t="e">
        <f>AND('4to. Secre.'!E28,"AAAAAH8b+RE=")</f>
        <v>#VALUE!</v>
      </c>
      <c r="S4" t="e">
        <f>AND('4to. Secre.'!F28,"AAAAAH8b+RI=")</f>
        <v>#VALUE!</v>
      </c>
      <c r="T4" t="e">
        <f>AND('4to. Secre.'!G28,"AAAAAH8b+RM=")</f>
        <v>#VALUE!</v>
      </c>
      <c r="U4" t="e">
        <f>AND('4to. Secre.'!H28,"AAAAAH8b+RQ=")</f>
        <v>#VALUE!</v>
      </c>
      <c r="V4" t="e">
        <f>AND('4to. Secre.'!I28,"AAAAAH8b+RU=")</f>
        <v>#VALUE!</v>
      </c>
      <c r="W4" t="e">
        <f>AND('4to. Secre.'!J28,"AAAAAH8b+RY=")</f>
        <v>#VALUE!</v>
      </c>
      <c r="X4" t="e">
        <f>AND('4to. Secre.'!K28,"AAAAAH8b+Rc=")</f>
        <v>#VALUE!</v>
      </c>
      <c r="Y4" t="e">
        <f>AND('4to. Secre.'!L28,"AAAAAH8b+Rg=")</f>
        <v>#VALUE!</v>
      </c>
      <c r="Z4" t="e">
        <f>AND('4to. Secre.'!M28,"AAAAAH8b+Rk=")</f>
        <v>#VALUE!</v>
      </c>
      <c r="AA4" t="e">
        <f>AND('4to. Secre.'!N28,"AAAAAH8b+Ro=")</f>
        <v>#VALUE!</v>
      </c>
      <c r="AB4" t="e">
        <f>AND('4to. Secre.'!O28,"AAAAAH8b+Rs=")</f>
        <v>#VALUE!</v>
      </c>
      <c r="AC4" t="e">
        <f>AND('4to. Secre.'!P28,"AAAAAH8b+Rw=")</f>
        <v>#VALUE!</v>
      </c>
      <c r="AD4" t="e">
        <f>AND('4to. Secre.'!Q28,"AAAAAH8b+R0=")</f>
        <v>#VALUE!</v>
      </c>
      <c r="AE4" t="e">
        <f>AND('4to. Secre.'!R28,"AAAAAH8b+R4=")</f>
        <v>#VALUE!</v>
      </c>
      <c r="AF4" t="e">
        <f>AND('4to. Secre.'!S28,"AAAAAH8b+R8=")</f>
        <v>#VALUE!</v>
      </c>
      <c r="AG4" t="e">
        <f>AND('4to. Secre.'!T28,"AAAAAH8b+SA=")</f>
        <v>#VALUE!</v>
      </c>
      <c r="AH4" t="e">
        <f>AND('4to. Secre.'!#REF!,"AAAAAH8b+SE=")</f>
        <v>#REF!</v>
      </c>
      <c r="AI4" t="e">
        <f>AND('4to. Secre.'!#REF!,"AAAAAH8b+SI=")</f>
        <v>#REF!</v>
      </c>
      <c r="AJ4" t="e">
        <f>AND('4to. Secre.'!#REF!,"AAAAAH8b+SM=")</f>
        <v>#REF!</v>
      </c>
      <c r="AK4" t="e">
        <f>AND('4to. Secre.'!#REF!,"AAAAAH8b+SQ=")</f>
        <v>#REF!</v>
      </c>
      <c r="AL4" t="e">
        <f>AND('4to. Secre.'!#REF!,"AAAAAH8b+SU=")</f>
        <v>#REF!</v>
      </c>
      <c r="AM4">
        <f>IF('4to. Secre.'!29:29,"AAAAAH8b+SY=",0)</f>
        <v>0</v>
      </c>
      <c r="AN4" t="e">
        <f>AND('4to. Secre.'!A29,"AAAAAH8b+Sc=")</f>
        <v>#VALUE!</v>
      </c>
      <c r="AO4" t="e">
        <f>AND('4to. Secre.'!B29,"AAAAAH8b+Sg=")</f>
        <v>#VALUE!</v>
      </c>
      <c r="AP4" t="e">
        <f>AND('4to. Secre.'!C29,"AAAAAH8b+Sk=")</f>
        <v>#VALUE!</v>
      </c>
      <c r="AQ4" t="e">
        <f>AND('4to. Secre.'!D29,"AAAAAH8b+So=")</f>
        <v>#VALUE!</v>
      </c>
      <c r="AR4" t="e">
        <f>AND('4to. Secre.'!E29,"AAAAAH8b+Ss=")</f>
        <v>#VALUE!</v>
      </c>
      <c r="AS4" t="e">
        <f>AND('4to. Secre.'!F29,"AAAAAH8b+Sw=")</f>
        <v>#VALUE!</v>
      </c>
      <c r="AT4" t="e">
        <f>AND('4to. Secre.'!G29,"AAAAAH8b+S0=")</f>
        <v>#VALUE!</v>
      </c>
      <c r="AU4" t="e">
        <f>AND('4to. Secre.'!H29,"AAAAAH8b+S4=")</f>
        <v>#VALUE!</v>
      </c>
      <c r="AV4" t="e">
        <f>AND('4to. Secre.'!I29,"AAAAAH8b+S8=")</f>
        <v>#VALUE!</v>
      </c>
      <c r="AW4" t="e">
        <f>AND('4to. Secre.'!J29,"AAAAAH8b+TA=")</f>
        <v>#VALUE!</v>
      </c>
      <c r="AX4" t="e">
        <f>AND('4to. Secre.'!K29,"AAAAAH8b+TE=")</f>
        <v>#VALUE!</v>
      </c>
      <c r="AY4" t="e">
        <f>AND('4to. Secre.'!L29,"AAAAAH8b+TI=")</f>
        <v>#VALUE!</v>
      </c>
      <c r="AZ4" t="e">
        <f>AND('4to. Secre.'!M29,"AAAAAH8b+TM=")</f>
        <v>#VALUE!</v>
      </c>
      <c r="BA4" t="e">
        <f>AND('4to. Secre.'!N29,"AAAAAH8b+TQ=")</f>
        <v>#VALUE!</v>
      </c>
      <c r="BB4" t="e">
        <f>AND('4to. Secre.'!O29,"AAAAAH8b+TU=")</f>
        <v>#VALUE!</v>
      </c>
      <c r="BC4" t="e">
        <f>AND('4to. Secre.'!P29,"AAAAAH8b+TY=")</f>
        <v>#VALUE!</v>
      </c>
      <c r="BD4" t="e">
        <f>AND('4to. Secre.'!Q29,"AAAAAH8b+Tc=")</f>
        <v>#VALUE!</v>
      </c>
      <c r="BE4" t="e">
        <f>AND('4to. Secre.'!R29,"AAAAAH8b+Tg=")</f>
        <v>#VALUE!</v>
      </c>
      <c r="BF4" t="e">
        <f>AND('4to. Secre.'!S29,"AAAAAH8b+Tk=")</f>
        <v>#VALUE!</v>
      </c>
      <c r="BG4" t="e">
        <f>AND('4to. Secre.'!T29,"AAAAAH8b+To=")</f>
        <v>#VALUE!</v>
      </c>
      <c r="BH4" t="e">
        <f>AND('4to. Secre.'!#REF!,"AAAAAH8b+Ts=")</f>
        <v>#REF!</v>
      </c>
      <c r="BI4" t="e">
        <f>AND('4to. Secre.'!#REF!,"AAAAAH8b+Tw=")</f>
        <v>#REF!</v>
      </c>
      <c r="BJ4" t="e">
        <f>AND('4to. Secre.'!#REF!,"AAAAAH8b+T0=")</f>
        <v>#REF!</v>
      </c>
      <c r="BK4" t="e">
        <f>AND('4to. Secre.'!#REF!,"AAAAAH8b+T4=")</f>
        <v>#REF!</v>
      </c>
      <c r="BL4" t="e">
        <f>AND('4to. Secre.'!#REF!,"AAAAAH8b+T8=")</f>
        <v>#REF!</v>
      </c>
      <c r="BM4">
        <f>IF('4to. Secre.'!30:30,"AAAAAH8b+UA=",0)</f>
        <v>0</v>
      </c>
      <c r="BN4" t="e">
        <f>AND('4to. Secre.'!A30,"AAAAAH8b+UE=")</f>
        <v>#VALUE!</v>
      </c>
      <c r="BO4" t="e">
        <f>AND('4to. Secre.'!B30,"AAAAAH8b+UI=")</f>
        <v>#VALUE!</v>
      </c>
      <c r="BP4" t="e">
        <f>AND('4to. Secre.'!C30,"AAAAAH8b+UM=")</f>
        <v>#VALUE!</v>
      </c>
      <c r="BQ4" t="e">
        <f>AND('4to. Secre.'!D30,"AAAAAH8b+UQ=")</f>
        <v>#VALUE!</v>
      </c>
      <c r="BR4" t="e">
        <f>AND('4to. Secre.'!E30,"AAAAAH8b+UU=")</f>
        <v>#VALUE!</v>
      </c>
      <c r="BS4" t="e">
        <f>AND('4to. Secre.'!F30,"AAAAAH8b+UY=")</f>
        <v>#VALUE!</v>
      </c>
      <c r="BT4" t="e">
        <f>AND('4to. Secre.'!G30,"AAAAAH8b+Uc=")</f>
        <v>#VALUE!</v>
      </c>
      <c r="BU4" t="e">
        <f>AND('4to. Secre.'!H30,"AAAAAH8b+Ug=")</f>
        <v>#VALUE!</v>
      </c>
      <c r="BV4" t="e">
        <f>AND('4to. Secre.'!I30,"AAAAAH8b+Uk=")</f>
        <v>#VALUE!</v>
      </c>
      <c r="BW4" t="e">
        <f>AND('4to. Secre.'!J30,"AAAAAH8b+Uo=")</f>
        <v>#VALUE!</v>
      </c>
      <c r="BX4" t="e">
        <f>AND('4to. Secre.'!K30,"AAAAAH8b+Us=")</f>
        <v>#VALUE!</v>
      </c>
      <c r="BY4" t="e">
        <f>AND('4to. Secre.'!L30,"AAAAAH8b+Uw=")</f>
        <v>#VALUE!</v>
      </c>
      <c r="BZ4" t="e">
        <f>AND('4to. Secre.'!M30,"AAAAAH8b+U0=")</f>
        <v>#VALUE!</v>
      </c>
      <c r="CA4" t="e">
        <f>AND('4to. Secre.'!N30,"AAAAAH8b+U4=")</f>
        <v>#VALUE!</v>
      </c>
      <c r="CB4" t="e">
        <f>AND('4to. Secre.'!O30,"AAAAAH8b+U8=")</f>
        <v>#VALUE!</v>
      </c>
      <c r="CC4" t="e">
        <f>AND('4to. Secre.'!P30,"AAAAAH8b+VA=")</f>
        <v>#VALUE!</v>
      </c>
      <c r="CD4" t="e">
        <f>AND('4to. Secre.'!Q30,"AAAAAH8b+VE=")</f>
        <v>#VALUE!</v>
      </c>
      <c r="CE4" t="e">
        <f>AND('4to. Secre.'!R30,"AAAAAH8b+VI=")</f>
        <v>#VALUE!</v>
      </c>
      <c r="CF4" t="e">
        <f>AND('4to. Secre.'!S30,"AAAAAH8b+VM=")</f>
        <v>#VALUE!</v>
      </c>
      <c r="CG4" t="e">
        <f>AND('4to. Secre.'!T30,"AAAAAH8b+VQ=")</f>
        <v>#VALUE!</v>
      </c>
      <c r="CH4" t="e">
        <f>AND('4to. Secre.'!#REF!,"AAAAAH8b+VU=")</f>
        <v>#REF!</v>
      </c>
      <c r="CI4" t="e">
        <f>AND('4to. Secre.'!#REF!,"AAAAAH8b+VY=")</f>
        <v>#REF!</v>
      </c>
      <c r="CJ4" t="e">
        <f>AND('4to. Secre.'!#REF!,"AAAAAH8b+Vc=")</f>
        <v>#REF!</v>
      </c>
      <c r="CK4" t="e">
        <f>AND('4to. Secre.'!#REF!,"AAAAAH8b+Vg=")</f>
        <v>#REF!</v>
      </c>
      <c r="CL4" t="e">
        <f>AND('4to. Secre.'!#REF!,"AAAAAH8b+Vk=")</f>
        <v>#REF!</v>
      </c>
      <c r="CM4">
        <f>IF('4to. Secre.'!31:31,"AAAAAH8b+Vo=",0)</f>
        <v>0</v>
      </c>
      <c r="CN4" t="e">
        <f>AND('4to. Secre.'!A31,"AAAAAH8b+Vs=")</f>
        <v>#VALUE!</v>
      </c>
      <c r="CO4" t="e">
        <f>AND('4to. Secre.'!B31,"AAAAAH8b+Vw=")</f>
        <v>#VALUE!</v>
      </c>
      <c r="CP4" t="e">
        <f>AND('4to. Secre.'!C31,"AAAAAH8b+V0=")</f>
        <v>#VALUE!</v>
      </c>
      <c r="CQ4" t="e">
        <f>AND('4to. Secre.'!D31,"AAAAAH8b+V4=")</f>
        <v>#VALUE!</v>
      </c>
      <c r="CR4" t="e">
        <f>AND('4to. Secre.'!E31,"AAAAAH8b+V8=")</f>
        <v>#VALUE!</v>
      </c>
      <c r="CS4" t="e">
        <f>AND('4to. Secre.'!F31,"AAAAAH8b+WA=")</f>
        <v>#VALUE!</v>
      </c>
      <c r="CT4" t="e">
        <f>AND('4to. Secre.'!G31,"AAAAAH8b+WE=")</f>
        <v>#VALUE!</v>
      </c>
      <c r="CU4" t="e">
        <f>AND('4to. Secre.'!H31,"AAAAAH8b+WI=")</f>
        <v>#VALUE!</v>
      </c>
      <c r="CV4" t="e">
        <f>AND('4to. Secre.'!I31,"AAAAAH8b+WM=")</f>
        <v>#VALUE!</v>
      </c>
      <c r="CW4" t="e">
        <f>AND('4to. Secre.'!J31,"AAAAAH8b+WQ=")</f>
        <v>#VALUE!</v>
      </c>
      <c r="CX4" t="e">
        <f>AND('4to. Secre.'!K31,"AAAAAH8b+WU=")</f>
        <v>#VALUE!</v>
      </c>
      <c r="CY4" t="e">
        <f>AND('4to. Secre.'!L31,"AAAAAH8b+WY=")</f>
        <v>#VALUE!</v>
      </c>
      <c r="CZ4" t="e">
        <f>AND('4to. Secre.'!M31,"AAAAAH8b+Wc=")</f>
        <v>#VALUE!</v>
      </c>
      <c r="DA4" t="e">
        <f>AND('4to. Secre.'!N31,"AAAAAH8b+Wg=")</f>
        <v>#VALUE!</v>
      </c>
      <c r="DB4" t="e">
        <f>AND('4to. Secre.'!O31,"AAAAAH8b+Wk=")</f>
        <v>#VALUE!</v>
      </c>
      <c r="DC4" t="e">
        <f>AND('4to. Secre.'!P31,"AAAAAH8b+Wo=")</f>
        <v>#VALUE!</v>
      </c>
      <c r="DD4" t="e">
        <f>AND('4to. Secre.'!Q31,"AAAAAH8b+Ws=")</f>
        <v>#VALUE!</v>
      </c>
      <c r="DE4" t="e">
        <f>AND('4to. Secre.'!R31,"AAAAAH8b+Ww=")</f>
        <v>#VALUE!</v>
      </c>
      <c r="DF4" t="e">
        <f>AND('4to. Secre.'!S31,"AAAAAH8b+W0=")</f>
        <v>#VALUE!</v>
      </c>
      <c r="DG4" t="e">
        <f>AND('4to. Secre.'!T31,"AAAAAH8b+W4=")</f>
        <v>#VALUE!</v>
      </c>
      <c r="DH4" t="e">
        <f>AND('4to. Secre.'!#REF!,"AAAAAH8b+W8=")</f>
        <v>#REF!</v>
      </c>
      <c r="DI4" t="e">
        <f>AND('4to. Secre.'!#REF!,"AAAAAH8b+XA=")</f>
        <v>#REF!</v>
      </c>
      <c r="DJ4" t="e">
        <f>AND('4to. Secre.'!#REF!,"AAAAAH8b+XE=")</f>
        <v>#REF!</v>
      </c>
      <c r="DK4" t="e">
        <f>AND('4to. Secre.'!#REF!,"AAAAAH8b+XI=")</f>
        <v>#REF!</v>
      </c>
      <c r="DL4" t="e">
        <f>AND('4to. Secre.'!#REF!,"AAAAAH8b+XM=")</f>
        <v>#REF!</v>
      </c>
      <c r="DM4">
        <f>IF('4to. Secre.'!32:32,"AAAAAH8b+XQ=",0)</f>
        <v>0</v>
      </c>
      <c r="DN4" t="e">
        <f>AND('4to. Secre.'!A32,"AAAAAH8b+XU=")</f>
        <v>#VALUE!</v>
      </c>
      <c r="DO4" t="e">
        <f>AND('4to. Secre.'!B32,"AAAAAH8b+XY=")</f>
        <v>#VALUE!</v>
      </c>
      <c r="DP4" t="e">
        <f>AND('4to. Secre.'!C32,"AAAAAH8b+Xc=")</f>
        <v>#VALUE!</v>
      </c>
      <c r="DQ4" t="e">
        <f>AND('4to. Secre.'!D32,"AAAAAH8b+Xg=")</f>
        <v>#VALUE!</v>
      </c>
      <c r="DR4" t="e">
        <f>AND('4to. Secre.'!E32,"AAAAAH8b+Xk=")</f>
        <v>#VALUE!</v>
      </c>
      <c r="DS4" t="e">
        <f>AND('4to. Secre.'!F32,"AAAAAH8b+Xo=")</f>
        <v>#VALUE!</v>
      </c>
      <c r="DT4" t="e">
        <f>AND('4to. Secre.'!G32,"AAAAAH8b+Xs=")</f>
        <v>#VALUE!</v>
      </c>
      <c r="DU4" t="e">
        <f>AND('4to. Secre.'!H32,"AAAAAH8b+Xw=")</f>
        <v>#VALUE!</v>
      </c>
      <c r="DV4" t="e">
        <f>AND('4to. Secre.'!I32,"AAAAAH8b+X0=")</f>
        <v>#VALUE!</v>
      </c>
      <c r="DW4" t="e">
        <f>AND('4to. Secre.'!J32,"AAAAAH8b+X4=")</f>
        <v>#VALUE!</v>
      </c>
      <c r="DX4" t="e">
        <f>AND('4to. Secre.'!K32,"AAAAAH8b+X8=")</f>
        <v>#VALUE!</v>
      </c>
      <c r="DY4" t="e">
        <f>AND('4to. Secre.'!L32,"AAAAAH8b+YA=")</f>
        <v>#VALUE!</v>
      </c>
      <c r="DZ4" t="e">
        <f>AND('4to. Secre.'!M32,"AAAAAH8b+YE=")</f>
        <v>#VALUE!</v>
      </c>
      <c r="EA4" t="e">
        <f>AND('4to. Secre.'!N32,"AAAAAH8b+YI=")</f>
        <v>#VALUE!</v>
      </c>
      <c r="EB4" t="e">
        <f>AND('4to. Secre.'!O32,"AAAAAH8b+YM=")</f>
        <v>#VALUE!</v>
      </c>
      <c r="EC4" t="e">
        <f>AND('4to. Secre.'!P32,"AAAAAH8b+YQ=")</f>
        <v>#VALUE!</v>
      </c>
      <c r="ED4" t="e">
        <f>AND('4to. Secre.'!Q32,"AAAAAH8b+YU=")</f>
        <v>#VALUE!</v>
      </c>
      <c r="EE4" t="e">
        <f>AND('4to. Secre.'!R32,"AAAAAH8b+YY=")</f>
        <v>#VALUE!</v>
      </c>
      <c r="EF4" t="e">
        <f>AND('4to. Secre.'!S32,"AAAAAH8b+Yc=")</f>
        <v>#VALUE!</v>
      </c>
      <c r="EG4" t="e">
        <f>AND('4to. Secre.'!T32,"AAAAAH8b+Yg=")</f>
        <v>#VALUE!</v>
      </c>
      <c r="EH4" t="e">
        <f>AND('4to. Secre.'!#REF!,"AAAAAH8b+Yk=")</f>
        <v>#REF!</v>
      </c>
      <c r="EI4" t="e">
        <f>AND('4to. Secre.'!#REF!,"AAAAAH8b+Yo=")</f>
        <v>#REF!</v>
      </c>
      <c r="EJ4" t="e">
        <f>AND('4to. Secre.'!#REF!,"AAAAAH8b+Ys=")</f>
        <v>#REF!</v>
      </c>
      <c r="EK4" t="e">
        <f>AND('4to. Secre.'!#REF!,"AAAAAH8b+Yw=")</f>
        <v>#REF!</v>
      </c>
      <c r="EL4" t="e">
        <f>AND('4to. Secre.'!#REF!,"AAAAAH8b+Y0=")</f>
        <v>#REF!</v>
      </c>
      <c r="EM4">
        <f>IF('4to. Secre.'!33:33,"AAAAAH8b+Y4=",0)</f>
        <v>0</v>
      </c>
      <c r="EN4" t="e">
        <f>AND('4to. Secre.'!A33,"AAAAAH8b+Y8=")</f>
        <v>#VALUE!</v>
      </c>
      <c r="EO4" t="e">
        <f>AND('4to. Secre.'!B33,"AAAAAH8b+ZA=")</f>
        <v>#VALUE!</v>
      </c>
      <c r="EP4" t="e">
        <f>AND('4to. Secre.'!C33,"AAAAAH8b+ZE=")</f>
        <v>#VALUE!</v>
      </c>
      <c r="EQ4" t="e">
        <f>AND('4to. Secre.'!D33,"AAAAAH8b+ZI=")</f>
        <v>#VALUE!</v>
      </c>
      <c r="ER4" t="e">
        <f>AND('4to. Secre.'!E33,"AAAAAH8b+ZM=")</f>
        <v>#VALUE!</v>
      </c>
      <c r="ES4" t="e">
        <f>AND('4to. Secre.'!F33,"AAAAAH8b+ZQ=")</f>
        <v>#VALUE!</v>
      </c>
      <c r="ET4" t="e">
        <f>AND('4to. Secre.'!G33,"AAAAAH8b+ZU=")</f>
        <v>#VALUE!</v>
      </c>
      <c r="EU4" t="e">
        <f>AND('4to. Secre.'!H33,"AAAAAH8b+ZY=")</f>
        <v>#VALUE!</v>
      </c>
      <c r="EV4" t="e">
        <f>AND('4to. Secre.'!I33,"AAAAAH8b+Zc=")</f>
        <v>#VALUE!</v>
      </c>
      <c r="EW4" t="e">
        <f>AND('4to. Secre.'!J33,"AAAAAH8b+Zg=")</f>
        <v>#VALUE!</v>
      </c>
      <c r="EX4" t="e">
        <f>AND('4to. Secre.'!K33,"AAAAAH8b+Zk=")</f>
        <v>#VALUE!</v>
      </c>
      <c r="EY4" t="e">
        <f>AND('4to. Secre.'!L33,"AAAAAH8b+Zo=")</f>
        <v>#VALUE!</v>
      </c>
      <c r="EZ4" t="e">
        <f>AND('4to. Secre.'!M33,"AAAAAH8b+Zs=")</f>
        <v>#VALUE!</v>
      </c>
      <c r="FA4" t="e">
        <f>AND('4to. Secre.'!N33,"AAAAAH8b+Zw=")</f>
        <v>#VALUE!</v>
      </c>
      <c r="FB4" t="e">
        <f>AND('4to. Secre.'!O33,"AAAAAH8b+Z0=")</f>
        <v>#VALUE!</v>
      </c>
      <c r="FC4" t="e">
        <f>AND('4to. Secre.'!P33,"AAAAAH8b+Z4=")</f>
        <v>#VALUE!</v>
      </c>
      <c r="FD4" t="e">
        <f>AND('4to. Secre.'!Q33,"AAAAAH8b+Z8=")</f>
        <v>#VALUE!</v>
      </c>
      <c r="FE4" t="e">
        <f>AND('4to. Secre.'!R33,"AAAAAH8b+aA=")</f>
        <v>#VALUE!</v>
      </c>
      <c r="FF4" t="e">
        <f>AND('4to. Secre.'!S33,"AAAAAH8b+aE=")</f>
        <v>#VALUE!</v>
      </c>
      <c r="FG4" t="e">
        <f>AND('4to. Secre.'!T33,"AAAAAH8b+aI=")</f>
        <v>#VALUE!</v>
      </c>
      <c r="FH4" t="e">
        <f>AND('4to. Secre.'!#REF!,"AAAAAH8b+aM=")</f>
        <v>#REF!</v>
      </c>
      <c r="FI4" t="e">
        <f>AND('4to. Secre.'!#REF!,"AAAAAH8b+aQ=")</f>
        <v>#REF!</v>
      </c>
      <c r="FJ4" t="e">
        <f>AND('4to. Secre.'!#REF!,"AAAAAH8b+aU=")</f>
        <v>#REF!</v>
      </c>
      <c r="FK4" t="e">
        <f>AND('4to. Secre.'!#REF!,"AAAAAH8b+aY=")</f>
        <v>#REF!</v>
      </c>
      <c r="FL4" t="e">
        <f>AND('4to. Secre.'!#REF!,"AAAAAH8b+ac=")</f>
        <v>#REF!</v>
      </c>
      <c r="FM4" t="e">
        <f>IF('4to. Secre.'!#REF!,"AAAAAH8b+ag=",0)</f>
        <v>#REF!</v>
      </c>
      <c r="FN4" t="e">
        <f>AND('4to. Secre.'!#REF!,"AAAAAH8b+ak=")</f>
        <v>#REF!</v>
      </c>
      <c r="FO4" t="e">
        <f>AND('4to. Secre.'!#REF!,"AAAAAH8b+ao=")</f>
        <v>#REF!</v>
      </c>
      <c r="FP4" t="e">
        <f>AND('4to. Secre.'!#REF!,"AAAAAH8b+as=")</f>
        <v>#REF!</v>
      </c>
      <c r="FQ4" t="e">
        <f>AND('4to. Secre.'!#REF!,"AAAAAH8b+aw=")</f>
        <v>#REF!</v>
      </c>
      <c r="FR4" t="e">
        <f>AND('4to. Secre.'!#REF!,"AAAAAH8b+a0=")</f>
        <v>#REF!</v>
      </c>
      <c r="FS4" t="e">
        <f>AND('4to. Secre.'!#REF!,"AAAAAH8b+a4=")</f>
        <v>#REF!</v>
      </c>
      <c r="FT4" t="e">
        <f>AND('4to. Secre.'!#REF!,"AAAAAH8b+a8=")</f>
        <v>#REF!</v>
      </c>
      <c r="FU4" t="e">
        <f>AND('4to. Secre.'!#REF!,"AAAAAH8b+bA=")</f>
        <v>#REF!</v>
      </c>
      <c r="FV4" t="e">
        <f>AND('4to. Secre.'!#REF!,"AAAAAH8b+bE=")</f>
        <v>#REF!</v>
      </c>
      <c r="FW4" t="e">
        <f>AND('4to. Secre.'!#REF!,"AAAAAH8b+bI=")</f>
        <v>#REF!</v>
      </c>
      <c r="FX4" t="e">
        <f>AND('4to. Secre.'!#REF!,"AAAAAH8b+bM=")</f>
        <v>#REF!</v>
      </c>
      <c r="FY4" t="e">
        <f>AND('4to. Secre.'!#REF!,"AAAAAH8b+bQ=")</f>
        <v>#REF!</v>
      </c>
      <c r="FZ4" t="e">
        <f>AND('4to. Secre.'!#REF!,"AAAAAH8b+bU=")</f>
        <v>#REF!</v>
      </c>
      <c r="GA4" t="e">
        <f>AND('4to. Secre.'!#REF!,"AAAAAH8b+bY=")</f>
        <v>#REF!</v>
      </c>
      <c r="GB4" t="e">
        <f>AND('4to. Secre.'!#REF!,"AAAAAH8b+bc=")</f>
        <v>#REF!</v>
      </c>
      <c r="GC4" t="e">
        <f>AND('4to. Secre.'!#REF!,"AAAAAH8b+bg=")</f>
        <v>#REF!</v>
      </c>
      <c r="GD4" t="e">
        <f>AND('4to. Secre.'!#REF!,"AAAAAH8b+bk=")</f>
        <v>#REF!</v>
      </c>
      <c r="GE4" t="e">
        <f>AND('4to. Secre.'!#REF!,"AAAAAH8b+bo=")</f>
        <v>#REF!</v>
      </c>
      <c r="GF4" t="e">
        <f>AND('4to. Secre.'!#REF!,"AAAAAH8b+bs=")</f>
        <v>#REF!</v>
      </c>
      <c r="GG4" t="e">
        <f>AND('4to. Secre.'!#REF!,"AAAAAH8b+bw=")</f>
        <v>#REF!</v>
      </c>
      <c r="GH4" t="e">
        <f>AND('4to. Secre.'!#REF!,"AAAAAH8b+b0=")</f>
        <v>#REF!</v>
      </c>
      <c r="GI4" t="e">
        <f>AND('4to. Secre.'!#REF!,"AAAAAH8b+b4=")</f>
        <v>#REF!</v>
      </c>
      <c r="GJ4" t="e">
        <f>AND('4to. Secre.'!#REF!,"AAAAAH8b+b8=")</f>
        <v>#REF!</v>
      </c>
      <c r="GK4" t="e">
        <f>AND('4to. Secre.'!#REF!,"AAAAAH8b+cA=")</f>
        <v>#REF!</v>
      </c>
      <c r="GL4" t="e">
        <f>AND('4to. Secre.'!#REF!,"AAAAAH8b+cE=")</f>
        <v>#REF!</v>
      </c>
      <c r="GM4" t="e">
        <f>IF('4to. Secre.'!#REF!,"AAAAAH8b+cI=",0)</f>
        <v>#REF!</v>
      </c>
      <c r="GN4" t="e">
        <f>AND('4to. Secre.'!#REF!,"AAAAAH8b+cM=")</f>
        <v>#REF!</v>
      </c>
      <c r="GO4" t="e">
        <f>AND('4to. Secre.'!#REF!,"AAAAAH8b+cQ=")</f>
        <v>#REF!</v>
      </c>
      <c r="GP4" t="e">
        <f>AND('4to. Secre.'!#REF!,"AAAAAH8b+cU=")</f>
        <v>#REF!</v>
      </c>
      <c r="GQ4" t="e">
        <f>AND('4to. Secre.'!#REF!,"AAAAAH8b+cY=")</f>
        <v>#REF!</v>
      </c>
      <c r="GR4" t="e">
        <f>AND('4to. Secre.'!#REF!,"AAAAAH8b+cc=")</f>
        <v>#REF!</v>
      </c>
      <c r="GS4" t="e">
        <f>AND('4to. Secre.'!#REF!,"AAAAAH8b+cg=")</f>
        <v>#REF!</v>
      </c>
      <c r="GT4" t="e">
        <f>AND('4to. Secre.'!#REF!,"AAAAAH8b+ck=")</f>
        <v>#REF!</v>
      </c>
      <c r="GU4" t="e">
        <f>AND('4to. Secre.'!#REF!,"AAAAAH8b+co=")</f>
        <v>#REF!</v>
      </c>
      <c r="GV4" t="e">
        <f>AND('4to. Secre.'!#REF!,"AAAAAH8b+cs=")</f>
        <v>#REF!</v>
      </c>
      <c r="GW4" t="e">
        <f>AND('4to. Secre.'!#REF!,"AAAAAH8b+cw=")</f>
        <v>#REF!</v>
      </c>
      <c r="GX4" t="e">
        <f>AND('4to. Secre.'!#REF!,"AAAAAH8b+c0=")</f>
        <v>#REF!</v>
      </c>
      <c r="GY4" t="e">
        <f>AND('4to. Secre.'!#REF!,"AAAAAH8b+c4=")</f>
        <v>#REF!</v>
      </c>
      <c r="GZ4" t="e">
        <f>AND('4to. Secre.'!#REF!,"AAAAAH8b+c8=")</f>
        <v>#REF!</v>
      </c>
      <c r="HA4" t="e">
        <f>AND('4to. Secre.'!#REF!,"AAAAAH8b+dA=")</f>
        <v>#REF!</v>
      </c>
      <c r="HB4" t="e">
        <f>AND('4to. Secre.'!#REF!,"AAAAAH8b+dE=")</f>
        <v>#REF!</v>
      </c>
      <c r="HC4" t="e">
        <f>AND('4to. Secre.'!#REF!,"AAAAAH8b+dI=")</f>
        <v>#REF!</v>
      </c>
      <c r="HD4" t="e">
        <f>AND('4to. Secre.'!#REF!,"AAAAAH8b+dM=")</f>
        <v>#REF!</v>
      </c>
      <c r="HE4" t="e">
        <f>AND('4to. Secre.'!#REF!,"AAAAAH8b+dQ=")</f>
        <v>#REF!</v>
      </c>
      <c r="HF4" t="e">
        <f>AND('4to. Secre.'!#REF!,"AAAAAH8b+dU=")</f>
        <v>#REF!</v>
      </c>
      <c r="HG4" t="e">
        <f>AND('4to. Secre.'!#REF!,"AAAAAH8b+dY=")</f>
        <v>#REF!</v>
      </c>
      <c r="HH4" t="e">
        <f>AND('4to. Secre.'!#REF!,"AAAAAH8b+dc=")</f>
        <v>#REF!</v>
      </c>
      <c r="HI4" t="e">
        <f>AND('4to. Secre.'!#REF!,"AAAAAH8b+dg=")</f>
        <v>#REF!</v>
      </c>
      <c r="HJ4" t="e">
        <f>AND('4to. Secre.'!#REF!,"AAAAAH8b+dk=")</f>
        <v>#REF!</v>
      </c>
      <c r="HK4" t="e">
        <f>AND('4to. Secre.'!#REF!,"AAAAAH8b+do=")</f>
        <v>#REF!</v>
      </c>
      <c r="HL4" t="e">
        <f>AND('4to. Secre.'!#REF!,"AAAAAH8b+ds=")</f>
        <v>#REF!</v>
      </c>
      <c r="HM4" t="e">
        <f>IF('4to. Secre.'!#REF!,"AAAAAH8b+dw=",0)</f>
        <v>#REF!</v>
      </c>
      <c r="HN4" t="e">
        <f>AND('4to. Secre.'!#REF!,"AAAAAH8b+d0=")</f>
        <v>#REF!</v>
      </c>
      <c r="HO4" t="e">
        <f>AND('4to. Secre.'!#REF!,"AAAAAH8b+d4=")</f>
        <v>#REF!</v>
      </c>
      <c r="HP4" t="e">
        <f>AND('4to. Secre.'!#REF!,"AAAAAH8b+d8=")</f>
        <v>#REF!</v>
      </c>
      <c r="HQ4" t="e">
        <f>AND('4to. Secre.'!#REF!,"AAAAAH8b+eA=")</f>
        <v>#REF!</v>
      </c>
      <c r="HR4" t="e">
        <f>AND('4to. Secre.'!#REF!,"AAAAAH8b+eE=")</f>
        <v>#REF!</v>
      </c>
      <c r="HS4" t="e">
        <f>AND('4to. Secre.'!#REF!,"AAAAAH8b+eI=")</f>
        <v>#REF!</v>
      </c>
      <c r="HT4" t="e">
        <f>AND('4to. Secre.'!#REF!,"AAAAAH8b+eM=")</f>
        <v>#REF!</v>
      </c>
      <c r="HU4" t="e">
        <f>AND('4to. Secre.'!#REF!,"AAAAAH8b+eQ=")</f>
        <v>#REF!</v>
      </c>
      <c r="HV4" t="e">
        <f>AND('4to. Secre.'!#REF!,"AAAAAH8b+eU=")</f>
        <v>#REF!</v>
      </c>
      <c r="HW4" t="e">
        <f>AND('4to. Secre.'!#REF!,"AAAAAH8b+eY=")</f>
        <v>#REF!</v>
      </c>
      <c r="HX4" t="e">
        <f>AND('4to. Secre.'!#REF!,"AAAAAH8b+ec=")</f>
        <v>#REF!</v>
      </c>
      <c r="HY4" t="e">
        <f>AND('4to. Secre.'!#REF!,"AAAAAH8b+eg=")</f>
        <v>#REF!</v>
      </c>
      <c r="HZ4" t="e">
        <f>AND('4to. Secre.'!#REF!,"AAAAAH8b+ek=")</f>
        <v>#REF!</v>
      </c>
      <c r="IA4" t="e">
        <f>AND('4to. Secre.'!#REF!,"AAAAAH8b+eo=")</f>
        <v>#REF!</v>
      </c>
      <c r="IB4" t="e">
        <f>AND('4to. Secre.'!#REF!,"AAAAAH8b+es=")</f>
        <v>#REF!</v>
      </c>
      <c r="IC4" t="e">
        <f>AND('4to. Secre.'!#REF!,"AAAAAH8b+ew=")</f>
        <v>#REF!</v>
      </c>
      <c r="ID4" t="e">
        <f>AND('4to. Secre.'!#REF!,"AAAAAH8b+e0=")</f>
        <v>#REF!</v>
      </c>
      <c r="IE4" t="e">
        <f>AND('4to. Secre.'!#REF!,"AAAAAH8b+e4=")</f>
        <v>#REF!</v>
      </c>
      <c r="IF4" t="e">
        <f>AND('4to. Secre.'!#REF!,"AAAAAH8b+e8=")</f>
        <v>#REF!</v>
      </c>
      <c r="IG4" t="e">
        <f>AND('4to. Secre.'!#REF!,"AAAAAH8b+fA=")</f>
        <v>#REF!</v>
      </c>
      <c r="IH4" t="e">
        <f>AND('4to. Secre.'!#REF!,"AAAAAH8b+fE=")</f>
        <v>#REF!</v>
      </c>
      <c r="II4" t="e">
        <f>AND('4to. Secre.'!#REF!,"AAAAAH8b+fI=")</f>
        <v>#REF!</v>
      </c>
      <c r="IJ4" t="e">
        <f>AND('4to. Secre.'!#REF!,"AAAAAH8b+fM=")</f>
        <v>#REF!</v>
      </c>
      <c r="IK4" t="e">
        <f>AND('4to. Secre.'!#REF!,"AAAAAH8b+fQ=")</f>
        <v>#REF!</v>
      </c>
      <c r="IL4" t="e">
        <f>AND('4to. Secre.'!#REF!,"AAAAAH8b+fU=")</f>
        <v>#REF!</v>
      </c>
      <c r="IM4" t="e">
        <f>IF('4to. Secre.'!#REF!,"AAAAAH8b+fY=",0)</f>
        <v>#REF!</v>
      </c>
      <c r="IN4" t="e">
        <f>AND('4to. Secre.'!#REF!,"AAAAAH8b+fc=")</f>
        <v>#REF!</v>
      </c>
      <c r="IO4" t="e">
        <f>AND('4to. Secre.'!#REF!,"AAAAAH8b+fg=")</f>
        <v>#REF!</v>
      </c>
      <c r="IP4" t="e">
        <f>AND('4to. Secre.'!#REF!,"AAAAAH8b+fk=")</f>
        <v>#REF!</v>
      </c>
      <c r="IQ4" t="e">
        <f>AND('4to. Secre.'!#REF!,"AAAAAH8b+fo=")</f>
        <v>#REF!</v>
      </c>
      <c r="IR4" t="e">
        <f>AND('4to. Secre.'!#REF!,"AAAAAH8b+fs=")</f>
        <v>#REF!</v>
      </c>
      <c r="IS4" t="e">
        <f>AND('4to. Secre.'!#REF!,"AAAAAH8b+fw=")</f>
        <v>#REF!</v>
      </c>
      <c r="IT4" t="e">
        <f>AND('4to. Secre.'!#REF!,"AAAAAH8b+f0=")</f>
        <v>#REF!</v>
      </c>
      <c r="IU4" t="e">
        <f>AND('4to. Secre.'!#REF!,"AAAAAH8b+f4=")</f>
        <v>#REF!</v>
      </c>
      <c r="IV4" t="e">
        <f>AND('4to. Secre.'!#REF!,"AAAAAH8b+f8=")</f>
        <v>#REF!</v>
      </c>
    </row>
    <row r="5" spans="1:256">
      <c r="A5" t="e">
        <f>AND('4to. Secre.'!#REF!,"AAAAAB01/wA=")</f>
        <v>#REF!</v>
      </c>
      <c r="B5" t="e">
        <f>AND('4to. Secre.'!#REF!,"AAAAAB01/wE=")</f>
        <v>#REF!</v>
      </c>
      <c r="C5" t="e">
        <f>AND('4to. Secre.'!#REF!,"AAAAAB01/wI=")</f>
        <v>#REF!</v>
      </c>
      <c r="D5" t="e">
        <f>AND('4to. Secre.'!#REF!,"AAAAAB01/wM=")</f>
        <v>#REF!</v>
      </c>
      <c r="E5" t="e">
        <f>AND('4to. Secre.'!#REF!,"AAAAAB01/wQ=")</f>
        <v>#REF!</v>
      </c>
      <c r="F5" t="e">
        <f>AND('4to. Secre.'!#REF!,"AAAAAB01/wU=")</f>
        <v>#REF!</v>
      </c>
      <c r="G5" t="e">
        <f>AND('4to. Secre.'!#REF!,"AAAAAB01/wY=")</f>
        <v>#REF!</v>
      </c>
      <c r="H5" t="e">
        <f>AND('4to. Secre.'!#REF!,"AAAAAB01/wc=")</f>
        <v>#REF!</v>
      </c>
      <c r="I5" t="e">
        <f>AND('4to. Secre.'!#REF!,"AAAAAB01/wg=")</f>
        <v>#REF!</v>
      </c>
      <c r="J5" t="e">
        <f>AND('4to. Secre.'!#REF!,"AAAAAB01/wk=")</f>
        <v>#REF!</v>
      </c>
      <c r="K5" t="e">
        <f>AND('4to. Secre.'!#REF!,"AAAAAB01/wo=")</f>
        <v>#REF!</v>
      </c>
      <c r="L5" t="e">
        <f>AND('4to. Secre.'!#REF!,"AAAAAB01/ws=")</f>
        <v>#REF!</v>
      </c>
      <c r="M5" t="e">
        <f>AND('4to. Secre.'!#REF!,"AAAAAB01/ww=")</f>
        <v>#REF!</v>
      </c>
      <c r="N5" t="e">
        <f>AND('4to. Secre.'!#REF!,"AAAAAB01/w0=")</f>
        <v>#REF!</v>
      </c>
      <c r="O5" t="e">
        <f>AND('4to. Secre.'!#REF!,"AAAAAB01/w4=")</f>
        <v>#REF!</v>
      </c>
      <c r="P5" t="e">
        <f>AND('4to. Secre.'!#REF!,"AAAAAB01/w8=")</f>
        <v>#REF!</v>
      </c>
      <c r="Q5" t="e">
        <f>IF('4to. Secre.'!#REF!,"AAAAAB01/xA=",0)</f>
        <v>#REF!</v>
      </c>
      <c r="R5" t="e">
        <f>AND('4to. Secre.'!#REF!,"AAAAAB01/xE=")</f>
        <v>#REF!</v>
      </c>
      <c r="S5" t="e">
        <f>AND('4to. Secre.'!#REF!,"AAAAAB01/xI=")</f>
        <v>#REF!</v>
      </c>
      <c r="T5" t="e">
        <f>AND('4to. Secre.'!#REF!,"AAAAAB01/xM=")</f>
        <v>#REF!</v>
      </c>
      <c r="U5" t="e">
        <f>AND('4to. Secre.'!#REF!,"AAAAAB01/xQ=")</f>
        <v>#REF!</v>
      </c>
      <c r="V5" t="e">
        <f>AND('4to. Secre.'!#REF!,"AAAAAB01/xU=")</f>
        <v>#REF!</v>
      </c>
      <c r="W5" t="e">
        <f>AND('4to. Secre.'!#REF!,"AAAAAB01/xY=")</f>
        <v>#REF!</v>
      </c>
      <c r="X5" t="e">
        <f>AND('4to. Secre.'!#REF!,"AAAAAB01/xc=")</f>
        <v>#REF!</v>
      </c>
      <c r="Y5" t="e">
        <f>AND('4to. Secre.'!#REF!,"AAAAAB01/xg=")</f>
        <v>#REF!</v>
      </c>
      <c r="Z5" t="e">
        <f>AND('4to. Secre.'!#REF!,"AAAAAB01/xk=")</f>
        <v>#REF!</v>
      </c>
      <c r="AA5" t="e">
        <f>AND('4to. Secre.'!#REF!,"AAAAAB01/xo=")</f>
        <v>#REF!</v>
      </c>
      <c r="AB5" t="e">
        <f>AND('4to. Secre.'!#REF!,"AAAAAB01/xs=")</f>
        <v>#REF!</v>
      </c>
      <c r="AC5" t="e">
        <f>AND('4to. Secre.'!#REF!,"AAAAAB01/xw=")</f>
        <v>#REF!</v>
      </c>
      <c r="AD5" t="e">
        <f>AND('4to. Secre.'!#REF!,"AAAAAB01/x0=")</f>
        <v>#REF!</v>
      </c>
      <c r="AE5" t="e">
        <f>AND('4to. Secre.'!#REF!,"AAAAAB01/x4=")</f>
        <v>#REF!</v>
      </c>
      <c r="AF5" t="e">
        <f>AND('4to. Secre.'!#REF!,"AAAAAB01/x8=")</f>
        <v>#REF!</v>
      </c>
      <c r="AG5" t="e">
        <f>AND('4to. Secre.'!#REF!,"AAAAAB01/yA=")</f>
        <v>#REF!</v>
      </c>
      <c r="AH5" t="e">
        <f>AND('4to. Secre.'!#REF!,"AAAAAB01/yE=")</f>
        <v>#REF!</v>
      </c>
      <c r="AI5" t="e">
        <f>AND('4to. Secre.'!#REF!,"AAAAAB01/yI=")</f>
        <v>#REF!</v>
      </c>
      <c r="AJ5" t="e">
        <f>AND('4to. Secre.'!#REF!,"AAAAAB01/yM=")</f>
        <v>#REF!</v>
      </c>
      <c r="AK5" t="e">
        <f>AND('4to. Secre.'!#REF!,"AAAAAB01/yQ=")</f>
        <v>#REF!</v>
      </c>
      <c r="AL5" t="e">
        <f>AND('4to. Secre.'!#REF!,"AAAAAB01/yU=")</f>
        <v>#REF!</v>
      </c>
      <c r="AM5" t="e">
        <f>AND('4to. Secre.'!#REF!,"AAAAAB01/yY=")</f>
        <v>#REF!</v>
      </c>
      <c r="AN5" t="e">
        <f>AND('4to. Secre.'!#REF!,"AAAAAB01/yc=")</f>
        <v>#REF!</v>
      </c>
      <c r="AO5" t="e">
        <f>AND('4to. Secre.'!#REF!,"AAAAAB01/yg=")</f>
        <v>#REF!</v>
      </c>
      <c r="AP5" t="e">
        <f>AND('4to. Secre.'!#REF!,"AAAAAB01/yk=")</f>
        <v>#REF!</v>
      </c>
      <c r="AQ5" t="e">
        <f>IF('4to. Secre.'!#REF!,"AAAAAB01/yo=",0)</f>
        <v>#REF!</v>
      </c>
      <c r="AR5" t="e">
        <f>AND('4to. Secre.'!#REF!,"AAAAAB01/ys=")</f>
        <v>#REF!</v>
      </c>
      <c r="AS5" t="e">
        <f>AND('4to. Secre.'!#REF!,"AAAAAB01/yw=")</f>
        <v>#REF!</v>
      </c>
      <c r="AT5" t="e">
        <f>AND('4to. Secre.'!#REF!,"AAAAAB01/y0=")</f>
        <v>#REF!</v>
      </c>
      <c r="AU5" t="e">
        <f>AND('4to. Secre.'!#REF!,"AAAAAB01/y4=")</f>
        <v>#REF!</v>
      </c>
      <c r="AV5" t="e">
        <f>AND('4to. Secre.'!#REF!,"AAAAAB01/y8=")</f>
        <v>#REF!</v>
      </c>
      <c r="AW5" t="e">
        <f>AND('4to. Secre.'!#REF!,"AAAAAB01/zA=")</f>
        <v>#REF!</v>
      </c>
      <c r="AX5" t="e">
        <f>AND('4to. Secre.'!#REF!,"AAAAAB01/zE=")</f>
        <v>#REF!</v>
      </c>
      <c r="AY5" t="e">
        <f>AND('4to. Secre.'!#REF!,"AAAAAB01/zI=")</f>
        <v>#REF!</v>
      </c>
      <c r="AZ5" t="e">
        <f>AND('4to. Secre.'!#REF!,"AAAAAB01/zM=")</f>
        <v>#REF!</v>
      </c>
      <c r="BA5" t="e">
        <f>AND('4to. Secre.'!#REF!,"AAAAAB01/zQ=")</f>
        <v>#REF!</v>
      </c>
      <c r="BB5" t="e">
        <f>AND('4to. Secre.'!#REF!,"AAAAAB01/zU=")</f>
        <v>#REF!</v>
      </c>
      <c r="BC5" t="e">
        <f>AND('4to. Secre.'!#REF!,"AAAAAB01/zY=")</f>
        <v>#REF!</v>
      </c>
      <c r="BD5" t="e">
        <f>AND('4to. Secre.'!#REF!,"AAAAAB01/zc=")</f>
        <v>#REF!</v>
      </c>
      <c r="BE5" t="e">
        <f>AND('4to. Secre.'!#REF!,"AAAAAB01/zg=")</f>
        <v>#REF!</v>
      </c>
      <c r="BF5" t="e">
        <f>AND('4to. Secre.'!#REF!,"AAAAAB01/zk=")</f>
        <v>#REF!</v>
      </c>
      <c r="BG5" t="e">
        <f>AND('4to. Secre.'!#REF!,"AAAAAB01/zo=")</f>
        <v>#REF!</v>
      </c>
      <c r="BH5" t="e">
        <f>AND('4to. Secre.'!#REF!,"AAAAAB01/zs=")</f>
        <v>#REF!</v>
      </c>
      <c r="BI5" t="e">
        <f>AND('4to. Secre.'!#REF!,"AAAAAB01/zw=")</f>
        <v>#REF!</v>
      </c>
      <c r="BJ5" t="e">
        <f>AND('4to. Secre.'!#REF!,"AAAAAB01/z0=")</f>
        <v>#REF!</v>
      </c>
      <c r="BK5" t="e">
        <f>AND('4to. Secre.'!#REF!,"AAAAAB01/z4=")</f>
        <v>#REF!</v>
      </c>
      <c r="BL5" t="e">
        <f>AND('4to. Secre.'!#REF!,"AAAAAB01/z8=")</f>
        <v>#REF!</v>
      </c>
      <c r="BM5" t="e">
        <f>AND('4to. Secre.'!#REF!,"AAAAAB01/0A=")</f>
        <v>#REF!</v>
      </c>
      <c r="BN5" t="e">
        <f>AND('4to. Secre.'!#REF!,"AAAAAB01/0E=")</f>
        <v>#REF!</v>
      </c>
      <c r="BO5" t="e">
        <f>AND('4to. Secre.'!#REF!,"AAAAAB01/0I=")</f>
        <v>#REF!</v>
      </c>
      <c r="BP5" t="e">
        <f>AND('4to. Secre.'!#REF!,"AAAAAB01/0M=")</f>
        <v>#REF!</v>
      </c>
      <c r="BQ5" t="e">
        <f>IF('4to. Secre.'!#REF!,"AAAAAB01/0Q=",0)</f>
        <v>#REF!</v>
      </c>
      <c r="BR5" t="e">
        <f>AND('4to. Secre.'!#REF!,"AAAAAB01/0U=")</f>
        <v>#REF!</v>
      </c>
      <c r="BS5" t="e">
        <f>AND('4to. Secre.'!#REF!,"AAAAAB01/0Y=")</f>
        <v>#REF!</v>
      </c>
      <c r="BT5" t="e">
        <f>AND('4to. Secre.'!#REF!,"AAAAAB01/0c=")</f>
        <v>#REF!</v>
      </c>
      <c r="BU5" t="e">
        <f>AND('4to. Secre.'!#REF!,"AAAAAB01/0g=")</f>
        <v>#REF!</v>
      </c>
      <c r="BV5" t="e">
        <f>AND('4to. Secre.'!#REF!,"AAAAAB01/0k=")</f>
        <v>#REF!</v>
      </c>
      <c r="BW5" t="e">
        <f>AND('4to. Secre.'!#REF!,"AAAAAB01/0o=")</f>
        <v>#REF!</v>
      </c>
      <c r="BX5" t="e">
        <f>AND('4to. Secre.'!#REF!,"AAAAAB01/0s=")</f>
        <v>#REF!</v>
      </c>
      <c r="BY5" t="e">
        <f>AND('4to. Secre.'!#REF!,"AAAAAB01/0w=")</f>
        <v>#REF!</v>
      </c>
      <c r="BZ5" t="e">
        <f>AND('4to. Secre.'!#REF!,"AAAAAB01/00=")</f>
        <v>#REF!</v>
      </c>
      <c r="CA5" t="e">
        <f>AND('4to. Secre.'!#REF!,"AAAAAB01/04=")</f>
        <v>#REF!</v>
      </c>
      <c r="CB5" t="e">
        <f>AND('4to. Secre.'!#REF!,"AAAAAB01/08=")</f>
        <v>#REF!</v>
      </c>
      <c r="CC5" t="e">
        <f>AND('4to. Secre.'!#REF!,"AAAAAB01/1A=")</f>
        <v>#REF!</v>
      </c>
      <c r="CD5" t="e">
        <f>AND('4to. Secre.'!#REF!,"AAAAAB01/1E=")</f>
        <v>#REF!</v>
      </c>
      <c r="CE5" t="e">
        <f>AND('4to. Secre.'!#REF!,"AAAAAB01/1I=")</f>
        <v>#REF!</v>
      </c>
      <c r="CF5" t="e">
        <f>AND('4to. Secre.'!#REF!,"AAAAAB01/1M=")</f>
        <v>#REF!</v>
      </c>
      <c r="CG5" t="e">
        <f>AND('4to. Secre.'!#REF!,"AAAAAB01/1Q=")</f>
        <v>#REF!</v>
      </c>
      <c r="CH5" t="e">
        <f>AND('4to. Secre.'!#REF!,"AAAAAB01/1U=")</f>
        <v>#REF!</v>
      </c>
      <c r="CI5" t="e">
        <f>AND('4to. Secre.'!#REF!,"AAAAAB01/1Y=")</f>
        <v>#REF!</v>
      </c>
      <c r="CJ5" t="e">
        <f>AND('4to. Secre.'!#REF!,"AAAAAB01/1c=")</f>
        <v>#REF!</v>
      </c>
      <c r="CK5" t="e">
        <f>AND('4to. Secre.'!#REF!,"AAAAAB01/1g=")</f>
        <v>#REF!</v>
      </c>
      <c r="CL5" t="e">
        <f>AND('4to. Secre.'!#REF!,"AAAAAB01/1k=")</f>
        <v>#REF!</v>
      </c>
      <c r="CM5" t="e">
        <f>AND('4to. Secre.'!#REF!,"AAAAAB01/1o=")</f>
        <v>#REF!</v>
      </c>
      <c r="CN5" t="e">
        <f>AND('4to. Secre.'!#REF!,"AAAAAB01/1s=")</f>
        <v>#REF!</v>
      </c>
      <c r="CO5" t="e">
        <f>AND('4to. Secre.'!#REF!,"AAAAAB01/1w=")</f>
        <v>#REF!</v>
      </c>
      <c r="CP5" t="e">
        <f>AND('4to. Secre.'!#REF!,"AAAAAB01/10=")</f>
        <v>#REF!</v>
      </c>
      <c r="CQ5" t="e">
        <f>IF('4to. Secre.'!#REF!,"AAAAAB01/14=",0)</f>
        <v>#REF!</v>
      </c>
      <c r="CR5" t="e">
        <f>AND('4to. Secre.'!#REF!,"AAAAAB01/18=")</f>
        <v>#REF!</v>
      </c>
      <c r="CS5" t="e">
        <f>AND('4to. Secre.'!#REF!,"AAAAAB01/2A=")</f>
        <v>#REF!</v>
      </c>
      <c r="CT5" t="e">
        <f>AND('4to. Secre.'!#REF!,"AAAAAB01/2E=")</f>
        <v>#REF!</v>
      </c>
      <c r="CU5" t="e">
        <f>AND('4to. Secre.'!#REF!,"AAAAAB01/2I=")</f>
        <v>#REF!</v>
      </c>
      <c r="CV5" t="e">
        <f>AND('4to. Secre.'!#REF!,"AAAAAB01/2M=")</f>
        <v>#REF!</v>
      </c>
      <c r="CW5" t="e">
        <f>AND('4to. Secre.'!#REF!,"AAAAAB01/2Q=")</f>
        <v>#REF!</v>
      </c>
      <c r="CX5" t="e">
        <f>AND('4to. Secre.'!#REF!,"AAAAAB01/2U=")</f>
        <v>#REF!</v>
      </c>
      <c r="CY5" t="e">
        <f>AND('4to. Secre.'!#REF!,"AAAAAB01/2Y=")</f>
        <v>#REF!</v>
      </c>
      <c r="CZ5" t="e">
        <f>AND('4to. Secre.'!#REF!,"AAAAAB01/2c=")</f>
        <v>#REF!</v>
      </c>
      <c r="DA5" t="e">
        <f>AND('4to. Secre.'!#REF!,"AAAAAB01/2g=")</f>
        <v>#REF!</v>
      </c>
      <c r="DB5" t="e">
        <f>AND('4to. Secre.'!#REF!,"AAAAAB01/2k=")</f>
        <v>#REF!</v>
      </c>
      <c r="DC5" t="e">
        <f>AND('4to. Secre.'!#REF!,"AAAAAB01/2o=")</f>
        <v>#REF!</v>
      </c>
      <c r="DD5" t="e">
        <f>AND('4to. Secre.'!#REF!,"AAAAAB01/2s=")</f>
        <v>#REF!</v>
      </c>
      <c r="DE5" t="e">
        <f>AND('4to. Secre.'!#REF!,"AAAAAB01/2w=")</f>
        <v>#REF!</v>
      </c>
      <c r="DF5" t="e">
        <f>AND('4to. Secre.'!#REF!,"AAAAAB01/20=")</f>
        <v>#REF!</v>
      </c>
      <c r="DG5" t="e">
        <f>AND('4to. Secre.'!#REF!,"AAAAAB01/24=")</f>
        <v>#REF!</v>
      </c>
      <c r="DH5" t="e">
        <f>AND('4to. Secre.'!#REF!,"AAAAAB01/28=")</f>
        <v>#REF!</v>
      </c>
      <c r="DI5" t="e">
        <f>AND('4to. Secre.'!#REF!,"AAAAAB01/3A=")</f>
        <v>#REF!</v>
      </c>
      <c r="DJ5" t="e">
        <f>AND('4to. Secre.'!#REF!,"AAAAAB01/3E=")</f>
        <v>#REF!</v>
      </c>
      <c r="DK5" t="e">
        <f>AND('4to. Secre.'!#REF!,"AAAAAB01/3I=")</f>
        <v>#REF!</v>
      </c>
      <c r="DL5" t="e">
        <f>AND('4to. Secre.'!#REF!,"AAAAAB01/3M=")</f>
        <v>#REF!</v>
      </c>
      <c r="DM5" t="e">
        <f>AND('4to. Secre.'!#REF!,"AAAAAB01/3Q=")</f>
        <v>#REF!</v>
      </c>
      <c r="DN5" t="e">
        <f>AND('4to. Secre.'!#REF!,"AAAAAB01/3U=")</f>
        <v>#REF!</v>
      </c>
      <c r="DO5" t="e">
        <f>AND('4to. Secre.'!#REF!,"AAAAAB01/3Y=")</f>
        <v>#REF!</v>
      </c>
      <c r="DP5" t="e">
        <f>AND('4to. Secre.'!#REF!,"AAAAAB01/3c=")</f>
        <v>#REF!</v>
      </c>
      <c r="DQ5" t="e">
        <f>IF('4to. Secre.'!#REF!,"AAAAAB01/3g=",0)</f>
        <v>#REF!</v>
      </c>
      <c r="DR5" t="e">
        <f>AND('4to. Secre.'!#REF!,"AAAAAB01/3k=")</f>
        <v>#REF!</v>
      </c>
      <c r="DS5" t="e">
        <f>AND('4to. Secre.'!#REF!,"AAAAAB01/3o=")</f>
        <v>#REF!</v>
      </c>
      <c r="DT5" t="e">
        <f>AND('4to. Secre.'!#REF!,"AAAAAB01/3s=")</f>
        <v>#REF!</v>
      </c>
      <c r="DU5" t="e">
        <f>AND('4to. Secre.'!#REF!,"AAAAAB01/3w=")</f>
        <v>#REF!</v>
      </c>
      <c r="DV5" t="e">
        <f>AND('4to. Secre.'!#REF!,"AAAAAB01/30=")</f>
        <v>#REF!</v>
      </c>
      <c r="DW5" t="e">
        <f>AND('4to. Secre.'!#REF!,"AAAAAB01/34=")</f>
        <v>#REF!</v>
      </c>
      <c r="DX5" t="e">
        <f>AND('4to. Secre.'!#REF!,"AAAAAB01/38=")</f>
        <v>#REF!</v>
      </c>
      <c r="DY5" t="e">
        <f>AND('4to. Secre.'!#REF!,"AAAAAB01/4A=")</f>
        <v>#REF!</v>
      </c>
      <c r="DZ5" t="e">
        <f>AND('4to. Secre.'!#REF!,"AAAAAB01/4E=")</f>
        <v>#REF!</v>
      </c>
      <c r="EA5" t="e">
        <f>AND('4to. Secre.'!#REF!,"AAAAAB01/4I=")</f>
        <v>#REF!</v>
      </c>
      <c r="EB5" t="e">
        <f>AND('4to. Secre.'!#REF!,"AAAAAB01/4M=")</f>
        <v>#REF!</v>
      </c>
      <c r="EC5" t="e">
        <f>AND('4to. Secre.'!#REF!,"AAAAAB01/4Q=")</f>
        <v>#REF!</v>
      </c>
      <c r="ED5" t="e">
        <f>AND('4to. Secre.'!#REF!,"AAAAAB01/4U=")</f>
        <v>#REF!</v>
      </c>
      <c r="EE5" t="e">
        <f>AND('4to. Secre.'!#REF!,"AAAAAB01/4Y=")</f>
        <v>#REF!</v>
      </c>
      <c r="EF5" t="e">
        <f>AND('4to. Secre.'!#REF!,"AAAAAB01/4c=")</f>
        <v>#REF!</v>
      </c>
      <c r="EG5" t="e">
        <f>AND('4to. Secre.'!#REF!,"AAAAAB01/4g=")</f>
        <v>#REF!</v>
      </c>
      <c r="EH5" t="e">
        <f>AND('4to. Secre.'!#REF!,"AAAAAB01/4k=")</f>
        <v>#REF!</v>
      </c>
      <c r="EI5" t="e">
        <f>AND('4to. Secre.'!#REF!,"AAAAAB01/4o=")</f>
        <v>#REF!</v>
      </c>
      <c r="EJ5" t="e">
        <f>AND('4to. Secre.'!#REF!,"AAAAAB01/4s=")</f>
        <v>#REF!</v>
      </c>
      <c r="EK5" t="e">
        <f>AND('4to. Secre.'!#REF!,"AAAAAB01/4w=")</f>
        <v>#REF!</v>
      </c>
      <c r="EL5" t="e">
        <f>AND('4to. Secre.'!#REF!,"AAAAAB01/40=")</f>
        <v>#REF!</v>
      </c>
      <c r="EM5" t="e">
        <f>AND('4to. Secre.'!#REF!,"AAAAAB01/44=")</f>
        <v>#REF!</v>
      </c>
      <c r="EN5" t="e">
        <f>AND('4to. Secre.'!#REF!,"AAAAAB01/48=")</f>
        <v>#REF!</v>
      </c>
      <c r="EO5" t="e">
        <f>AND('4to. Secre.'!#REF!,"AAAAAB01/5A=")</f>
        <v>#REF!</v>
      </c>
      <c r="EP5" t="e">
        <f>AND('4to. Secre.'!#REF!,"AAAAAB01/5E=")</f>
        <v>#REF!</v>
      </c>
      <c r="EQ5" t="e">
        <f>IF('4to. Secre.'!#REF!,"AAAAAB01/5I=",0)</f>
        <v>#REF!</v>
      </c>
      <c r="ER5" t="e">
        <f>AND('4to. Secre.'!#REF!,"AAAAAB01/5M=")</f>
        <v>#REF!</v>
      </c>
      <c r="ES5" t="e">
        <f>AND('4to. Secre.'!#REF!,"AAAAAB01/5Q=")</f>
        <v>#REF!</v>
      </c>
      <c r="ET5" t="e">
        <f>AND('4to. Secre.'!#REF!,"AAAAAB01/5U=")</f>
        <v>#REF!</v>
      </c>
      <c r="EU5" t="e">
        <f>AND('4to. Secre.'!#REF!,"AAAAAB01/5Y=")</f>
        <v>#REF!</v>
      </c>
      <c r="EV5" t="e">
        <f>AND('4to. Secre.'!#REF!,"AAAAAB01/5c=")</f>
        <v>#REF!</v>
      </c>
      <c r="EW5" t="e">
        <f>AND('4to. Secre.'!#REF!,"AAAAAB01/5g=")</f>
        <v>#REF!</v>
      </c>
      <c r="EX5" t="e">
        <f>AND('4to. Secre.'!#REF!,"AAAAAB01/5k=")</f>
        <v>#REF!</v>
      </c>
      <c r="EY5" t="e">
        <f>AND('4to. Secre.'!#REF!,"AAAAAB01/5o=")</f>
        <v>#REF!</v>
      </c>
      <c r="EZ5" t="e">
        <f>AND('4to. Secre.'!#REF!,"AAAAAB01/5s=")</f>
        <v>#REF!</v>
      </c>
      <c r="FA5" t="e">
        <f>AND('4to. Secre.'!#REF!,"AAAAAB01/5w=")</f>
        <v>#REF!</v>
      </c>
      <c r="FB5" t="e">
        <f>AND('4to. Secre.'!#REF!,"AAAAAB01/50=")</f>
        <v>#REF!</v>
      </c>
      <c r="FC5" t="e">
        <f>AND('4to. Secre.'!#REF!,"AAAAAB01/54=")</f>
        <v>#REF!</v>
      </c>
      <c r="FD5" t="e">
        <f>AND('4to. Secre.'!#REF!,"AAAAAB01/58=")</f>
        <v>#REF!</v>
      </c>
      <c r="FE5" t="e">
        <f>AND('4to. Secre.'!#REF!,"AAAAAB01/6A=")</f>
        <v>#REF!</v>
      </c>
      <c r="FF5" t="e">
        <f>AND('4to. Secre.'!#REF!,"AAAAAB01/6E=")</f>
        <v>#REF!</v>
      </c>
      <c r="FG5" t="e">
        <f>AND('4to. Secre.'!#REF!,"AAAAAB01/6I=")</f>
        <v>#REF!</v>
      </c>
      <c r="FH5" t="e">
        <f>AND('4to. Secre.'!#REF!,"AAAAAB01/6M=")</f>
        <v>#REF!</v>
      </c>
      <c r="FI5" t="e">
        <f>AND('4to. Secre.'!#REF!,"AAAAAB01/6Q=")</f>
        <v>#REF!</v>
      </c>
      <c r="FJ5" t="e">
        <f>AND('4to. Secre.'!#REF!,"AAAAAB01/6U=")</f>
        <v>#REF!</v>
      </c>
      <c r="FK5" t="e">
        <f>AND('4to. Secre.'!#REF!,"AAAAAB01/6Y=")</f>
        <v>#REF!</v>
      </c>
      <c r="FL5" t="e">
        <f>AND('4to. Secre.'!#REF!,"AAAAAB01/6c=")</f>
        <v>#REF!</v>
      </c>
      <c r="FM5" t="e">
        <f>AND('4to. Secre.'!#REF!,"AAAAAB01/6g=")</f>
        <v>#REF!</v>
      </c>
      <c r="FN5" t="e">
        <f>AND('4to. Secre.'!#REF!,"AAAAAB01/6k=")</f>
        <v>#REF!</v>
      </c>
      <c r="FO5" t="e">
        <f>AND('4to. Secre.'!#REF!,"AAAAAB01/6o=")</f>
        <v>#REF!</v>
      </c>
      <c r="FP5" t="e">
        <f>AND('4to. Secre.'!#REF!,"AAAAAB01/6s=")</f>
        <v>#REF!</v>
      </c>
      <c r="FQ5" t="e">
        <f>IF('4to. Secre.'!#REF!,"AAAAAB01/6w=",0)</f>
        <v>#REF!</v>
      </c>
      <c r="FR5" t="e">
        <f>AND('4to. Secre.'!#REF!,"AAAAAB01/60=")</f>
        <v>#REF!</v>
      </c>
      <c r="FS5" t="e">
        <f>AND('4to. Secre.'!#REF!,"AAAAAB01/64=")</f>
        <v>#REF!</v>
      </c>
      <c r="FT5" t="e">
        <f>AND('4to. Secre.'!#REF!,"AAAAAB01/68=")</f>
        <v>#REF!</v>
      </c>
      <c r="FU5" t="e">
        <f>AND('4to. Secre.'!#REF!,"AAAAAB01/7A=")</f>
        <v>#REF!</v>
      </c>
      <c r="FV5" t="e">
        <f>AND('4to. Secre.'!#REF!,"AAAAAB01/7E=")</f>
        <v>#REF!</v>
      </c>
      <c r="FW5" t="e">
        <f>AND('4to. Secre.'!#REF!,"AAAAAB01/7I=")</f>
        <v>#REF!</v>
      </c>
      <c r="FX5" t="e">
        <f>AND('4to. Secre.'!#REF!,"AAAAAB01/7M=")</f>
        <v>#REF!</v>
      </c>
      <c r="FY5" t="e">
        <f>AND('4to. Secre.'!#REF!,"AAAAAB01/7Q=")</f>
        <v>#REF!</v>
      </c>
      <c r="FZ5" t="e">
        <f>AND('4to. Secre.'!#REF!,"AAAAAB01/7U=")</f>
        <v>#REF!</v>
      </c>
      <c r="GA5" t="e">
        <f>AND('4to. Secre.'!#REF!,"AAAAAB01/7Y=")</f>
        <v>#REF!</v>
      </c>
      <c r="GB5" t="e">
        <f>AND('4to. Secre.'!#REF!,"AAAAAB01/7c=")</f>
        <v>#REF!</v>
      </c>
      <c r="GC5" t="e">
        <f>AND('4to. Secre.'!#REF!,"AAAAAB01/7g=")</f>
        <v>#REF!</v>
      </c>
      <c r="GD5" t="e">
        <f>AND('4to. Secre.'!#REF!,"AAAAAB01/7k=")</f>
        <v>#REF!</v>
      </c>
      <c r="GE5" t="e">
        <f>AND('4to. Secre.'!#REF!,"AAAAAB01/7o=")</f>
        <v>#REF!</v>
      </c>
      <c r="GF5" t="e">
        <f>AND('4to. Secre.'!#REF!,"AAAAAB01/7s=")</f>
        <v>#REF!</v>
      </c>
      <c r="GG5" t="e">
        <f>AND('4to. Secre.'!#REF!,"AAAAAB01/7w=")</f>
        <v>#REF!</v>
      </c>
      <c r="GH5" t="e">
        <f>AND('4to. Secre.'!#REF!,"AAAAAB01/70=")</f>
        <v>#REF!</v>
      </c>
      <c r="GI5" t="e">
        <f>AND('4to. Secre.'!#REF!,"AAAAAB01/74=")</f>
        <v>#REF!</v>
      </c>
      <c r="GJ5" t="e">
        <f>AND('4to. Secre.'!#REF!,"AAAAAB01/78=")</f>
        <v>#REF!</v>
      </c>
      <c r="GK5" t="e">
        <f>AND('4to. Secre.'!#REF!,"AAAAAB01/8A=")</f>
        <v>#REF!</v>
      </c>
      <c r="GL5" t="e">
        <f>AND('4to. Secre.'!#REF!,"AAAAAB01/8E=")</f>
        <v>#REF!</v>
      </c>
      <c r="GM5" t="e">
        <f>AND('4to. Secre.'!#REF!,"AAAAAB01/8I=")</f>
        <v>#REF!</v>
      </c>
      <c r="GN5" t="e">
        <f>AND('4to. Secre.'!#REF!,"AAAAAB01/8M=")</f>
        <v>#REF!</v>
      </c>
      <c r="GO5" t="e">
        <f>AND('4to. Secre.'!#REF!,"AAAAAB01/8Q=")</f>
        <v>#REF!</v>
      </c>
      <c r="GP5" t="e">
        <f>AND('4to. Secre.'!#REF!,"AAAAAB01/8U=")</f>
        <v>#REF!</v>
      </c>
      <c r="GQ5" t="e">
        <f>IF('4to. Secre.'!#REF!,"AAAAAB01/8Y=",0)</f>
        <v>#REF!</v>
      </c>
      <c r="GR5" t="e">
        <f>AND('4to. Secre.'!#REF!,"AAAAAB01/8c=")</f>
        <v>#REF!</v>
      </c>
      <c r="GS5" t="e">
        <f>AND('4to. Secre.'!#REF!,"AAAAAB01/8g=")</f>
        <v>#REF!</v>
      </c>
      <c r="GT5" t="e">
        <f>AND('4to. Secre.'!#REF!,"AAAAAB01/8k=")</f>
        <v>#REF!</v>
      </c>
      <c r="GU5" t="e">
        <f>AND('4to. Secre.'!#REF!,"AAAAAB01/8o=")</f>
        <v>#REF!</v>
      </c>
      <c r="GV5" t="e">
        <f>AND('4to. Secre.'!#REF!,"AAAAAB01/8s=")</f>
        <v>#REF!</v>
      </c>
      <c r="GW5" t="e">
        <f>AND('4to. Secre.'!#REF!,"AAAAAB01/8w=")</f>
        <v>#REF!</v>
      </c>
      <c r="GX5" t="e">
        <f>AND('4to. Secre.'!#REF!,"AAAAAB01/80=")</f>
        <v>#REF!</v>
      </c>
      <c r="GY5" t="e">
        <f>AND('4to. Secre.'!#REF!,"AAAAAB01/84=")</f>
        <v>#REF!</v>
      </c>
      <c r="GZ5" t="e">
        <f>AND('4to. Secre.'!#REF!,"AAAAAB01/88=")</f>
        <v>#REF!</v>
      </c>
      <c r="HA5" t="e">
        <f>AND('4to. Secre.'!#REF!,"AAAAAB01/9A=")</f>
        <v>#REF!</v>
      </c>
      <c r="HB5" t="e">
        <f>AND('4to. Secre.'!#REF!,"AAAAAB01/9E=")</f>
        <v>#REF!</v>
      </c>
      <c r="HC5" t="e">
        <f>AND('4to. Secre.'!#REF!,"AAAAAB01/9I=")</f>
        <v>#REF!</v>
      </c>
      <c r="HD5" t="e">
        <f>AND('4to. Secre.'!#REF!,"AAAAAB01/9M=")</f>
        <v>#REF!</v>
      </c>
      <c r="HE5" t="e">
        <f>AND('4to. Secre.'!#REF!,"AAAAAB01/9Q=")</f>
        <v>#REF!</v>
      </c>
      <c r="HF5" t="e">
        <f>AND('4to. Secre.'!#REF!,"AAAAAB01/9U=")</f>
        <v>#REF!</v>
      </c>
      <c r="HG5" t="e">
        <f>AND('4to. Secre.'!#REF!,"AAAAAB01/9Y=")</f>
        <v>#REF!</v>
      </c>
      <c r="HH5" t="e">
        <f>AND('4to. Secre.'!#REF!,"AAAAAB01/9c=")</f>
        <v>#REF!</v>
      </c>
      <c r="HI5" t="e">
        <f>AND('4to. Secre.'!#REF!,"AAAAAB01/9g=")</f>
        <v>#REF!</v>
      </c>
      <c r="HJ5" t="e">
        <f>AND('4to. Secre.'!#REF!,"AAAAAB01/9k=")</f>
        <v>#REF!</v>
      </c>
      <c r="HK5" t="e">
        <f>AND('4to. Secre.'!#REF!,"AAAAAB01/9o=")</f>
        <v>#REF!</v>
      </c>
      <c r="HL5" t="e">
        <f>AND('4to. Secre.'!#REF!,"AAAAAB01/9s=")</f>
        <v>#REF!</v>
      </c>
      <c r="HM5" t="e">
        <f>AND('4to. Secre.'!#REF!,"AAAAAB01/9w=")</f>
        <v>#REF!</v>
      </c>
      <c r="HN5" t="e">
        <f>AND('4to. Secre.'!#REF!,"AAAAAB01/90=")</f>
        <v>#REF!</v>
      </c>
      <c r="HO5" t="e">
        <f>AND('4to. Secre.'!#REF!,"AAAAAB01/94=")</f>
        <v>#REF!</v>
      </c>
      <c r="HP5" t="e">
        <f>AND('4to. Secre.'!#REF!,"AAAAAB01/98=")</f>
        <v>#REF!</v>
      </c>
      <c r="HQ5" t="e">
        <f>IF('4to. Secre.'!#REF!,"AAAAAB01/+A=",0)</f>
        <v>#REF!</v>
      </c>
      <c r="HR5" t="e">
        <f>AND('4to. Secre.'!#REF!,"AAAAAB01/+E=")</f>
        <v>#REF!</v>
      </c>
      <c r="HS5" t="e">
        <f>AND('4to. Secre.'!#REF!,"AAAAAB01/+I=")</f>
        <v>#REF!</v>
      </c>
      <c r="HT5" t="e">
        <f>AND('4to. Secre.'!#REF!,"AAAAAB01/+M=")</f>
        <v>#REF!</v>
      </c>
      <c r="HU5" t="e">
        <f>AND('4to. Secre.'!#REF!,"AAAAAB01/+Q=")</f>
        <v>#REF!</v>
      </c>
      <c r="HV5" t="e">
        <f>AND('4to. Secre.'!#REF!,"AAAAAB01/+U=")</f>
        <v>#REF!</v>
      </c>
      <c r="HW5" t="e">
        <f>AND('4to. Secre.'!#REF!,"AAAAAB01/+Y=")</f>
        <v>#REF!</v>
      </c>
      <c r="HX5" t="e">
        <f>AND('4to. Secre.'!#REF!,"AAAAAB01/+c=")</f>
        <v>#REF!</v>
      </c>
      <c r="HY5" t="e">
        <f>AND('4to. Secre.'!#REF!,"AAAAAB01/+g=")</f>
        <v>#REF!</v>
      </c>
      <c r="HZ5" t="e">
        <f>AND('4to. Secre.'!#REF!,"AAAAAB01/+k=")</f>
        <v>#REF!</v>
      </c>
      <c r="IA5" t="e">
        <f>AND('4to. Secre.'!#REF!,"AAAAAB01/+o=")</f>
        <v>#REF!</v>
      </c>
      <c r="IB5" t="e">
        <f>AND('4to. Secre.'!#REF!,"AAAAAB01/+s=")</f>
        <v>#REF!</v>
      </c>
      <c r="IC5" t="e">
        <f>AND('4to. Secre.'!#REF!,"AAAAAB01/+w=")</f>
        <v>#REF!</v>
      </c>
      <c r="ID5" t="e">
        <f>AND('4to. Secre.'!#REF!,"AAAAAB01/+0=")</f>
        <v>#REF!</v>
      </c>
      <c r="IE5" t="e">
        <f>AND('4to. Secre.'!#REF!,"AAAAAB01/+4=")</f>
        <v>#REF!</v>
      </c>
      <c r="IF5" t="e">
        <f>AND('4to. Secre.'!#REF!,"AAAAAB01/+8=")</f>
        <v>#REF!</v>
      </c>
      <c r="IG5" t="e">
        <f>AND('4to. Secre.'!#REF!,"AAAAAB01//A=")</f>
        <v>#REF!</v>
      </c>
      <c r="IH5" t="e">
        <f>AND('4to. Secre.'!#REF!,"AAAAAB01//E=")</f>
        <v>#REF!</v>
      </c>
      <c r="II5" t="e">
        <f>AND('4to. Secre.'!#REF!,"AAAAAB01//I=")</f>
        <v>#REF!</v>
      </c>
      <c r="IJ5" t="e">
        <f>AND('4to. Secre.'!#REF!,"AAAAAB01//M=")</f>
        <v>#REF!</v>
      </c>
      <c r="IK5" t="e">
        <f>AND('4to. Secre.'!#REF!,"AAAAAB01//Q=")</f>
        <v>#REF!</v>
      </c>
      <c r="IL5" t="e">
        <f>AND('4to. Secre.'!#REF!,"AAAAAB01//U=")</f>
        <v>#REF!</v>
      </c>
      <c r="IM5" t="e">
        <f>AND('4to. Secre.'!#REF!,"AAAAAB01//Y=")</f>
        <v>#REF!</v>
      </c>
      <c r="IN5" t="e">
        <f>AND('4to. Secre.'!#REF!,"AAAAAB01//c=")</f>
        <v>#REF!</v>
      </c>
      <c r="IO5" t="e">
        <f>AND('4to. Secre.'!#REF!,"AAAAAB01//g=")</f>
        <v>#REF!</v>
      </c>
      <c r="IP5" t="e">
        <f>AND('4to. Secre.'!#REF!,"AAAAAB01//k=")</f>
        <v>#REF!</v>
      </c>
      <c r="IQ5" t="e">
        <f>IF('4to. Secre.'!#REF!,"AAAAAB01//o=",0)</f>
        <v>#REF!</v>
      </c>
      <c r="IR5" t="e">
        <f>AND('4to. Secre.'!#REF!,"AAAAAB01//s=")</f>
        <v>#REF!</v>
      </c>
      <c r="IS5" t="e">
        <f>AND('4to. Secre.'!#REF!,"AAAAAB01//w=")</f>
        <v>#REF!</v>
      </c>
      <c r="IT5" t="e">
        <f>AND('4to. Secre.'!#REF!,"AAAAAB01//0=")</f>
        <v>#REF!</v>
      </c>
      <c r="IU5" t="e">
        <f>AND('4to. Secre.'!#REF!,"AAAAAB01//4=")</f>
        <v>#REF!</v>
      </c>
      <c r="IV5" t="e">
        <f>AND('4to. Secre.'!#REF!,"AAAAAB01//8=")</f>
        <v>#REF!</v>
      </c>
    </row>
    <row r="6" spans="1:256">
      <c r="A6" t="e">
        <f>AND('4to. Secre.'!#REF!,"AAAAAGHdrgA=")</f>
        <v>#REF!</v>
      </c>
      <c r="B6" t="e">
        <f>AND('4to. Secre.'!#REF!,"AAAAAGHdrgE=")</f>
        <v>#REF!</v>
      </c>
      <c r="C6" t="e">
        <f>AND('4to. Secre.'!#REF!,"AAAAAGHdrgI=")</f>
        <v>#REF!</v>
      </c>
      <c r="D6" t="e">
        <f>AND('4to. Secre.'!#REF!,"AAAAAGHdrgM=")</f>
        <v>#REF!</v>
      </c>
      <c r="E6" t="e">
        <f>AND('4to. Secre.'!#REF!,"AAAAAGHdrgQ=")</f>
        <v>#REF!</v>
      </c>
      <c r="F6" t="e">
        <f>AND('4to. Secre.'!#REF!,"AAAAAGHdrgU=")</f>
        <v>#REF!</v>
      </c>
      <c r="G6" t="e">
        <f>AND('4to. Secre.'!#REF!,"AAAAAGHdrgY=")</f>
        <v>#REF!</v>
      </c>
      <c r="H6" t="e">
        <f>AND('4to. Secre.'!#REF!,"AAAAAGHdrgc=")</f>
        <v>#REF!</v>
      </c>
      <c r="I6" t="e">
        <f>AND('4to. Secre.'!#REF!,"AAAAAGHdrgg=")</f>
        <v>#REF!</v>
      </c>
      <c r="J6" t="e">
        <f>AND('4to. Secre.'!#REF!,"AAAAAGHdrgk=")</f>
        <v>#REF!</v>
      </c>
      <c r="K6" t="e">
        <f>AND('4to. Secre.'!#REF!,"AAAAAGHdrgo=")</f>
        <v>#REF!</v>
      </c>
      <c r="L6" t="e">
        <f>AND('4to. Secre.'!#REF!,"AAAAAGHdrgs=")</f>
        <v>#REF!</v>
      </c>
      <c r="M6" t="e">
        <f>AND('4to. Secre.'!#REF!,"AAAAAGHdrgw=")</f>
        <v>#REF!</v>
      </c>
      <c r="N6" t="e">
        <f>AND('4to. Secre.'!#REF!,"AAAAAGHdrg0=")</f>
        <v>#REF!</v>
      </c>
      <c r="O6" t="e">
        <f>AND('4to. Secre.'!#REF!,"AAAAAGHdrg4=")</f>
        <v>#REF!</v>
      </c>
      <c r="P6" t="e">
        <f>AND('4to. Secre.'!#REF!,"AAAAAGHdrg8=")</f>
        <v>#REF!</v>
      </c>
      <c r="Q6" t="e">
        <f>AND('4to. Secre.'!#REF!,"AAAAAGHdrhA=")</f>
        <v>#REF!</v>
      </c>
      <c r="R6" t="e">
        <f>AND('4to. Secre.'!#REF!,"AAAAAGHdrhE=")</f>
        <v>#REF!</v>
      </c>
      <c r="S6" t="e">
        <f>AND('4to. Secre.'!#REF!,"AAAAAGHdrhI=")</f>
        <v>#REF!</v>
      </c>
      <c r="T6" t="e">
        <f>AND('4to. Secre.'!#REF!,"AAAAAGHdrhM=")</f>
        <v>#REF!</v>
      </c>
      <c r="U6" t="e">
        <f>IF('4to. Secre.'!#REF!,"AAAAAGHdrhQ=",0)</f>
        <v>#REF!</v>
      </c>
      <c r="V6" t="e">
        <f>AND('4to. Secre.'!#REF!,"AAAAAGHdrhU=")</f>
        <v>#REF!</v>
      </c>
      <c r="W6" t="e">
        <f>AND('4to. Secre.'!#REF!,"AAAAAGHdrhY=")</f>
        <v>#REF!</v>
      </c>
      <c r="X6" t="e">
        <f>AND('4to. Secre.'!#REF!,"AAAAAGHdrhc=")</f>
        <v>#REF!</v>
      </c>
      <c r="Y6" t="e">
        <f>AND('4to. Secre.'!#REF!,"AAAAAGHdrhg=")</f>
        <v>#REF!</v>
      </c>
      <c r="Z6" t="e">
        <f>AND('4to. Secre.'!#REF!,"AAAAAGHdrhk=")</f>
        <v>#REF!</v>
      </c>
      <c r="AA6" t="e">
        <f>AND('4to. Secre.'!#REF!,"AAAAAGHdrho=")</f>
        <v>#REF!</v>
      </c>
      <c r="AB6" t="e">
        <f>AND('4to. Secre.'!#REF!,"AAAAAGHdrhs=")</f>
        <v>#REF!</v>
      </c>
      <c r="AC6" t="e">
        <f>AND('4to. Secre.'!#REF!,"AAAAAGHdrhw=")</f>
        <v>#REF!</v>
      </c>
      <c r="AD6" t="e">
        <f>AND('4to. Secre.'!#REF!,"AAAAAGHdrh0=")</f>
        <v>#REF!</v>
      </c>
      <c r="AE6" t="e">
        <f>AND('4to. Secre.'!#REF!,"AAAAAGHdrh4=")</f>
        <v>#REF!</v>
      </c>
      <c r="AF6" t="e">
        <f>AND('4to. Secre.'!#REF!,"AAAAAGHdrh8=")</f>
        <v>#REF!</v>
      </c>
      <c r="AG6" t="e">
        <f>AND('4to. Secre.'!#REF!,"AAAAAGHdriA=")</f>
        <v>#REF!</v>
      </c>
      <c r="AH6" t="e">
        <f>AND('4to. Secre.'!#REF!,"AAAAAGHdriE=")</f>
        <v>#REF!</v>
      </c>
      <c r="AI6" t="e">
        <f>AND('4to. Secre.'!#REF!,"AAAAAGHdriI=")</f>
        <v>#REF!</v>
      </c>
      <c r="AJ6" t="e">
        <f>AND('4to. Secre.'!#REF!,"AAAAAGHdriM=")</f>
        <v>#REF!</v>
      </c>
      <c r="AK6" t="e">
        <f>AND('4to. Secre.'!#REF!,"AAAAAGHdriQ=")</f>
        <v>#REF!</v>
      </c>
      <c r="AL6" t="e">
        <f>AND('4to. Secre.'!#REF!,"AAAAAGHdriU=")</f>
        <v>#REF!</v>
      </c>
      <c r="AM6" t="e">
        <f>AND('4to. Secre.'!#REF!,"AAAAAGHdriY=")</f>
        <v>#REF!</v>
      </c>
      <c r="AN6" t="e">
        <f>AND('4to. Secre.'!#REF!,"AAAAAGHdric=")</f>
        <v>#REF!</v>
      </c>
      <c r="AO6" t="e">
        <f>AND('4to. Secre.'!#REF!,"AAAAAGHdrig=")</f>
        <v>#REF!</v>
      </c>
      <c r="AP6" t="e">
        <f>AND('4to. Secre.'!#REF!,"AAAAAGHdrik=")</f>
        <v>#REF!</v>
      </c>
      <c r="AQ6" t="e">
        <f>AND('4to. Secre.'!#REF!,"AAAAAGHdrio=")</f>
        <v>#REF!</v>
      </c>
      <c r="AR6" t="e">
        <f>AND('4to. Secre.'!#REF!,"AAAAAGHdris=")</f>
        <v>#REF!</v>
      </c>
      <c r="AS6" t="e">
        <f>AND('4to. Secre.'!#REF!,"AAAAAGHdriw=")</f>
        <v>#REF!</v>
      </c>
      <c r="AT6" t="e">
        <f>AND('4to. Secre.'!#REF!,"AAAAAGHdri0=")</f>
        <v>#REF!</v>
      </c>
      <c r="AU6" t="e">
        <f>IF('4to. Secre.'!#REF!,"AAAAAGHdri4=",0)</f>
        <v>#REF!</v>
      </c>
      <c r="AV6" t="e">
        <f>AND('4to. Secre.'!#REF!,"AAAAAGHdri8=")</f>
        <v>#REF!</v>
      </c>
      <c r="AW6" t="e">
        <f>AND('4to. Secre.'!#REF!,"AAAAAGHdrjA=")</f>
        <v>#REF!</v>
      </c>
      <c r="AX6" t="e">
        <f>AND('4to. Secre.'!#REF!,"AAAAAGHdrjE=")</f>
        <v>#REF!</v>
      </c>
      <c r="AY6" t="e">
        <f>AND('4to. Secre.'!#REF!,"AAAAAGHdrjI=")</f>
        <v>#REF!</v>
      </c>
      <c r="AZ6" t="e">
        <f>AND('4to. Secre.'!#REF!,"AAAAAGHdrjM=")</f>
        <v>#REF!</v>
      </c>
      <c r="BA6" t="e">
        <f>AND('4to. Secre.'!#REF!,"AAAAAGHdrjQ=")</f>
        <v>#REF!</v>
      </c>
      <c r="BB6" t="e">
        <f>AND('4to. Secre.'!#REF!,"AAAAAGHdrjU=")</f>
        <v>#REF!</v>
      </c>
      <c r="BC6" t="e">
        <f>AND('4to. Secre.'!#REF!,"AAAAAGHdrjY=")</f>
        <v>#REF!</v>
      </c>
      <c r="BD6" t="e">
        <f>AND('4to. Secre.'!#REF!,"AAAAAGHdrjc=")</f>
        <v>#REF!</v>
      </c>
      <c r="BE6" t="e">
        <f>AND('4to. Secre.'!#REF!,"AAAAAGHdrjg=")</f>
        <v>#REF!</v>
      </c>
      <c r="BF6" t="e">
        <f>AND('4to. Secre.'!#REF!,"AAAAAGHdrjk=")</f>
        <v>#REF!</v>
      </c>
      <c r="BG6" t="e">
        <f>AND('4to. Secre.'!#REF!,"AAAAAGHdrjo=")</f>
        <v>#REF!</v>
      </c>
      <c r="BH6" t="e">
        <f>AND('4to. Secre.'!#REF!,"AAAAAGHdrjs=")</f>
        <v>#REF!</v>
      </c>
      <c r="BI6" t="e">
        <f>AND('4to. Secre.'!#REF!,"AAAAAGHdrjw=")</f>
        <v>#REF!</v>
      </c>
      <c r="BJ6" t="e">
        <f>AND('4to. Secre.'!#REF!,"AAAAAGHdrj0=")</f>
        <v>#REF!</v>
      </c>
      <c r="BK6" t="e">
        <f>AND('4to. Secre.'!#REF!,"AAAAAGHdrj4=")</f>
        <v>#REF!</v>
      </c>
      <c r="BL6" t="e">
        <f>AND('4to. Secre.'!#REF!,"AAAAAGHdrj8=")</f>
        <v>#REF!</v>
      </c>
      <c r="BM6" t="e">
        <f>AND('4to. Secre.'!#REF!,"AAAAAGHdrkA=")</f>
        <v>#REF!</v>
      </c>
      <c r="BN6" t="e">
        <f>AND('4to. Secre.'!#REF!,"AAAAAGHdrkE=")</f>
        <v>#REF!</v>
      </c>
      <c r="BO6" t="e">
        <f>AND('4to. Secre.'!#REF!,"AAAAAGHdrkI=")</f>
        <v>#REF!</v>
      </c>
      <c r="BP6" t="e">
        <f>AND('4to. Secre.'!#REF!,"AAAAAGHdrkM=")</f>
        <v>#REF!</v>
      </c>
      <c r="BQ6" t="e">
        <f>AND('4to. Secre.'!#REF!,"AAAAAGHdrkQ=")</f>
        <v>#REF!</v>
      </c>
      <c r="BR6" t="e">
        <f>AND('4to. Secre.'!#REF!,"AAAAAGHdrkU=")</f>
        <v>#REF!</v>
      </c>
      <c r="BS6" t="e">
        <f>AND('4to. Secre.'!#REF!,"AAAAAGHdrkY=")</f>
        <v>#REF!</v>
      </c>
      <c r="BT6" t="e">
        <f>AND('4to. Secre.'!#REF!,"AAAAAGHdrkc=")</f>
        <v>#REF!</v>
      </c>
      <c r="BU6" t="e">
        <f>IF('4to. Secre.'!#REF!,"AAAAAGHdrkg=",0)</f>
        <v>#REF!</v>
      </c>
      <c r="BV6" t="e">
        <f>AND('4to. Secre.'!#REF!,"AAAAAGHdrkk=")</f>
        <v>#REF!</v>
      </c>
      <c r="BW6" t="e">
        <f>AND('4to. Secre.'!#REF!,"AAAAAGHdrko=")</f>
        <v>#REF!</v>
      </c>
      <c r="BX6" t="e">
        <f>AND('4to. Secre.'!#REF!,"AAAAAGHdrks=")</f>
        <v>#REF!</v>
      </c>
      <c r="BY6" t="e">
        <f>AND('4to. Secre.'!#REF!,"AAAAAGHdrkw=")</f>
        <v>#REF!</v>
      </c>
      <c r="BZ6" t="e">
        <f>AND('4to. Secre.'!#REF!,"AAAAAGHdrk0=")</f>
        <v>#REF!</v>
      </c>
      <c r="CA6" t="e">
        <f>AND('4to. Secre.'!#REF!,"AAAAAGHdrk4=")</f>
        <v>#REF!</v>
      </c>
      <c r="CB6" t="e">
        <f>AND('4to. Secre.'!#REF!,"AAAAAGHdrk8=")</f>
        <v>#REF!</v>
      </c>
      <c r="CC6" t="e">
        <f>AND('4to. Secre.'!#REF!,"AAAAAGHdrlA=")</f>
        <v>#REF!</v>
      </c>
      <c r="CD6" t="e">
        <f>AND('4to. Secre.'!#REF!,"AAAAAGHdrlE=")</f>
        <v>#REF!</v>
      </c>
      <c r="CE6" t="e">
        <f>AND('4to. Secre.'!#REF!,"AAAAAGHdrlI=")</f>
        <v>#REF!</v>
      </c>
      <c r="CF6" t="e">
        <f>AND('4to. Secre.'!#REF!,"AAAAAGHdrlM=")</f>
        <v>#REF!</v>
      </c>
      <c r="CG6" t="e">
        <f>AND('4to. Secre.'!#REF!,"AAAAAGHdrlQ=")</f>
        <v>#REF!</v>
      </c>
      <c r="CH6" t="e">
        <f>AND('4to. Secre.'!#REF!,"AAAAAGHdrlU=")</f>
        <v>#REF!</v>
      </c>
      <c r="CI6" t="e">
        <f>AND('4to. Secre.'!#REF!,"AAAAAGHdrlY=")</f>
        <v>#REF!</v>
      </c>
      <c r="CJ6" t="e">
        <f>AND('4to. Secre.'!#REF!,"AAAAAGHdrlc=")</f>
        <v>#REF!</v>
      </c>
      <c r="CK6" t="e">
        <f>AND('4to. Secre.'!#REF!,"AAAAAGHdrlg=")</f>
        <v>#REF!</v>
      </c>
      <c r="CL6" t="e">
        <f>AND('4to. Secre.'!#REF!,"AAAAAGHdrlk=")</f>
        <v>#REF!</v>
      </c>
      <c r="CM6" t="e">
        <f>AND('4to. Secre.'!#REF!,"AAAAAGHdrlo=")</f>
        <v>#REF!</v>
      </c>
      <c r="CN6" t="e">
        <f>AND('4to. Secre.'!#REF!,"AAAAAGHdrls=")</f>
        <v>#REF!</v>
      </c>
      <c r="CO6" t="e">
        <f>AND('4to. Secre.'!#REF!,"AAAAAGHdrlw=")</f>
        <v>#REF!</v>
      </c>
      <c r="CP6" t="e">
        <f>AND('4to. Secre.'!#REF!,"AAAAAGHdrl0=")</f>
        <v>#REF!</v>
      </c>
      <c r="CQ6" t="e">
        <f>AND('4to. Secre.'!#REF!,"AAAAAGHdrl4=")</f>
        <v>#REF!</v>
      </c>
      <c r="CR6" t="e">
        <f>AND('4to. Secre.'!#REF!,"AAAAAGHdrl8=")</f>
        <v>#REF!</v>
      </c>
      <c r="CS6" t="e">
        <f>AND('4to. Secre.'!#REF!,"AAAAAGHdrmA=")</f>
        <v>#REF!</v>
      </c>
      <c r="CT6" t="e">
        <f>AND('4to. Secre.'!#REF!,"AAAAAGHdrmE=")</f>
        <v>#REF!</v>
      </c>
      <c r="CU6" t="e">
        <f>IF('4to. Secre.'!#REF!,"AAAAAGHdrmI=",0)</f>
        <v>#REF!</v>
      </c>
      <c r="CV6" t="e">
        <f>AND('4to. Secre.'!#REF!,"AAAAAGHdrmM=")</f>
        <v>#REF!</v>
      </c>
      <c r="CW6" t="e">
        <f>AND('4to. Secre.'!#REF!,"AAAAAGHdrmQ=")</f>
        <v>#REF!</v>
      </c>
      <c r="CX6" t="e">
        <f>AND('4to. Secre.'!#REF!,"AAAAAGHdrmU=")</f>
        <v>#REF!</v>
      </c>
      <c r="CY6" t="e">
        <f>AND('4to. Secre.'!#REF!,"AAAAAGHdrmY=")</f>
        <v>#REF!</v>
      </c>
      <c r="CZ6" t="e">
        <f>AND('4to. Secre.'!#REF!,"AAAAAGHdrmc=")</f>
        <v>#REF!</v>
      </c>
      <c r="DA6" t="e">
        <f>AND('4to. Secre.'!#REF!,"AAAAAGHdrmg=")</f>
        <v>#REF!</v>
      </c>
      <c r="DB6" t="e">
        <f>AND('4to. Secre.'!#REF!,"AAAAAGHdrmk=")</f>
        <v>#REF!</v>
      </c>
      <c r="DC6" t="e">
        <f>AND('4to. Secre.'!#REF!,"AAAAAGHdrmo=")</f>
        <v>#REF!</v>
      </c>
      <c r="DD6" t="e">
        <f>AND('4to. Secre.'!#REF!,"AAAAAGHdrms=")</f>
        <v>#REF!</v>
      </c>
      <c r="DE6" t="e">
        <f>AND('4to. Secre.'!#REF!,"AAAAAGHdrmw=")</f>
        <v>#REF!</v>
      </c>
      <c r="DF6" t="e">
        <f>AND('4to. Secre.'!#REF!,"AAAAAGHdrm0=")</f>
        <v>#REF!</v>
      </c>
      <c r="DG6" t="e">
        <f>AND('4to. Secre.'!#REF!,"AAAAAGHdrm4=")</f>
        <v>#REF!</v>
      </c>
      <c r="DH6" t="e">
        <f>AND('4to. Secre.'!#REF!,"AAAAAGHdrm8=")</f>
        <v>#REF!</v>
      </c>
      <c r="DI6" t="e">
        <f>AND('4to. Secre.'!#REF!,"AAAAAGHdrnA=")</f>
        <v>#REF!</v>
      </c>
      <c r="DJ6" t="e">
        <f>AND('4to. Secre.'!#REF!,"AAAAAGHdrnE=")</f>
        <v>#REF!</v>
      </c>
      <c r="DK6" t="e">
        <f>AND('4to. Secre.'!#REF!,"AAAAAGHdrnI=")</f>
        <v>#REF!</v>
      </c>
      <c r="DL6" t="e">
        <f>AND('4to. Secre.'!#REF!,"AAAAAGHdrnM=")</f>
        <v>#REF!</v>
      </c>
      <c r="DM6" t="e">
        <f>AND('4to. Secre.'!#REF!,"AAAAAGHdrnQ=")</f>
        <v>#REF!</v>
      </c>
      <c r="DN6" t="e">
        <f>AND('4to. Secre.'!#REF!,"AAAAAGHdrnU=")</f>
        <v>#REF!</v>
      </c>
      <c r="DO6" t="e">
        <f>AND('4to. Secre.'!#REF!,"AAAAAGHdrnY=")</f>
        <v>#REF!</v>
      </c>
      <c r="DP6" t="e">
        <f>AND('4to. Secre.'!#REF!,"AAAAAGHdrnc=")</f>
        <v>#REF!</v>
      </c>
      <c r="DQ6" t="e">
        <f>AND('4to. Secre.'!#REF!,"AAAAAGHdrng=")</f>
        <v>#REF!</v>
      </c>
      <c r="DR6" t="e">
        <f>AND('4to. Secre.'!#REF!,"AAAAAGHdrnk=")</f>
        <v>#REF!</v>
      </c>
      <c r="DS6" t="e">
        <f>AND('4to. Secre.'!#REF!,"AAAAAGHdrno=")</f>
        <v>#REF!</v>
      </c>
      <c r="DT6" t="e">
        <f>AND('4to. Secre.'!#REF!,"AAAAAGHdrns=")</f>
        <v>#REF!</v>
      </c>
      <c r="DU6" t="e">
        <f>IF('4to. Secre.'!#REF!,"AAAAAGHdrnw=",0)</f>
        <v>#REF!</v>
      </c>
      <c r="DV6" t="e">
        <f>AND('4to. Secre.'!#REF!,"AAAAAGHdrn0=")</f>
        <v>#REF!</v>
      </c>
      <c r="DW6" t="e">
        <f>AND('4to. Secre.'!#REF!,"AAAAAGHdrn4=")</f>
        <v>#REF!</v>
      </c>
      <c r="DX6" t="e">
        <f>AND('4to. Secre.'!#REF!,"AAAAAGHdrn8=")</f>
        <v>#REF!</v>
      </c>
      <c r="DY6" t="e">
        <f>AND('4to. Secre.'!#REF!,"AAAAAGHdroA=")</f>
        <v>#REF!</v>
      </c>
      <c r="DZ6" t="e">
        <f>AND('4to. Secre.'!#REF!,"AAAAAGHdroE=")</f>
        <v>#REF!</v>
      </c>
      <c r="EA6" t="e">
        <f>AND('4to. Secre.'!#REF!,"AAAAAGHdroI=")</f>
        <v>#REF!</v>
      </c>
      <c r="EB6" t="e">
        <f>AND('4to. Secre.'!#REF!,"AAAAAGHdroM=")</f>
        <v>#REF!</v>
      </c>
      <c r="EC6" t="e">
        <f>AND('4to. Secre.'!#REF!,"AAAAAGHdroQ=")</f>
        <v>#REF!</v>
      </c>
      <c r="ED6" t="e">
        <f>AND('4to. Secre.'!#REF!,"AAAAAGHdroU=")</f>
        <v>#REF!</v>
      </c>
      <c r="EE6" t="e">
        <f>AND('4to. Secre.'!#REF!,"AAAAAGHdroY=")</f>
        <v>#REF!</v>
      </c>
      <c r="EF6" t="e">
        <f>AND('4to. Secre.'!#REF!,"AAAAAGHdroc=")</f>
        <v>#REF!</v>
      </c>
      <c r="EG6" t="e">
        <f>AND('4to. Secre.'!#REF!,"AAAAAGHdrog=")</f>
        <v>#REF!</v>
      </c>
      <c r="EH6" t="e">
        <f>AND('4to. Secre.'!#REF!,"AAAAAGHdrok=")</f>
        <v>#REF!</v>
      </c>
      <c r="EI6" t="e">
        <f>AND('4to. Secre.'!#REF!,"AAAAAGHdroo=")</f>
        <v>#REF!</v>
      </c>
      <c r="EJ6" t="e">
        <f>AND('4to. Secre.'!#REF!,"AAAAAGHdros=")</f>
        <v>#REF!</v>
      </c>
      <c r="EK6" t="e">
        <f>AND('4to. Secre.'!#REF!,"AAAAAGHdrow=")</f>
        <v>#REF!</v>
      </c>
      <c r="EL6" t="e">
        <f>AND('4to. Secre.'!#REF!,"AAAAAGHdro0=")</f>
        <v>#REF!</v>
      </c>
      <c r="EM6" t="e">
        <f>AND('4to. Secre.'!#REF!,"AAAAAGHdro4=")</f>
        <v>#REF!</v>
      </c>
      <c r="EN6" t="e">
        <f>AND('4to. Secre.'!#REF!,"AAAAAGHdro8=")</f>
        <v>#REF!</v>
      </c>
      <c r="EO6" t="e">
        <f>AND('4to. Secre.'!#REF!,"AAAAAGHdrpA=")</f>
        <v>#REF!</v>
      </c>
      <c r="EP6" t="e">
        <f>AND('4to. Secre.'!#REF!,"AAAAAGHdrpE=")</f>
        <v>#REF!</v>
      </c>
      <c r="EQ6" t="e">
        <f>AND('4to. Secre.'!#REF!,"AAAAAGHdrpI=")</f>
        <v>#REF!</v>
      </c>
      <c r="ER6" t="e">
        <f>AND('4to. Secre.'!#REF!,"AAAAAGHdrpM=")</f>
        <v>#REF!</v>
      </c>
      <c r="ES6" t="e">
        <f>AND('4to. Secre.'!#REF!,"AAAAAGHdrpQ=")</f>
        <v>#REF!</v>
      </c>
      <c r="ET6" t="e">
        <f>AND('4to. Secre.'!#REF!,"AAAAAGHdrpU=")</f>
        <v>#REF!</v>
      </c>
      <c r="EU6" t="e">
        <f>IF('4to. Secre.'!#REF!,"AAAAAGHdrpY=",0)</f>
        <v>#REF!</v>
      </c>
      <c r="EV6" t="e">
        <f>AND('4to. Secre.'!#REF!,"AAAAAGHdrpc=")</f>
        <v>#REF!</v>
      </c>
      <c r="EW6" t="e">
        <f>AND('4to. Secre.'!#REF!,"AAAAAGHdrpg=")</f>
        <v>#REF!</v>
      </c>
      <c r="EX6" t="e">
        <f>AND('4to. Secre.'!#REF!,"AAAAAGHdrpk=")</f>
        <v>#REF!</v>
      </c>
      <c r="EY6" t="e">
        <f>AND('4to. Secre.'!#REF!,"AAAAAGHdrpo=")</f>
        <v>#REF!</v>
      </c>
      <c r="EZ6" t="e">
        <f>AND('4to. Secre.'!#REF!,"AAAAAGHdrps=")</f>
        <v>#REF!</v>
      </c>
      <c r="FA6" t="e">
        <f>AND('4to. Secre.'!#REF!,"AAAAAGHdrpw=")</f>
        <v>#REF!</v>
      </c>
      <c r="FB6" t="e">
        <f>AND('4to. Secre.'!#REF!,"AAAAAGHdrp0=")</f>
        <v>#REF!</v>
      </c>
      <c r="FC6" t="e">
        <f>AND('4to. Secre.'!#REF!,"AAAAAGHdrp4=")</f>
        <v>#REF!</v>
      </c>
      <c r="FD6" t="e">
        <f>AND('4to. Secre.'!#REF!,"AAAAAGHdrp8=")</f>
        <v>#REF!</v>
      </c>
      <c r="FE6" t="e">
        <f>AND('4to. Secre.'!#REF!,"AAAAAGHdrqA=")</f>
        <v>#REF!</v>
      </c>
      <c r="FF6" t="e">
        <f>AND('4to. Secre.'!#REF!,"AAAAAGHdrqE=")</f>
        <v>#REF!</v>
      </c>
      <c r="FG6" t="e">
        <f>AND('4to. Secre.'!#REF!,"AAAAAGHdrqI=")</f>
        <v>#REF!</v>
      </c>
      <c r="FH6" t="e">
        <f>AND('4to. Secre.'!#REF!,"AAAAAGHdrqM=")</f>
        <v>#REF!</v>
      </c>
      <c r="FI6" t="e">
        <f>AND('4to. Secre.'!#REF!,"AAAAAGHdrqQ=")</f>
        <v>#REF!</v>
      </c>
      <c r="FJ6" t="e">
        <f>AND('4to. Secre.'!#REF!,"AAAAAGHdrqU=")</f>
        <v>#REF!</v>
      </c>
      <c r="FK6" t="e">
        <f>AND('4to. Secre.'!#REF!,"AAAAAGHdrqY=")</f>
        <v>#REF!</v>
      </c>
      <c r="FL6" t="e">
        <f>AND('4to. Secre.'!#REF!,"AAAAAGHdrqc=")</f>
        <v>#REF!</v>
      </c>
      <c r="FM6" t="e">
        <f>AND('4to. Secre.'!#REF!,"AAAAAGHdrqg=")</f>
        <v>#REF!</v>
      </c>
      <c r="FN6" t="e">
        <f>AND('4to. Secre.'!#REF!,"AAAAAGHdrqk=")</f>
        <v>#REF!</v>
      </c>
      <c r="FO6" t="e">
        <f>AND('4to. Secre.'!#REF!,"AAAAAGHdrqo=")</f>
        <v>#REF!</v>
      </c>
      <c r="FP6" t="e">
        <f>AND('4to. Secre.'!#REF!,"AAAAAGHdrqs=")</f>
        <v>#REF!</v>
      </c>
      <c r="FQ6" t="e">
        <f>AND('4to. Secre.'!#REF!,"AAAAAGHdrqw=")</f>
        <v>#REF!</v>
      </c>
      <c r="FR6" t="e">
        <f>AND('4to. Secre.'!#REF!,"AAAAAGHdrq0=")</f>
        <v>#REF!</v>
      </c>
      <c r="FS6" t="e">
        <f>AND('4to. Secre.'!#REF!,"AAAAAGHdrq4=")</f>
        <v>#REF!</v>
      </c>
      <c r="FT6" t="e">
        <f>AND('4to. Secre.'!#REF!,"AAAAAGHdrq8=")</f>
        <v>#REF!</v>
      </c>
      <c r="FU6" t="e">
        <f>IF('4to. Secre.'!#REF!,"AAAAAGHdrrA=",0)</f>
        <v>#REF!</v>
      </c>
      <c r="FV6" t="e">
        <f>AND('4to. Secre.'!#REF!,"AAAAAGHdrrE=")</f>
        <v>#REF!</v>
      </c>
      <c r="FW6" t="e">
        <f>AND('4to. Secre.'!#REF!,"AAAAAGHdrrI=")</f>
        <v>#REF!</v>
      </c>
      <c r="FX6" t="e">
        <f>AND('4to. Secre.'!#REF!,"AAAAAGHdrrM=")</f>
        <v>#REF!</v>
      </c>
      <c r="FY6" t="e">
        <f>AND('4to. Secre.'!#REF!,"AAAAAGHdrrQ=")</f>
        <v>#REF!</v>
      </c>
      <c r="FZ6" t="e">
        <f>AND('4to. Secre.'!#REF!,"AAAAAGHdrrU=")</f>
        <v>#REF!</v>
      </c>
      <c r="GA6" t="e">
        <f>AND('4to. Secre.'!#REF!,"AAAAAGHdrrY=")</f>
        <v>#REF!</v>
      </c>
      <c r="GB6" t="e">
        <f>AND('4to. Secre.'!#REF!,"AAAAAGHdrrc=")</f>
        <v>#REF!</v>
      </c>
      <c r="GC6" t="e">
        <f>AND('4to. Secre.'!#REF!,"AAAAAGHdrrg=")</f>
        <v>#REF!</v>
      </c>
      <c r="GD6" t="e">
        <f>AND('4to. Secre.'!#REF!,"AAAAAGHdrrk=")</f>
        <v>#REF!</v>
      </c>
      <c r="GE6" t="e">
        <f>AND('4to. Secre.'!#REF!,"AAAAAGHdrro=")</f>
        <v>#REF!</v>
      </c>
      <c r="GF6" t="e">
        <f>AND('4to. Secre.'!#REF!,"AAAAAGHdrrs=")</f>
        <v>#REF!</v>
      </c>
      <c r="GG6" t="e">
        <f>AND('4to. Secre.'!#REF!,"AAAAAGHdrrw=")</f>
        <v>#REF!</v>
      </c>
      <c r="GH6" t="e">
        <f>AND('4to. Secre.'!#REF!,"AAAAAGHdrr0=")</f>
        <v>#REF!</v>
      </c>
      <c r="GI6" t="e">
        <f>AND('4to. Secre.'!#REF!,"AAAAAGHdrr4=")</f>
        <v>#REF!</v>
      </c>
      <c r="GJ6" t="e">
        <f>AND('4to. Secre.'!#REF!,"AAAAAGHdrr8=")</f>
        <v>#REF!</v>
      </c>
      <c r="GK6" t="e">
        <f>AND('4to. Secre.'!#REF!,"AAAAAGHdrsA=")</f>
        <v>#REF!</v>
      </c>
      <c r="GL6" t="e">
        <f>AND('4to. Secre.'!#REF!,"AAAAAGHdrsE=")</f>
        <v>#REF!</v>
      </c>
      <c r="GM6" t="e">
        <f>AND('4to. Secre.'!#REF!,"AAAAAGHdrsI=")</f>
        <v>#REF!</v>
      </c>
      <c r="GN6" t="e">
        <f>AND('4to. Secre.'!#REF!,"AAAAAGHdrsM=")</f>
        <v>#REF!</v>
      </c>
      <c r="GO6" t="e">
        <f>AND('4to. Secre.'!#REF!,"AAAAAGHdrsQ=")</f>
        <v>#REF!</v>
      </c>
      <c r="GP6" t="e">
        <f>AND('4to. Secre.'!#REF!,"AAAAAGHdrsU=")</f>
        <v>#REF!</v>
      </c>
      <c r="GQ6" t="e">
        <f>AND('4to. Secre.'!#REF!,"AAAAAGHdrsY=")</f>
        <v>#REF!</v>
      </c>
      <c r="GR6" t="e">
        <f>AND('4to. Secre.'!#REF!,"AAAAAGHdrsc=")</f>
        <v>#REF!</v>
      </c>
      <c r="GS6" t="e">
        <f>AND('4to. Secre.'!#REF!,"AAAAAGHdrsg=")</f>
        <v>#REF!</v>
      </c>
      <c r="GT6" t="e">
        <f>AND('4to. Secre.'!#REF!,"AAAAAGHdrsk=")</f>
        <v>#REF!</v>
      </c>
      <c r="GU6" t="e">
        <f>IF('4to. Secre.'!#REF!,"AAAAAGHdrso=",0)</f>
        <v>#REF!</v>
      </c>
      <c r="GV6" t="e">
        <f>AND('4to. Secre.'!#REF!,"AAAAAGHdrss=")</f>
        <v>#REF!</v>
      </c>
      <c r="GW6" t="e">
        <f>AND('4to. Secre.'!#REF!,"AAAAAGHdrsw=")</f>
        <v>#REF!</v>
      </c>
      <c r="GX6" t="e">
        <f>AND('4to. Secre.'!#REF!,"AAAAAGHdrs0=")</f>
        <v>#REF!</v>
      </c>
      <c r="GY6" t="e">
        <f>AND('4to. Secre.'!#REF!,"AAAAAGHdrs4=")</f>
        <v>#REF!</v>
      </c>
      <c r="GZ6" t="e">
        <f>AND('4to. Secre.'!#REF!,"AAAAAGHdrs8=")</f>
        <v>#REF!</v>
      </c>
      <c r="HA6" t="e">
        <f>AND('4to. Secre.'!#REF!,"AAAAAGHdrtA=")</f>
        <v>#REF!</v>
      </c>
      <c r="HB6" t="e">
        <f>AND('4to. Secre.'!#REF!,"AAAAAGHdrtE=")</f>
        <v>#REF!</v>
      </c>
      <c r="HC6" t="e">
        <f>AND('4to. Secre.'!#REF!,"AAAAAGHdrtI=")</f>
        <v>#REF!</v>
      </c>
      <c r="HD6" t="e">
        <f>AND('4to. Secre.'!#REF!,"AAAAAGHdrtM=")</f>
        <v>#REF!</v>
      </c>
      <c r="HE6" t="e">
        <f>AND('4to. Secre.'!#REF!,"AAAAAGHdrtQ=")</f>
        <v>#REF!</v>
      </c>
      <c r="HF6" t="e">
        <f>AND('4to. Secre.'!#REF!,"AAAAAGHdrtU=")</f>
        <v>#REF!</v>
      </c>
      <c r="HG6" t="e">
        <f>AND('4to. Secre.'!#REF!,"AAAAAGHdrtY=")</f>
        <v>#REF!</v>
      </c>
      <c r="HH6" t="e">
        <f>AND('4to. Secre.'!#REF!,"AAAAAGHdrtc=")</f>
        <v>#REF!</v>
      </c>
      <c r="HI6" t="e">
        <f>AND('4to. Secre.'!#REF!,"AAAAAGHdrtg=")</f>
        <v>#REF!</v>
      </c>
      <c r="HJ6" t="e">
        <f>AND('4to. Secre.'!#REF!,"AAAAAGHdrtk=")</f>
        <v>#REF!</v>
      </c>
      <c r="HK6" t="e">
        <f>AND('4to. Secre.'!#REF!,"AAAAAGHdrto=")</f>
        <v>#REF!</v>
      </c>
      <c r="HL6" t="e">
        <f>AND('4to. Secre.'!#REF!,"AAAAAGHdrts=")</f>
        <v>#REF!</v>
      </c>
      <c r="HM6" t="e">
        <f>AND('4to. Secre.'!#REF!,"AAAAAGHdrtw=")</f>
        <v>#REF!</v>
      </c>
      <c r="HN6" t="e">
        <f>AND('4to. Secre.'!#REF!,"AAAAAGHdrt0=")</f>
        <v>#REF!</v>
      </c>
      <c r="HO6" t="e">
        <f>AND('4to. Secre.'!#REF!,"AAAAAGHdrt4=")</f>
        <v>#REF!</v>
      </c>
      <c r="HP6" t="e">
        <f>AND('4to. Secre.'!#REF!,"AAAAAGHdrt8=")</f>
        <v>#REF!</v>
      </c>
      <c r="HQ6" t="e">
        <f>AND('4to. Secre.'!#REF!,"AAAAAGHdruA=")</f>
        <v>#REF!</v>
      </c>
      <c r="HR6" t="e">
        <f>AND('4to. Secre.'!#REF!,"AAAAAGHdruE=")</f>
        <v>#REF!</v>
      </c>
      <c r="HS6" t="e">
        <f>AND('4to. Secre.'!#REF!,"AAAAAGHdruI=")</f>
        <v>#REF!</v>
      </c>
      <c r="HT6" t="e">
        <f>AND('4to. Secre.'!#REF!,"AAAAAGHdruM=")</f>
        <v>#REF!</v>
      </c>
      <c r="HU6" t="e">
        <f>IF('4to. Secre.'!#REF!,"AAAAAGHdruQ=",0)</f>
        <v>#REF!</v>
      </c>
      <c r="HV6" t="e">
        <f>AND('4to. Secre.'!#REF!,"AAAAAGHdruU=")</f>
        <v>#REF!</v>
      </c>
      <c r="HW6" t="e">
        <f>AND('4to. Secre.'!#REF!,"AAAAAGHdruY=")</f>
        <v>#REF!</v>
      </c>
      <c r="HX6" t="e">
        <f>AND('4to. Secre.'!#REF!,"AAAAAGHdruc=")</f>
        <v>#REF!</v>
      </c>
      <c r="HY6" t="e">
        <f>AND('4to. Secre.'!#REF!,"AAAAAGHdrug=")</f>
        <v>#REF!</v>
      </c>
      <c r="HZ6" t="e">
        <f>AND('4to. Secre.'!#REF!,"AAAAAGHdruk=")</f>
        <v>#REF!</v>
      </c>
      <c r="IA6" t="e">
        <f>AND('4to. Secre.'!#REF!,"AAAAAGHdruo=")</f>
        <v>#REF!</v>
      </c>
      <c r="IB6" t="e">
        <f>AND('4to. Secre.'!#REF!,"AAAAAGHdrus=")</f>
        <v>#REF!</v>
      </c>
      <c r="IC6" t="e">
        <f>AND('4to. Secre.'!#REF!,"AAAAAGHdruw=")</f>
        <v>#REF!</v>
      </c>
      <c r="ID6" t="e">
        <f>AND('4to. Secre.'!#REF!,"AAAAAGHdru0=")</f>
        <v>#REF!</v>
      </c>
      <c r="IE6" t="e">
        <f>AND('4to. Secre.'!#REF!,"AAAAAGHdru4=")</f>
        <v>#REF!</v>
      </c>
      <c r="IF6" t="e">
        <f>AND('4to. Secre.'!#REF!,"AAAAAGHdru8=")</f>
        <v>#REF!</v>
      </c>
      <c r="IG6" t="e">
        <f>AND('4to. Secre.'!#REF!,"AAAAAGHdrvA=")</f>
        <v>#REF!</v>
      </c>
      <c r="IH6" t="e">
        <f>AND('4to. Secre.'!#REF!,"AAAAAGHdrvE=")</f>
        <v>#REF!</v>
      </c>
      <c r="II6" t="e">
        <f>AND('4to. Secre.'!#REF!,"AAAAAGHdrvI=")</f>
        <v>#REF!</v>
      </c>
      <c r="IJ6" t="e">
        <f>AND('4to. Secre.'!#REF!,"AAAAAGHdrvM=")</f>
        <v>#REF!</v>
      </c>
      <c r="IK6" t="e">
        <f>AND('4to. Secre.'!#REF!,"AAAAAGHdrvQ=")</f>
        <v>#REF!</v>
      </c>
      <c r="IL6" t="e">
        <f>AND('4to. Secre.'!#REF!,"AAAAAGHdrvU=")</f>
        <v>#REF!</v>
      </c>
      <c r="IM6" t="e">
        <f>AND('4to. Secre.'!#REF!,"AAAAAGHdrvY=")</f>
        <v>#REF!</v>
      </c>
      <c r="IN6" t="e">
        <f>AND('4to. Secre.'!#REF!,"AAAAAGHdrvc=")</f>
        <v>#REF!</v>
      </c>
      <c r="IO6" t="e">
        <f>AND('4to. Secre.'!#REF!,"AAAAAGHdrvg=")</f>
        <v>#REF!</v>
      </c>
      <c r="IP6" t="e">
        <f>AND('4to. Secre.'!#REF!,"AAAAAGHdrvk=")</f>
        <v>#REF!</v>
      </c>
      <c r="IQ6" t="e">
        <f>AND('4to. Secre.'!#REF!,"AAAAAGHdrvo=")</f>
        <v>#REF!</v>
      </c>
      <c r="IR6" t="e">
        <f>AND('4to. Secre.'!#REF!,"AAAAAGHdrvs=")</f>
        <v>#REF!</v>
      </c>
      <c r="IS6" t="e">
        <f>AND('4to. Secre.'!#REF!,"AAAAAGHdrvw=")</f>
        <v>#REF!</v>
      </c>
      <c r="IT6" t="e">
        <f>AND('4to. Secre.'!#REF!,"AAAAAGHdrv0=")</f>
        <v>#REF!</v>
      </c>
      <c r="IU6" t="e">
        <f>IF('4to. Secre.'!#REF!,"AAAAAGHdrv4=",0)</f>
        <v>#REF!</v>
      </c>
      <c r="IV6" t="e">
        <f>AND('4to. Secre.'!#REF!,"AAAAAGHdrv8=")</f>
        <v>#REF!</v>
      </c>
    </row>
    <row r="7" spans="1:256">
      <c r="A7" t="e">
        <f>AND('4to. Secre.'!#REF!,"AAAAAH5+twA=")</f>
        <v>#REF!</v>
      </c>
      <c r="B7" t="e">
        <f>AND('4to. Secre.'!#REF!,"AAAAAH5+twE=")</f>
        <v>#REF!</v>
      </c>
      <c r="C7" t="e">
        <f>AND('4to. Secre.'!#REF!,"AAAAAH5+twI=")</f>
        <v>#REF!</v>
      </c>
      <c r="D7" t="e">
        <f>AND('4to. Secre.'!#REF!,"AAAAAH5+twM=")</f>
        <v>#REF!</v>
      </c>
      <c r="E7" t="e">
        <f>AND('4to. Secre.'!#REF!,"AAAAAH5+twQ=")</f>
        <v>#REF!</v>
      </c>
      <c r="F7" t="e">
        <f>AND('4to. Secre.'!#REF!,"AAAAAH5+twU=")</f>
        <v>#REF!</v>
      </c>
      <c r="G7" t="e">
        <f>AND('4to. Secre.'!#REF!,"AAAAAH5+twY=")</f>
        <v>#REF!</v>
      </c>
      <c r="H7" t="e">
        <f>AND('4to. Secre.'!#REF!,"AAAAAH5+twc=")</f>
        <v>#REF!</v>
      </c>
      <c r="I7" t="e">
        <f>AND('4to. Secre.'!#REF!,"AAAAAH5+twg=")</f>
        <v>#REF!</v>
      </c>
      <c r="J7" t="e">
        <f>AND('4to. Secre.'!#REF!,"AAAAAH5+twk=")</f>
        <v>#REF!</v>
      </c>
      <c r="K7" t="e">
        <f>AND('4to. Secre.'!#REF!,"AAAAAH5+two=")</f>
        <v>#REF!</v>
      </c>
      <c r="L7" t="e">
        <f>AND('4to. Secre.'!#REF!,"AAAAAH5+tws=")</f>
        <v>#REF!</v>
      </c>
      <c r="M7" t="e">
        <f>AND('4to. Secre.'!#REF!,"AAAAAH5+tww=")</f>
        <v>#REF!</v>
      </c>
      <c r="N7" t="e">
        <f>AND('4to. Secre.'!#REF!,"AAAAAH5+tw0=")</f>
        <v>#REF!</v>
      </c>
      <c r="O7" t="e">
        <f>AND('4to. Secre.'!#REF!,"AAAAAH5+tw4=")</f>
        <v>#REF!</v>
      </c>
      <c r="P7" t="e">
        <f>AND('4to. Secre.'!#REF!,"AAAAAH5+tw8=")</f>
        <v>#REF!</v>
      </c>
      <c r="Q7" t="e">
        <f>AND('4to. Secre.'!#REF!,"AAAAAH5+txA=")</f>
        <v>#REF!</v>
      </c>
      <c r="R7" t="e">
        <f>AND('4to. Secre.'!#REF!,"AAAAAH5+txE=")</f>
        <v>#REF!</v>
      </c>
      <c r="S7" t="e">
        <f>AND('4to. Secre.'!#REF!,"AAAAAH5+txI=")</f>
        <v>#REF!</v>
      </c>
      <c r="T7" t="e">
        <f>AND('4to. Secre.'!#REF!,"AAAAAH5+txM=")</f>
        <v>#REF!</v>
      </c>
      <c r="U7" t="e">
        <f>AND('4to. Secre.'!#REF!,"AAAAAH5+txQ=")</f>
        <v>#REF!</v>
      </c>
      <c r="V7" t="e">
        <f>AND('4to. Secre.'!#REF!,"AAAAAH5+txU=")</f>
        <v>#REF!</v>
      </c>
      <c r="W7" t="e">
        <f>AND('4to. Secre.'!#REF!,"AAAAAH5+txY=")</f>
        <v>#REF!</v>
      </c>
      <c r="X7" t="e">
        <f>AND('4to. Secre.'!#REF!,"AAAAAH5+txc=")</f>
        <v>#REF!</v>
      </c>
      <c r="Y7" t="e">
        <f>IF('4to. Secre.'!#REF!,"AAAAAH5+txg=",0)</f>
        <v>#REF!</v>
      </c>
      <c r="Z7" t="e">
        <f>AND('4to. Secre.'!#REF!,"AAAAAH5+txk=")</f>
        <v>#REF!</v>
      </c>
      <c r="AA7" t="e">
        <f>AND('4to. Secre.'!#REF!,"AAAAAH5+txo=")</f>
        <v>#REF!</v>
      </c>
      <c r="AB7" t="e">
        <f>AND('4to. Secre.'!#REF!,"AAAAAH5+txs=")</f>
        <v>#REF!</v>
      </c>
      <c r="AC7" t="e">
        <f>AND('4to. Secre.'!#REF!,"AAAAAH5+txw=")</f>
        <v>#REF!</v>
      </c>
      <c r="AD7" t="e">
        <f>AND('4to. Secre.'!#REF!,"AAAAAH5+tx0=")</f>
        <v>#REF!</v>
      </c>
      <c r="AE7" t="e">
        <f>AND('4to. Secre.'!#REF!,"AAAAAH5+tx4=")</f>
        <v>#REF!</v>
      </c>
      <c r="AF7" t="e">
        <f>AND('4to. Secre.'!#REF!,"AAAAAH5+tx8=")</f>
        <v>#REF!</v>
      </c>
      <c r="AG7" t="e">
        <f>AND('4to. Secre.'!#REF!,"AAAAAH5+tyA=")</f>
        <v>#REF!</v>
      </c>
      <c r="AH7" t="e">
        <f>AND('4to. Secre.'!#REF!,"AAAAAH5+tyE=")</f>
        <v>#REF!</v>
      </c>
      <c r="AI7" t="e">
        <f>AND('4to. Secre.'!#REF!,"AAAAAH5+tyI=")</f>
        <v>#REF!</v>
      </c>
      <c r="AJ7" t="e">
        <f>AND('4to. Secre.'!#REF!,"AAAAAH5+tyM=")</f>
        <v>#REF!</v>
      </c>
      <c r="AK7" t="e">
        <f>AND('4to. Secre.'!#REF!,"AAAAAH5+tyQ=")</f>
        <v>#REF!</v>
      </c>
      <c r="AL7" t="e">
        <f>AND('4to. Secre.'!#REF!,"AAAAAH5+tyU=")</f>
        <v>#REF!</v>
      </c>
      <c r="AM7" t="e">
        <f>AND('4to. Secre.'!#REF!,"AAAAAH5+tyY=")</f>
        <v>#REF!</v>
      </c>
      <c r="AN7" t="e">
        <f>AND('4to. Secre.'!#REF!,"AAAAAH5+tyc=")</f>
        <v>#REF!</v>
      </c>
      <c r="AO7" t="e">
        <f>AND('4to. Secre.'!#REF!,"AAAAAH5+tyg=")</f>
        <v>#REF!</v>
      </c>
      <c r="AP7" t="e">
        <f>AND('4to. Secre.'!#REF!,"AAAAAH5+tyk=")</f>
        <v>#REF!</v>
      </c>
      <c r="AQ7" t="e">
        <f>AND('4to. Secre.'!#REF!,"AAAAAH5+tyo=")</f>
        <v>#REF!</v>
      </c>
      <c r="AR7" t="e">
        <f>AND('4to. Secre.'!#REF!,"AAAAAH5+tys=")</f>
        <v>#REF!</v>
      </c>
      <c r="AS7" t="e">
        <f>AND('4to. Secre.'!#REF!,"AAAAAH5+tyw=")</f>
        <v>#REF!</v>
      </c>
      <c r="AT7" t="e">
        <f>AND('4to. Secre.'!#REF!,"AAAAAH5+ty0=")</f>
        <v>#REF!</v>
      </c>
      <c r="AU7" t="e">
        <f>AND('4to. Secre.'!#REF!,"AAAAAH5+ty4=")</f>
        <v>#REF!</v>
      </c>
      <c r="AV7" t="e">
        <f>AND('4to. Secre.'!#REF!,"AAAAAH5+ty8=")</f>
        <v>#REF!</v>
      </c>
      <c r="AW7" t="e">
        <f>AND('4to. Secre.'!#REF!,"AAAAAH5+tzA=")</f>
        <v>#REF!</v>
      </c>
      <c r="AX7" t="e">
        <f>AND('4to. Secre.'!#REF!,"AAAAAH5+tzE=")</f>
        <v>#REF!</v>
      </c>
      <c r="AY7" t="e">
        <f>IF('4to. Secre.'!#REF!,"AAAAAH5+tzI=",0)</f>
        <v>#REF!</v>
      </c>
      <c r="AZ7" t="e">
        <f>AND('4to. Secre.'!#REF!,"AAAAAH5+tzM=")</f>
        <v>#REF!</v>
      </c>
      <c r="BA7" t="e">
        <f>AND('4to. Secre.'!#REF!,"AAAAAH5+tzQ=")</f>
        <v>#REF!</v>
      </c>
      <c r="BB7" t="e">
        <f>AND('4to. Secre.'!#REF!,"AAAAAH5+tzU=")</f>
        <v>#REF!</v>
      </c>
      <c r="BC7" t="e">
        <f>AND('4to. Secre.'!#REF!,"AAAAAH5+tzY=")</f>
        <v>#REF!</v>
      </c>
      <c r="BD7" t="e">
        <f>AND('4to. Secre.'!#REF!,"AAAAAH5+tzc=")</f>
        <v>#REF!</v>
      </c>
      <c r="BE7" t="e">
        <f>AND('4to. Secre.'!#REF!,"AAAAAH5+tzg=")</f>
        <v>#REF!</v>
      </c>
      <c r="BF7" t="e">
        <f>AND('4to. Secre.'!#REF!,"AAAAAH5+tzk=")</f>
        <v>#REF!</v>
      </c>
      <c r="BG7" t="e">
        <f>AND('4to. Secre.'!#REF!,"AAAAAH5+tzo=")</f>
        <v>#REF!</v>
      </c>
      <c r="BH7" t="e">
        <f>AND('4to. Secre.'!#REF!,"AAAAAH5+tzs=")</f>
        <v>#REF!</v>
      </c>
      <c r="BI7" t="e">
        <f>AND('4to. Secre.'!#REF!,"AAAAAH5+tzw=")</f>
        <v>#REF!</v>
      </c>
      <c r="BJ7" t="e">
        <f>AND('4to. Secre.'!#REF!,"AAAAAH5+tz0=")</f>
        <v>#REF!</v>
      </c>
      <c r="BK7" t="e">
        <f>AND('4to. Secre.'!#REF!,"AAAAAH5+tz4=")</f>
        <v>#REF!</v>
      </c>
      <c r="BL7" t="e">
        <f>AND('4to. Secre.'!#REF!,"AAAAAH5+tz8=")</f>
        <v>#REF!</v>
      </c>
      <c r="BM7" t="e">
        <f>AND('4to. Secre.'!#REF!,"AAAAAH5+t0A=")</f>
        <v>#REF!</v>
      </c>
      <c r="BN7" t="e">
        <f>AND('4to. Secre.'!#REF!,"AAAAAH5+t0E=")</f>
        <v>#REF!</v>
      </c>
      <c r="BO7" t="e">
        <f>AND('4to. Secre.'!#REF!,"AAAAAH5+t0I=")</f>
        <v>#REF!</v>
      </c>
      <c r="BP7" t="e">
        <f>AND('4to. Secre.'!#REF!,"AAAAAH5+t0M=")</f>
        <v>#REF!</v>
      </c>
      <c r="BQ7" t="e">
        <f>AND('4to. Secre.'!#REF!,"AAAAAH5+t0Q=")</f>
        <v>#REF!</v>
      </c>
      <c r="BR7" t="e">
        <f>AND('4to. Secre.'!#REF!,"AAAAAH5+t0U=")</f>
        <v>#REF!</v>
      </c>
      <c r="BS7" t="e">
        <f>AND('4to. Secre.'!#REF!,"AAAAAH5+t0Y=")</f>
        <v>#REF!</v>
      </c>
      <c r="BT7" t="e">
        <f>AND('4to. Secre.'!#REF!,"AAAAAH5+t0c=")</f>
        <v>#REF!</v>
      </c>
      <c r="BU7" t="e">
        <f>AND('4to. Secre.'!#REF!,"AAAAAH5+t0g=")</f>
        <v>#REF!</v>
      </c>
      <c r="BV7" t="e">
        <f>AND('4to. Secre.'!#REF!,"AAAAAH5+t0k=")</f>
        <v>#REF!</v>
      </c>
      <c r="BW7" t="e">
        <f>AND('4to. Secre.'!#REF!,"AAAAAH5+t0o=")</f>
        <v>#REF!</v>
      </c>
      <c r="BX7" t="e">
        <f>AND('4to. Secre.'!#REF!,"AAAAAH5+t0s=")</f>
        <v>#REF!</v>
      </c>
      <c r="BY7" t="e">
        <f>IF('4to. Secre.'!#REF!,"AAAAAH5+t0w=",0)</f>
        <v>#REF!</v>
      </c>
      <c r="BZ7" t="e">
        <f>AND('4to. Secre.'!#REF!,"AAAAAH5+t00=")</f>
        <v>#REF!</v>
      </c>
      <c r="CA7" t="e">
        <f>AND('4to. Secre.'!#REF!,"AAAAAH5+t04=")</f>
        <v>#REF!</v>
      </c>
      <c r="CB7" t="e">
        <f>AND('4to. Secre.'!#REF!,"AAAAAH5+t08=")</f>
        <v>#REF!</v>
      </c>
      <c r="CC7" t="e">
        <f>AND('4to. Secre.'!#REF!,"AAAAAH5+t1A=")</f>
        <v>#REF!</v>
      </c>
      <c r="CD7" t="e">
        <f>AND('4to. Secre.'!#REF!,"AAAAAH5+t1E=")</f>
        <v>#REF!</v>
      </c>
      <c r="CE7" t="e">
        <f>AND('4to. Secre.'!#REF!,"AAAAAH5+t1I=")</f>
        <v>#REF!</v>
      </c>
      <c r="CF7" t="e">
        <f>AND('4to. Secre.'!#REF!,"AAAAAH5+t1M=")</f>
        <v>#REF!</v>
      </c>
      <c r="CG7" t="e">
        <f>AND('4to. Secre.'!#REF!,"AAAAAH5+t1Q=")</f>
        <v>#REF!</v>
      </c>
      <c r="CH7" t="e">
        <f>AND('4to. Secre.'!#REF!,"AAAAAH5+t1U=")</f>
        <v>#REF!</v>
      </c>
      <c r="CI7" t="e">
        <f>AND('4to. Secre.'!#REF!,"AAAAAH5+t1Y=")</f>
        <v>#REF!</v>
      </c>
      <c r="CJ7" t="e">
        <f>AND('4to. Secre.'!#REF!,"AAAAAH5+t1c=")</f>
        <v>#REF!</v>
      </c>
      <c r="CK7" t="e">
        <f>AND('4to. Secre.'!#REF!,"AAAAAH5+t1g=")</f>
        <v>#REF!</v>
      </c>
      <c r="CL7" t="e">
        <f>AND('4to. Secre.'!#REF!,"AAAAAH5+t1k=")</f>
        <v>#REF!</v>
      </c>
      <c r="CM7" t="e">
        <f>AND('4to. Secre.'!#REF!,"AAAAAH5+t1o=")</f>
        <v>#REF!</v>
      </c>
      <c r="CN7" t="e">
        <f>AND('4to. Secre.'!#REF!,"AAAAAH5+t1s=")</f>
        <v>#REF!</v>
      </c>
      <c r="CO7" t="e">
        <f>AND('4to. Secre.'!#REF!,"AAAAAH5+t1w=")</f>
        <v>#REF!</v>
      </c>
      <c r="CP7" t="e">
        <f>AND('4to. Secre.'!#REF!,"AAAAAH5+t10=")</f>
        <v>#REF!</v>
      </c>
      <c r="CQ7" t="e">
        <f>AND('4to. Secre.'!#REF!,"AAAAAH5+t14=")</f>
        <v>#REF!</v>
      </c>
      <c r="CR7" t="e">
        <f>AND('4to. Secre.'!#REF!,"AAAAAH5+t18=")</f>
        <v>#REF!</v>
      </c>
      <c r="CS7" t="e">
        <f>AND('4to. Secre.'!#REF!,"AAAAAH5+t2A=")</f>
        <v>#REF!</v>
      </c>
      <c r="CT7" t="e">
        <f>AND('4to. Secre.'!#REF!,"AAAAAH5+t2E=")</f>
        <v>#REF!</v>
      </c>
      <c r="CU7" t="e">
        <f>AND('4to. Secre.'!#REF!,"AAAAAH5+t2I=")</f>
        <v>#REF!</v>
      </c>
      <c r="CV7" t="e">
        <f>AND('4to. Secre.'!#REF!,"AAAAAH5+t2M=")</f>
        <v>#REF!</v>
      </c>
      <c r="CW7" t="e">
        <f>AND('4to. Secre.'!#REF!,"AAAAAH5+t2Q=")</f>
        <v>#REF!</v>
      </c>
      <c r="CX7" t="e">
        <f>AND('4to. Secre.'!#REF!,"AAAAAH5+t2U=")</f>
        <v>#REF!</v>
      </c>
      <c r="CY7" t="e">
        <f>IF('4to. Secre.'!#REF!,"AAAAAH5+t2Y=",0)</f>
        <v>#REF!</v>
      </c>
      <c r="CZ7" t="e">
        <f>AND('4to. Secre.'!#REF!,"AAAAAH5+t2c=")</f>
        <v>#REF!</v>
      </c>
      <c r="DA7" t="e">
        <f>AND('4to. Secre.'!#REF!,"AAAAAH5+t2g=")</f>
        <v>#REF!</v>
      </c>
      <c r="DB7" t="e">
        <f>AND('4to. Secre.'!#REF!,"AAAAAH5+t2k=")</f>
        <v>#REF!</v>
      </c>
      <c r="DC7" t="e">
        <f>AND('4to. Secre.'!#REF!,"AAAAAH5+t2o=")</f>
        <v>#REF!</v>
      </c>
      <c r="DD7" t="e">
        <f>AND('4to. Secre.'!#REF!,"AAAAAH5+t2s=")</f>
        <v>#REF!</v>
      </c>
      <c r="DE7" t="e">
        <f>AND('4to. Secre.'!#REF!,"AAAAAH5+t2w=")</f>
        <v>#REF!</v>
      </c>
      <c r="DF7" t="e">
        <f>AND('4to. Secre.'!#REF!,"AAAAAH5+t20=")</f>
        <v>#REF!</v>
      </c>
      <c r="DG7" t="e">
        <f>AND('4to. Secre.'!#REF!,"AAAAAH5+t24=")</f>
        <v>#REF!</v>
      </c>
      <c r="DH7" t="e">
        <f>AND('4to. Secre.'!#REF!,"AAAAAH5+t28=")</f>
        <v>#REF!</v>
      </c>
      <c r="DI7" t="e">
        <f>AND('4to. Secre.'!#REF!,"AAAAAH5+t3A=")</f>
        <v>#REF!</v>
      </c>
      <c r="DJ7" t="e">
        <f>AND('4to. Secre.'!#REF!,"AAAAAH5+t3E=")</f>
        <v>#REF!</v>
      </c>
      <c r="DK7" t="e">
        <f>AND('4to. Secre.'!#REF!,"AAAAAH5+t3I=")</f>
        <v>#REF!</v>
      </c>
      <c r="DL7" t="e">
        <f>AND('4to. Secre.'!#REF!,"AAAAAH5+t3M=")</f>
        <v>#REF!</v>
      </c>
      <c r="DM7" t="e">
        <f>AND('4to. Secre.'!#REF!,"AAAAAH5+t3Q=")</f>
        <v>#REF!</v>
      </c>
      <c r="DN7" t="e">
        <f>AND('4to. Secre.'!#REF!,"AAAAAH5+t3U=")</f>
        <v>#REF!</v>
      </c>
      <c r="DO7" t="e">
        <f>AND('4to. Secre.'!#REF!,"AAAAAH5+t3Y=")</f>
        <v>#REF!</v>
      </c>
      <c r="DP7" t="e">
        <f>AND('4to. Secre.'!#REF!,"AAAAAH5+t3c=")</f>
        <v>#REF!</v>
      </c>
      <c r="DQ7" t="e">
        <f>AND('4to. Secre.'!#REF!,"AAAAAH5+t3g=")</f>
        <v>#REF!</v>
      </c>
      <c r="DR7" t="e">
        <f>AND('4to. Secre.'!#REF!,"AAAAAH5+t3k=")</f>
        <v>#REF!</v>
      </c>
      <c r="DS7" t="e">
        <f>AND('4to. Secre.'!#REF!,"AAAAAH5+t3o=")</f>
        <v>#REF!</v>
      </c>
      <c r="DT7" t="e">
        <f>AND('4to. Secre.'!#REF!,"AAAAAH5+t3s=")</f>
        <v>#REF!</v>
      </c>
      <c r="DU7" t="e">
        <f>AND('4to. Secre.'!#REF!,"AAAAAH5+t3w=")</f>
        <v>#REF!</v>
      </c>
      <c r="DV7" t="e">
        <f>AND('4to. Secre.'!#REF!,"AAAAAH5+t30=")</f>
        <v>#REF!</v>
      </c>
      <c r="DW7" t="e">
        <f>AND('4to. Secre.'!#REF!,"AAAAAH5+t34=")</f>
        <v>#REF!</v>
      </c>
      <c r="DX7" t="e">
        <f>AND('4to. Secre.'!#REF!,"AAAAAH5+t38=")</f>
        <v>#REF!</v>
      </c>
      <c r="DY7" t="e">
        <f>IF('4to. Secre.'!#REF!,"AAAAAH5+t4A=",0)</f>
        <v>#REF!</v>
      </c>
      <c r="DZ7" t="e">
        <f>AND('4to. Secre.'!#REF!,"AAAAAH5+t4E=")</f>
        <v>#REF!</v>
      </c>
      <c r="EA7" t="e">
        <f>AND('4to. Secre.'!#REF!,"AAAAAH5+t4I=")</f>
        <v>#REF!</v>
      </c>
      <c r="EB7" t="e">
        <f>AND('4to. Secre.'!#REF!,"AAAAAH5+t4M=")</f>
        <v>#REF!</v>
      </c>
      <c r="EC7" t="e">
        <f>AND('4to. Secre.'!#REF!,"AAAAAH5+t4Q=")</f>
        <v>#REF!</v>
      </c>
      <c r="ED7" t="e">
        <f>AND('4to. Secre.'!#REF!,"AAAAAH5+t4U=")</f>
        <v>#REF!</v>
      </c>
      <c r="EE7" t="e">
        <f>AND('4to. Secre.'!#REF!,"AAAAAH5+t4Y=")</f>
        <v>#REF!</v>
      </c>
      <c r="EF7" t="e">
        <f>AND('4to. Secre.'!#REF!,"AAAAAH5+t4c=")</f>
        <v>#REF!</v>
      </c>
      <c r="EG7" t="e">
        <f>AND('4to. Secre.'!#REF!,"AAAAAH5+t4g=")</f>
        <v>#REF!</v>
      </c>
      <c r="EH7" t="e">
        <f>AND('4to. Secre.'!#REF!,"AAAAAH5+t4k=")</f>
        <v>#REF!</v>
      </c>
      <c r="EI7" t="e">
        <f>AND('4to. Secre.'!#REF!,"AAAAAH5+t4o=")</f>
        <v>#REF!</v>
      </c>
      <c r="EJ7" t="e">
        <f>AND('4to. Secre.'!#REF!,"AAAAAH5+t4s=")</f>
        <v>#REF!</v>
      </c>
      <c r="EK7" t="e">
        <f>AND('4to. Secre.'!#REF!,"AAAAAH5+t4w=")</f>
        <v>#REF!</v>
      </c>
      <c r="EL7" t="e">
        <f>AND('4to. Secre.'!#REF!,"AAAAAH5+t40=")</f>
        <v>#REF!</v>
      </c>
      <c r="EM7" t="e">
        <f>AND('4to. Secre.'!#REF!,"AAAAAH5+t44=")</f>
        <v>#REF!</v>
      </c>
      <c r="EN7" t="e">
        <f>AND('4to. Secre.'!#REF!,"AAAAAH5+t48=")</f>
        <v>#REF!</v>
      </c>
      <c r="EO7" t="e">
        <f>AND('4to. Secre.'!#REF!,"AAAAAH5+t5A=")</f>
        <v>#REF!</v>
      </c>
      <c r="EP7" t="e">
        <f>AND('4to. Secre.'!#REF!,"AAAAAH5+t5E=")</f>
        <v>#REF!</v>
      </c>
      <c r="EQ7" t="e">
        <f>AND('4to. Secre.'!#REF!,"AAAAAH5+t5I=")</f>
        <v>#REF!</v>
      </c>
      <c r="ER7" t="e">
        <f>AND('4to. Secre.'!#REF!,"AAAAAH5+t5M=")</f>
        <v>#REF!</v>
      </c>
      <c r="ES7" t="e">
        <f>AND('4to. Secre.'!#REF!,"AAAAAH5+t5Q=")</f>
        <v>#REF!</v>
      </c>
      <c r="ET7" t="e">
        <f>AND('4to. Secre.'!#REF!,"AAAAAH5+t5U=")</f>
        <v>#REF!</v>
      </c>
      <c r="EU7" t="e">
        <f>AND('4to. Secre.'!#REF!,"AAAAAH5+t5Y=")</f>
        <v>#REF!</v>
      </c>
      <c r="EV7" t="e">
        <f>AND('4to. Secre.'!#REF!,"AAAAAH5+t5c=")</f>
        <v>#REF!</v>
      </c>
      <c r="EW7" t="e">
        <f>AND('4to. Secre.'!#REF!,"AAAAAH5+t5g=")</f>
        <v>#REF!</v>
      </c>
      <c r="EX7" t="e">
        <f>AND('4to. Secre.'!#REF!,"AAAAAH5+t5k=")</f>
        <v>#REF!</v>
      </c>
      <c r="EY7" t="e">
        <f>IF('4to. Secre.'!A:A,"AAAAAH5+t5o=",0)</f>
        <v>#VALUE!</v>
      </c>
      <c r="EZ7" t="e">
        <f>IF('4to. Secre.'!B:B,"AAAAAH5+t5s=",0)</f>
        <v>#VALUE!</v>
      </c>
      <c r="FA7" t="e">
        <f>IF('4to. Secre.'!C:C,"AAAAAH5+t5w=",0)</f>
        <v>#VALUE!</v>
      </c>
      <c r="FB7">
        <f>IF('4to. Secre.'!D:D,"AAAAAH5+t50=",0)</f>
        <v>0</v>
      </c>
      <c r="FC7">
        <f>IF('4to. Secre.'!E:E,"AAAAAH5+t54=",0)</f>
        <v>0</v>
      </c>
      <c r="FD7">
        <f>IF('4to. Secre.'!F:F,"AAAAAH5+t58=",0)</f>
        <v>0</v>
      </c>
      <c r="FE7">
        <f>IF('4to. Secre.'!G:G,"AAAAAH5+t6A=",0)</f>
        <v>0</v>
      </c>
      <c r="FF7">
        <f>IF('4to. Secre.'!H:H,"AAAAAH5+t6E=",0)</f>
        <v>0</v>
      </c>
      <c r="FG7">
        <f>IF('4to. Secre.'!I:I,"AAAAAH5+t6I=",0)</f>
        <v>0</v>
      </c>
      <c r="FH7">
        <f>IF('4to. Secre.'!J:J,"AAAAAH5+t6M=",0)</f>
        <v>0</v>
      </c>
      <c r="FI7">
        <f>IF('4to. Secre.'!K:K,"AAAAAH5+t6Q=",0)</f>
        <v>0</v>
      </c>
      <c r="FJ7">
        <f>IF('4to. Secre.'!L:L,"AAAAAH5+t6U=",0)</f>
        <v>0</v>
      </c>
      <c r="FK7">
        <f>IF('4to. Secre.'!M:M,"AAAAAH5+t6Y=",0)</f>
        <v>0</v>
      </c>
      <c r="FL7">
        <f>IF('4to. Secre.'!N:N,"AAAAAH5+t6c=",0)</f>
        <v>0</v>
      </c>
      <c r="FM7">
        <f>IF('4to. Secre.'!O:O,"AAAAAH5+t6g=",0)</f>
        <v>0</v>
      </c>
      <c r="FN7">
        <f>IF('4to. Secre.'!P:P,"AAAAAH5+t6k=",0)</f>
        <v>0</v>
      </c>
      <c r="FO7" t="str">
        <f>IF('4to. Secre.'!Q:Q,"AAAAAH5+t6o=",0)</f>
        <v>AAAAAH5+t6o=</v>
      </c>
      <c r="FP7" t="str">
        <f>IF('4to. Secre.'!R:R,"AAAAAH5+t6s=",0)</f>
        <v>AAAAAH5+t6s=</v>
      </c>
      <c r="FQ7" t="str">
        <f>IF('4to. Secre.'!S:S,"AAAAAH5+t6w=",0)</f>
        <v>AAAAAH5+t6w=</v>
      </c>
      <c r="FR7" t="str">
        <f>IF('4to. Secre.'!T:T,"AAAAAH5+t60=",0)</f>
        <v>AAAAAH5+t60=</v>
      </c>
      <c r="FS7" t="e">
        <f>IF('4to. Secre.'!#REF!,"AAAAAH5+t64=",0)</f>
        <v>#REF!</v>
      </c>
      <c r="FT7" t="e">
        <f>IF('4to. Secre.'!#REF!,"AAAAAH5+t68=",0)</f>
        <v>#REF!</v>
      </c>
      <c r="FU7" t="e">
        <f>IF('4to. Secre.'!#REF!,"AAAAAH5+t7A=",0)</f>
        <v>#REF!</v>
      </c>
      <c r="FV7" t="e">
        <f>IF('4to. Secre.'!#REF!,"AAAAAH5+t7E=",0)</f>
        <v>#REF!</v>
      </c>
      <c r="FW7" t="e">
        <f>IF('4to. Secre.'!#REF!,"AAAAAH5+t7I=",0)</f>
        <v>#REF!</v>
      </c>
      <c r="FX7" t="e">
        <f>IF(#REF!,"AAAAAH5+t7M=",0)</f>
        <v>#REF!</v>
      </c>
      <c r="FY7" t="e">
        <f>AND(#REF!,"AAAAAH5+t7Q=")</f>
        <v>#REF!</v>
      </c>
      <c r="FZ7" t="e">
        <f>IF(#REF!,"AAAAAH5+t7U=",0)</f>
        <v>#REF!</v>
      </c>
      <c r="GA7" t="e">
        <f>IF(#REF!,"AAAAAH5+t7Y=",0)</f>
        <v>#REF!</v>
      </c>
      <c r="GB7" t="e">
        <f>AND(#REF!,"AAAAAH5+t7c=")</f>
        <v>#REF!</v>
      </c>
      <c r="GC7" t="e">
        <f>IF(#REF!,"AAAAAH5+t7g=",0)</f>
        <v>#REF!</v>
      </c>
      <c r="GD7" t="s">
        <v>0</v>
      </c>
    </row>
    <row r="8" spans="1:256">
      <c r="A8" t="e">
        <f>IF('4to. Bach_A'!#REF!,"AAAAADOe/wA=",0)</f>
        <v>#REF!</v>
      </c>
      <c r="B8" t="e">
        <f>AND('4to. Bach_A'!#REF!,"AAAAADOe/wE=")</f>
        <v>#REF!</v>
      </c>
      <c r="C8" t="e">
        <f>AND('4to. Bach_A'!#REF!,"AAAAADOe/wI=")</f>
        <v>#REF!</v>
      </c>
      <c r="D8" t="e">
        <f>AND('4to. Bach_A'!#REF!,"AAAAADOe/wM=")</f>
        <v>#REF!</v>
      </c>
      <c r="E8" t="e">
        <f>AND('4to. Bach_A'!#REF!,"AAAAADOe/wQ=")</f>
        <v>#REF!</v>
      </c>
      <c r="F8" t="e">
        <f>AND('4to. Bach_A'!#REF!,"AAAAADOe/wU=")</f>
        <v>#REF!</v>
      </c>
      <c r="G8" t="e">
        <f>AND('4to. Bach_A'!#REF!,"AAAAADOe/wY=")</f>
        <v>#REF!</v>
      </c>
      <c r="H8" t="e">
        <f>AND('4to. Bach_A'!#REF!,"AAAAADOe/wc=")</f>
        <v>#REF!</v>
      </c>
      <c r="I8" t="e">
        <f>AND('4to. Bach_A'!#REF!,"AAAAADOe/wg=")</f>
        <v>#REF!</v>
      </c>
      <c r="J8" t="e">
        <f>AND('4to. Bach_A'!#REF!,"AAAAADOe/wk=")</f>
        <v>#REF!</v>
      </c>
      <c r="K8" t="e">
        <f>AND('4to. Bach_A'!#REF!,"AAAAADOe/wo=")</f>
        <v>#REF!</v>
      </c>
      <c r="L8" t="e">
        <f>AND('4to. Bach_A'!#REF!,"AAAAADOe/ws=")</f>
        <v>#REF!</v>
      </c>
      <c r="M8" t="e">
        <f>AND('4to. Bach_A'!#REF!,"AAAAADOe/ww=")</f>
        <v>#REF!</v>
      </c>
      <c r="N8" t="e">
        <f>AND('4to. Bach_A'!#REF!,"AAAAADOe/w0=")</f>
        <v>#REF!</v>
      </c>
      <c r="O8" t="e">
        <f>AND('4to. Bach_A'!#REF!,"AAAAADOe/w4=")</f>
        <v>#REF!</v>
      </c>
      <c r="P8" t="e">
        <f>AND('4to. Bach_A'!#REF!,"AAAAADOe/w8=")</f>
        <v>#REF!</v>
      </c>
      <c r="Q8" t="e">
        <f>AND('4to. Bach_A'!#REF!,"AAAAADOe/xA=")</f>
        <v>#REF!</v>
      </c>
      <c r="R8" t="e">
        <f>AND('4to. Bach_A'!#REF!,"AAAAADOe/xE=")</f>
        <v>#REF!</v>
      </c>
      <c r="S8" t="e">
        <f>AND('4to. Bach_A'!#REF!,"AAAAADOe/xI=")</f>
        <v>#REF!</v>
      </c>
      <c r="T8" t="e">
        <f>AND('4to. Bach_A'!#REF!,"AAAAADOe/xM=")</f>
        <v>#REF!</v>
      </c>
      <c r="U8" t="e">
        <f>AND('4to. Bach_A'!#REF!,"AAAAADOe/xQ=")</f>
        <v>#REF!</v>
      </c>
      <c r="V8" t="e">
        <f>AND('4to. Bach_A'!#REF!,"AAAAADOe/xU=")</f>
        <v>#REF!</v>
      </c>
      <c r="W8" t="e">
        <f>AND('4to. Bach_A'!#REF!,"AAAAADOe/xY=")</f>
        <v>#REF!</v>
      </c>
      <c r="X8" t="e">
        <f>AND('4to. Bach_A'!#REF!,"AAAAADOe/xc=")</f>
        <v>#REF!</v>
      </c>
      <c r="Y8" t="e">
        <f>AND('4to. Bach_A'!#REF!,"AAAAADOe/xg=")</f>
        <v>#REF!</v>
      </c>
      <c r="Z8" t="e">
        <f>AND('4to. Bach_A'!#REF!,"AAAAADOe/xk=")</f>
        <v>#REF!</v>
      </c>
      <c r="AA8" t="e">
        <f>IF('4to. Bach_A'!#REF!,"AAAAADOe/xo=",0)</f>
        <v>#REF!</v>
      </c>
      <c r="AB8" t="e">
        <f>AND('4to. Bach_A'!#REF!,"AAAAADOe/xs=")</f>
        <v>#REF!</v>
      </c>
      <c r="AC8" t="e">
        <f>AND('4to. Bach_A'!#REF!,"AAAAADOe/xw=")</f>
        <v>#REF!</v>
      </c>
      <c r="AD8" t="e">
        <f>AND('4to. Bach_A'!#REF!,"AAAAADOe/x0=")</f>
        <v>#REF!</v>
      </c>
      <c r="AE8" t="e">
        <f>AND('4to. Bach_A'!#REF!,"AAAAADOe/x4=")</f>
        <v>#REF!</v>
      </c>
      <c r="AF8" t="e">
        <f>AND('4to. Bach_A'!#REF!,"AAAAADOe/x8=")</f>
        <v>#REF!</v>
      </c>
      <c r="AG8" t="e">
        <f>AND('4to. Bach_A'!#REF!,"AAAAADOe/yA=")</f>
        <v>#REF!</v>
      </c>
      <c r="AH8" t="e">
        <f>AND('4to. Bach_A'!#REF!,"AAAAADOe/yE=")</f>
        <v>#REF!</v>
      </c>
      <c r="AI8" t="e">
        <f>AND('4to. Bach_A'!#REF!,"AAAAADOe/yI=")</f>
        <v>#REF!</v>
      </c>
      <c r="AJ8" t="e">
        <f>AND('4to. Bach_A'!#REF!,"AAAAADOe/yM=")</f>
        <v>#REF!</v>
      </c>
      <c r="AK8" t="e">
        <f>AND('4to. Bach_A'!#REF!,"AAAAADOe/yQ=")</f>
        <v>#REF!</v>
      </c>
      <c r="AL8" t="e">
        <f>AND('4to. Bach_A'!#REF!,"AAAAADOe/yU=")</f>
        <v>#REF!</v>
      </c>
      <c r="AM8" t="e">
        <f>AND('4to. Bach_A'!#REF!,"AAAAADOe/yY=")</f>
        <v>#REF!</v>
      </c>
      <c r="AN8" t="e">
        <f>AND('4to. Bach_A'!#REF!,"AAAAADOe/yc=")</f>
        <v>#REF!</v>
      </c>
      <c r="AO8" t="e">
        <f>AND('4to. Bach_A'!#REF!,"AAAAADOe/yg=")</f>
        <v>#REF!</v>
      </c>
      <c r="AP8" t="e">
        <f>AND('4to. Bach_A'!#REF!,"AAAAADOe/yk=")</f>
        <v>#REF!</v>
      </c>
      <c r="AQ8" t="e">
        <f>AND('4to. Bach_A'!#REF!,"AAAAADOe/yo=")</f>
        <v>#REF!</v>
      </c>
      <c r="AR8" t="e">
        <f>AND('4to. Bach_A'!#REF!,"AAAAADOe/ys=")</f>
        <v>#REF!</v>
      </c>
      <c r="AS8" t="e">
        <f>AND('4to. Bach_A'!#REF!,"AAAAADOe/yw=")</f>
        <v>#REF!</v>
      </c>
      <c r="AT8" t="e">
        <f>AND('4to. Bach_A'!#REF!,"AAAAADOe/y0=")</f>
        <v>#REF!</v>
      </c>
      <c r="AU8" t="e">
        <f>AND('4to. Bach_A'!#REF!,"AAAAADOe/y4=")</f>
        <v>#REF!</v>
      </c>
      <c r="AV8" t="e">
        <f>AND('4to. Bach_A'!#REF!,"AAAAADOe/y8=")</f>
        <v>#REF!</v>
      </c>
      <c r="AW8" t="e">
        <f>AND('4to. Bach_A'!#REF!,"AAAAADOe/zA=")</f>
        <v>#REF!</v>
      </c>
      <c r="AX8" t="e">
        <f>AND('4to. Bach_A'!#REF!,"AAAAADOe/zE=")</f>
        <v>#REF!</v>
      </c>
      <c r="AY8" t="e">
        <f>AND('4to. Bach_A'!#REF!,"AAAAADOe/zI=")</f>
        <v>#REF!</v>
      </c>
      <c r="AZ8" t="e">
        <f>AND('4to. Bach_A'!#REF!,"AAAAADOe/zM=")</f>
        <v>#REF!</v>
      </c>
      <c r="BA8" t="e">
        <f>IF('4to. Bach_A'!#REF!,"AAAAADOe/zQ=",0)</f>
        <v>#REF!</v>
      </c>
      <c r="BB8" t="e">
        <f>AND('4to. Bach_A'!#REF!,"AAAAADOe/zU=")</f>
        <v>#REF!</v>
      </c>
      <c r="BC8" t="e">
        <f>AND('4to. Bach_A'!#REF!,"AAAAADOe/zY=")</f>
        <v>#REF!</v>
      </c>
      <c r="BD8" t="e">
        <f>AND('4to. Bach_A'!#REF!,"AAAAADOe/zc=")</f>
        <v>#REF!</v>
      </c>
      <c r="BE8" t="e">
        <f>AND('4to. Bach_A'!#REF!,"AAAAADOe/zg=")</f>
        <v>#REF!</v>
      </c>
      <c r="BF8" t="e">
        <f>AND('4to. Bach_A'!#REF!,"AAAAADOe/zk=")</f>
        <v>#REF!</v>
      </c>
      <c r="BG8" t="e">
        <f>AND('4to. Bach_A'!#REF!,"AAAAADOe/zo=")</f>
        <v>#REF!</v>
      </c>
      <c r="BH8" t="e">
        <f>AND('4to. Bach_A'!#REF!,"AAAAADOe/zs=")</f>
        <v>#REF!</v>
      </c>
      <c r="BI8" t="e">
        <f>AND('4to. Bach_A'!#REF!,"AAAAADOe/zw=")</f>
        <v>#REF!</v>
      </c>
      <c r="BJ8" t="e">
        <f>AND('4to. Bach_A'!#REF!,"AAAAADOe/z0=")</f>
        <v>#REF!</v>
      </c>
      <c r="BK8" t="e">
        <f>AND('4to. Bach_A'!#REF!,"AAAAADOe/z4=")</f>
        <v>#REF!</v>
      </c>
      <c r="BL8" t="e">
        <f>AND('4to. Bach_A'!#REF!,"AAAAADOe/z8=")</f>
        <v>#REF!</v>
      </c>
      <c r="BM8" t="e">
        <f>AND('4to. Bach_A'!#REF!,"AAAAADOe/0A=")</f>
        <v>#REF!</v>
      </c>
      <c r="BN8" t="e">
        <f>AND('4to. Bach_A'!#REF!,"AAAAADOe/0E=")</f>
        <v>#REF!</v>
      </c>
      <c r="BO8" t="e">
        <f>AND('4to. Bach_A'!#REF!,"AAAAADOe/0I=")</f>
        <v>#REF!</v>
      </c>
      <c r="BP8" t="e">
        <f>AND('4to. Bach_A'!#REF!,"AAAAADOe/0M=")</f>
        <v>#REF!</v>
      </c>
      <c r="BQ8" t="e">
        <f>AND('4to. Bach_A'!#REF!,"AAAAADOe/0Q=")</f>
        <v>#REF!</v>
      </c>
      <c r="BR8" t="e">
        <f>AND('4to. Bach_A'!#REF!,"AAAAADOe/0U=")</f>
        <v>#REF!</v>
      </c>
      <c r="BS8" t="e">
        <f>AND('4to. Bach_A'!#REF!,"AAAAADOe/0Y=")</f>
        <v>#REF!</v>
      </c>
      <c r="BT8" t="e">
        <f>AND('4to. Bach_A'!#REF!,"AAAAADOe/0c=")</f>
        <v>#REF!</v>
      </c>
      <c r="BU8" t="e">
        <f>AND('4to. Bach_A'!#REF!,"AAAAADOe/0g=")</f>
        <v>#REF!</v>
      </c>
      <c r="BV8" t="e">
        <f>AND('4to. Bach_A'!#REF!,"AAAAADOe/0k=")</f>
        <v>#REF!</v>
      </c>
      <c r="BW8" t="e">
        <f>AND('4to. Bach_A'!#REF!,"AAAAADOe/0o=")</f>
        <v>#REF!</v>
      </c>
      <c r="BX8" t="e">
        <f>AND('4to. Bach_A'!#REF!,"AAAAADOe/0s=")</f>
        <v>#REF!</v>
      </c>
      <c r="BY8" t="e">
        <f>AND('4to. Bach_A'!#REF!,"AAAAADOe/0w=")</f>
        <v>#REF!</v>
      </c>
      <c r="BZ8" t="e">
        <f>AND('4to. Bach_A'!#REF!,"AAAAADOe/00=")</f>
        <v>#REF!</v>
      </c>
      <c r="CA8" t="e">
        <f>IF('4to. Bach_A'!#REF!,"AAAAADOe/04=",0)</f>
        <v>#REF!</v>
      </c>
      <c r="CB8" t="e">
        <f>AND('4to. Bach_A'!#REF!,"AAAAADOe/08=")</f>
        <v>#REF!</v>
      </c>
      <c r="CC8" t="e">
        <f>AND('4to. Bach_A'!#REF!,"AAAAADOe/1A=")</f>
        <v>#REF!</v>
      </c>
      <c r="CD8" t="e">
        <f>AND('4to. Bach_A'!#REF!,"AAAAADOe/1E=")</f>
        <v>#REF!</v>
      </c>
      <c r="CE8" t="e">
        <f>AND('4to. Bach_A'!#REF!,"AAAAADOe/1I=")</f>
        <v>#REF!</v>
      </c>
      <c r="CF8" t="e">
        <f>AND('4to. Bach_A'!#REF!,"AAAAADOe/1M=")</f>
        <v>#REF!</v>
      </c>
      <c r="CG8" t="e">
        <f>AND('4to. Bach_A'!#REF!,"AAAAADOe/1Q=")</f>
        <v>#REF!</v>
      </c>
      <c r="CH8" t="e">
        <f>AND('4to. Bach_A'!#REF!,"AAAAADOe/1U=")</f>
        <v>#REF!</v>
      </c>
      <c r="CI8" t="e">
        <f>AND('4to. Bach_A'!#REF!,"AAAAADOe/1Y=")</f>
        <v>#REF!</v>
      </c>
      <c r="CJ8" t="e">
        <f>AND('4to. Bach_A'!#REF!,"AAAAADOe/1c=")</f>
        <v>#REF!</v>
      </c>
      <c r="CK8" t="e">
        <f>AND('4to. Bach_A'!#REF!,"AAAAADOe/1g=")</f>
        <v>#REF!</v>
      </c>
      <c r="CL8" t="e">
        <f>AND('4to. Bach_A'!#REF!,"AAAAADOe/1k=")</f>
        <v>#REF!</v>
      </c>
      <c r="CM8" t="e">
        <f>AND('4to. Bach_A'!#REF!,"AAAAADOe/1o=")</f>
        <v>#REF!</v>
      </c>
      <c r="CN8" t="e">
        <f>AND('4to. Bach_A'!#REF!,"AAAAADOe/1s=")</f>
        <v>#REF!</v>
      </c>
      <c r="CO8" t="e">
        <f>AND('4to. Bach_A'!#REF!,"AAAAADOe/1w=")</f>
        <v>#REF!</v>
      </c>
      <c r="CP8" t="e">
        <f>AND('4to. Bach_A'!#REF!,"AAAAADOe/10=")</f>
        <v>#REF!</v>
      </c>
      <c r="CQ8" t="e">
        <f>AND('4to. Bach_A'!#REF!,"AAAAADOe/14=")</f>
        <v>#REF!</v>
      </c>
      <c r="CR8" t="e">
        <f>AND('4to. Bach_A'!#REF!,"AAAAADOe/18=")</f>
        <v>#REF!</v>
      </c>
      <c r="CS8" t="e">
        <f>AND('4to. Bach_A'!#REF!,"AAAAADOe/2A=")</f>
        <v>#REF!</v>
      </c>
      <c r="CT8" t="e">
        <f>AND('4to. Bach_A'!#REF!,"AAAAADOe/2E=")</f>
        <v>#REF!</v>
      </c>
      <c r="CU8" t="e">
        <f>AND('4to. Bach_A'!#REF!,"AAAAADOe/2I=")</f>
        <v>#REF!</v>
      </c>
      <c r="CV8" t="e">
        <f>AND('4to. Bach_A'!#REF!,"AAAAADOe/2M=")</f>
        <v>#REF!</v>
      </c>
      <c r="CW8" t="e">
        <f>AND('4to. Bach_A'!#REF!,"AAAAADOe/2Q=")</f>
        <v>#REF!</v>
      </c>
      <c r="CX8" t="e">
        <f>AND('4to. Bach_A'!#REF!,"AAAAADOe/2U=")</f>
        <v>#REF!</v>
      </c>
      <c r="CY8" t="e">
        <f>AND('4to. Bach_A'!#REF!,"AAAAADOe/2Y=")</f>
        <v>#REF!</v>
      </c>
      <c r="CZ8" t="e">
        <f>AND('4to. Bach_A'!#REF!,"AAAAADOe/2c=")</f>
        <v>#REF!</v>
      </c>
      <c r="DA8">
        <f>IF('4to. Bach_A'!2:2,"AAAAADOe/2g=",0)</f>
        <v>0</v>
      </c>
      <c r="DB8" t="e">
        <f>AND('4to. Bach_A'!A2,"AAAAADOe/2k=")</f>
        <v>#VALUE!</v>
      </c>
      <c r="DC8" t="e">
        <f>AND('4to. Bach_A'!B2,"AAAAADOe/2o=")</f>
        <v>#VALUE!</v>
      </c>
      <c r="DD8" t="e">
        <f>AND('4to. Bach_A'!C2,"AAAAADOe/2s=")</f>
        <v>#VALUE!</v>
      </c>
      <c r="DE8" t="e">
        <f>AND('4to. Bach_A'!D2,"AAAAADOe/2w=")</f>
        <v>#VALUE!</v>
      </c>
      <c r="DF8" t="e">
        <f>AND('4to. Bach_A'!E2,"AAAAADOe/20=")</f>
        <v>#VALUE!</v>
      </c>
      <c r="DG8" t="e">
        <f>AND('4to. Bach_A'!F2,"AAAAADOe/24=")</f>
        <v>#VALUE!</v>
      </c>
      <c r="DH8" t="e">
        <f>AND('4to. Bach_A'!G2,"AAAAADOe/28=")</f>
        <v>#VALUE!</v>
      </c>
      <c r="DI8" t="e">
        <f>AND('4to. Bach_A'!H2,"AAAAADOe/3A=")</f>
        <v>#VALUE!</v>
      </c>
      <c r="DJ8" t="e">
        <f>AND('4to. Bach_A'!I2,"AAAAADOe/3E=")</f>
        <v>#VALUE!</v>
      </c>
      <c r="DK8" t="e">
        <f>AND('4to. Bach_A'!J2,"AAAAADOe/3I=")</f>
        <v>#VALUE!</v>
      </c>
      <c r="DL8" t="e">
        <f>AND('4to. Bach_A'!K2,"AAAAADOe/3M=")</f>
        <v>#VALUE!</v>
      </c>
      <c r="DM8" t="e">
        <f>AND('4to. Bach_A'!L2,"AAAAADOe/3Q=")</f>
        <v>#VALUE!</v>
      </c>
      <c r="DN8" t="e">
        <f>AND('4to. Bach_A'!M2,"AAAAADOe/3U=")</f>
        <v>#VALUE!</v>
      </c>
      <c r="DO8" t="e">
        <f>AND('4to. Bach_A'!N2,"AAAAADOe/3Y=")</f>
        <v>#VALUE!</v>
      </c>
      <c r="DP8" t="e">
        <f>AND('4to. Bach_A'!O2,"AAAAADOe/3c=")</f>
        <v>#VALUE!</v>
      </c>
      <c r="DQ8" t="e">
        <f>AND('4to. Bach_A'!P2,"AAAAADOe/3g=")</f>
        <v>#VALUE!</v>
      </c>
      <c r="DR8" t="e">
        <f>AND('4to. Bach_A'!Q2,"AAAAADOe/3k=")</f>
        <v>#VALUE!</v>
      </c>
      <c r="DS8" t="e">
        <f>AND('4to. Bach_A'!R2,"AAAAADOe/3o=")</f>
        <v>#VALUE!</v>
      </c>
      <c r="DT8" t="e">
        <f>AND('4to. Bach_A'!S2,"AAAAADOe/3s=")</f>
        <v>#VALUE!</v>
      </c>
      <c r="DU8" t="e">
        <f>AND('4to. Bach_A'!T2,"AAAAADOe/3w=")</f>
        <v>#VALUE!</v>
      </c>
      <c r="DV8" t="e">
        <f>AND('4to. Bach_A'!#REF!,"AAAAADOe/30=")</f>
        <v>#REF!</v>
      </c>
      <c r="DW8" t="e">
        <f>AND('4to. Bach_A'!#REF!,"AAAAADOe/34=")</f>
        <v>#REF!</v>
      </c>
      <c r="DX8" t="e">
        <f>AND('4to. Bach_A'!#REF!,"AAAAADOe/38=")</f>
        <v>#REF!</v>
      </c>
      <c r="DY8" t="e">
        <f>AND('4to. Bach_A'!#REF!,"AAAAADOe/4A=")</f>
        <v>#REF!</v>
      </c>
      <c r="DZ8" t="e">
        <f>AND('4to. Bach_A'!#REF!,"AAAAADOe/4E=")</f>
        <v>#REF!</v>
      </c>
      <c r="EA8">
        <f>IF('4to. Bach_A'!3:3,"AAAAADOe/4I=",0)</f>
        <v>0</v>
      </c>
      <c r="EB8" t="e">
        <f>AND('4to. Bach_A'!A3,"AAAAADOe/4M=")</f>
        <v>#VALUE!</v>
      </c>
      <c r="EC8" t="e">
        <f>AND('4to. Bach_A'!B3,"AAAAADOe/4Q=")</f>
        <v>#VALUE!</v>
      </c>
      <c r="ED8" t="e">
        <f>AND('4to. Bach_A'!C3,"AAAAADOe/4U=")</f>
        <v>#VALUE!</v>
      </c>
      <c r="EE8" t="e">
        <f>AND('4to. Bach_A'!D3,"AAAAADOe/4Y=")</f>
        <v>#VALUE!</v>
      </c>
      <c r="EF8" t="e">
        <f>AND('4to. Bach_A'!E3,"AAAAADOe/4c=")</f>
        <v>#VALUE!</v>
      </c>
      <c r="EG8" t="e">
        <f>AND('4to. Bach_A'!F3,"AAAAADOe/4g=")</f>
        <v>#VALUE!</v>
      </c>
      <c r="EH8" t="e">
        <f>AND('4to. Bach_A'!G3,"AAAAADOe/4k=")</f>
        <v>#VALUE!</v>
      </c>
      <c r="EI8" t="e">
        <f>AND('4to. Bach_A'!H3,"AAAAADOe/4o=")</f>
        <v>#VALUE!</v>
      </c>
      <c r="EJ8" t="e">
        <f>AND('4to. Bach_A'!I3,"AAAAADOe/4s=")</f>
        <v>#VALUE!</v>
      </c>
      <c r="EK8" t="e">
        <f>AND('4to. Bach_A'!J3,"AAAAADOe/4w=")</f>
        <v>#VALUE!</v>
      </c>
      <c r="EL8" t="e">
        <f>AND('4to. Bach_A'!K3,"AAAAADOe/40=")</f>
        <v>#VALUE!</v>
      </c>
      <c r="EM8" t="e">
        <f>AND('4to. Bach_A'!L3,"AAAAADOe/44=")</f>
        <v>#VALUE!</v>
      </c>
      <c r="EN8" t="e">
        <f>AND('4to. Bach_A'!M3,"AAAAADOe/48=")</f>
        <v>#VALUE!</v>
      </c>
      <c r="EO8" t="e">
        <f>AND('4to. Bach_A'!N3,"AAAAADOe/5A=")</f>
        <v>#VALUE!</v>
      </c>
      <c r="EP8" t="e">
        <f>AND('4to. Bach_A'!O3,"AAAAADOe/5E=")</f>
        <v>#VALUE!</v>
      </c>
      <c r="EQ8" t="e">
        <f>AND('4to. Bach_A'!P3,"AAAAADOe/5I=")</f>
        <v>#VALUE!</v>
      </c>
      <c r="ER8" t="e">
        <f>AND('4to. Bach_A'!Q3,"AAAAADOe/5M=")</f>
        <v>#VALUE!</v>
      </c>
      <c r="ES8" t="e">
        <f>AND('4to. Bach_A'!R3,"AAAAADOe/5Q=")</f>
        <v>#VALUE!</v>
      </c>
      <c r="ET8" t="e">
        <f>AND('4to. Bach_A'!S3,"AAAAADOe/5U=")</f>
        <v>#VALUE!</v>
      </c>
      <c r="EU8" t="e">
        <f>AND('4to. Bach_A'!T3,"AAAAADOe/5Y=")</f>
        <v>#VALUE!</v>
      </c>
      <c r="EV8" t="e">
        <f>AND('4to. Bach_A'!#REF!,"AAAAADOe/5c=")</f>
        <v>#REF!</v>
      </c>
      <c r="EW8" t="e">
        <f>AND('4to. Bach_A'!#REF!,"AAAAADOe/5g=")</f>
        <v>#REF!</v>
      </c>
      <c r="EX8" t="e">
        <f>AND('4to. Bach_A'!#REF!,"AAAAADOe/5k=")</f>
        <v>#REF!</v>
      </c>
      <c r="EY8" t="e">
        <f>AND('4to. Bach_A'!#REF!,"AAAAADOe/5o=")</f>
        <v>#REF!</v>
      </c>
      <c r="EZ8" t="e">
        <f>AND('4to. Bach_A'!#REF!,"AAAAADOe/5s=")</f>
        <v>#REF!</v>
      </c>
      <c r="FA8">
        <f>IF('4to. Bach_A'!4:4,"AAAAADOe/5w=",0)</f>
        <v>0</v>
      </c>
      <c r="FB8" t="e">
        <f>AND('4to. Bach_A'!A4,"AAAAADOe/50=")</f>
        <v>#VALUE!</v>
      </c>
      <c r="FC8" t="e">
        <f>AND('4to. Bach_A'!B4,"AAAAADOe/54=")</f>
        <v>#VALUE!</v>
      </c>
      <c r="FD8" t="e">
        <f>AND('4to. Bach_A'!C4,"AAAAADOe/58=")</f>
        <v>#VALUE!</v>
      </c>
      <c r="FE8" t="e">
        <f>AND('4to. Bach_A'!D4,"AAAAADOe/6A=")</f>
        <v>#VALUE!</v>
      </c>
      <c r="FF8" t="e">
        <f>AND('4to. Bach_A'!E4,"AAAAADOe/6E=")</f>
        <v>#VALUE!</v>
      </c>
      <c r="FG8" t="e">
        <f>AND('4to. Bach_A'!F4,"AAAAADOe/6I=")</f>
        <v>#VALUE!</v>
      </c>
      <c r="FH8" t="e">
        <f>AND('4to. Bach_A'!G4,"AAAAADOe/6M=")</f>
        <v>#VALUE!</v>
      </c>
      <c r="FI8" t="e">
        <f>AND('4to. Bach_A'!H4,"AAAAADOe/6Q=")</f>
        <v>#VALUE!</v>
      </c>
      <c r="FJ8" t="e">
        <f>AND('4to. Bach_A'!I4,"AAAAADOe/6U=")</f>
        <v>#VALUE!</v>
      </c>
      <c r="FK8" t="e">
        <f>AND('4to. Bach_A'!J4,"AAAAADOe/6Y=")</f>
        <v>#VALUE!</v>
      </c>
      <c r="FL8" t="e">
        <f>AND('4to. Bach_A'!K4,"AAAAADOe/6c=")</f>
        <v>#VALUE!</v>
      </c>
      <c r="FM8" t="e">
        <f>AND('4to. Bach_A'!L4,"AAAAADOe/6g=")</f>
        <v>#VALUE!</v>
      </c>
      <c r="FN8" t="e">
        <f>AND('4to. Bach_A'!M4,"AAAAADOe/6k=")</f>
        <v>#VALUE!</v>
      </c>
      <c r="FO8" t="e">
        <f>AND('4to. Bach_A'!N4,"AAAAADOe/6o=")</f>
        <v>#VALUE!</v>
      </c>
      <c r="FP8" t="e">
        <f>AND('4to. Bach_A'!O4,"AAAAADOe/6s=")</f>
        <v>#VALUE!</v>
      </c>
      <c r="FQ8" t="e">
        <f>AND('4to. Bach_A'!P4,"AAAAADOe/6w=")</f>
        <v>#VALUE!</v>
      </c>
      <c r="FR8" t="e">
        <f>AND('4to. Bach_A'!Q4,"AAAAADOe/60=")</f>
        <v>#VALUE!</v>
      </c>
      <c r="FS8" t="e">
        <f>AND('4to. Bach_A'!R4,"AAAAADOe/64=")</f>
        <v>#VALUE!</v>
      </c>
      <c r="FT8" t="e">
        <f>AND('4to. Bach_A'!S4,"AAAAADOe/68=")</f>
        <v>#VALUE!</v>
      </c>
      <c r="FU8" t="e">
        <f>AND('4to. Bach_A'!T4,"AAAAADOe/7A=")</f>
        <v>#VALUE!</v>
      </c>
      <c r="FV8" t="e">
        <f>AND('4to. Bach_A'!#REF!,"AAAAADOe/7E=")</f>
        <v>#REF!</v>
      </c>
      <c r="FW8" t="e">
        <f>AND('4to. Bach_A'!#REF!,"AAAAADOe/7I=")</f>
        <v>#REF!</v>
      </c>
      <c r="FX8" t="e">
        <f>AND('4to. Bach_A'!#REF!,"AAAAADOe/7M=")</f>
        <v>#REF!</v>
      </c>
      <c r="FY8" t="e">
        <f>AND('4to. Bach_A'!#REF!,"AAAAADOe/7Q=")</f>
        <v>#REF!</v>
      </c>
      <c r="FZ8" t="e">
        <f>AND('4to. Bach_A'!#REF!,"AAAAADOe/7U=")</f>
        <v>#REF!</v>
      </c>
      <c r="GA8">
        <f>IF('4to. Bach_A'!5:5,"AAAAADOe/7Y=",0)</f>
        <v>0</v>
      </c>
      <c r="GB8" t="e">
        <f>AND('4to. Bach_A'!A5,"AAAAADOe/7c=")</f>
        <v>#VALUE!</v>
      </c>
      <c r="GC8" t="e">
        <f>AND('4to. Bach_A'!B5,"AAAAADOe/7g=")</f>
        <v>#VALUE!</v>
      </c>
      <c r="GD8" t="e">
        <f>AND('4to. Bach_A'!C5,"AAAAADOe/7k=")</f>
        <v>#VALUE!</v>
      </c>
      <c r="GE8" t="e">
        <f>AND('4to. Bach_A'!D5,"AAAAADOe/7o=")</f>
        <v>#VALUE!</v>
      </c>
      <c r="GF8" t="e">
        <f>AND('4to. Bach_A'!E5,"AAAAADOe/7s=")</f>
        <v>#VALUE!</v>
      </c>
      <c r="GG8" t="e">
        <f>AND('4to. Bach_A'!F5,"AAAAADOe/7w=")</f>
        <v>#VALUE!</v>
      </c>
      <c r="GH8" t="e">
        <f>AND('4to. Bach_A'!G5,"AAAAADOe/70=")</f>
        <v>#VALUE!</v>
      </c>
      <c r="GI8" t="e">
        <f>AND('4to. Bach_A'!H5,"AAAAADOe/74=")</f>
        <v>#VALUE!</v>
      </c>
      <c r="GJ8" t="e">
        <f>AND('4to. Bach_A'!I5,"AAAAADOe/78=")</f>
        <v>#VALUE!</v>
      </c>
      <c r="GK8" t="e">
        <f>AND('4to. Bach_A'!J5,"AAAAADOe/8A=")</f>
        <v>#VALUE!</v>
      </c>
      <c r="GL8" t="e">
        <f>AND('4to. Bach_A'!K5,"AAAAADOe/8E=")</f>
        <v>#VALUE!</v>
      </c>
      <c r="GM8" t="e">
        <f>AND('4to. Bach_A'!L5,"AAAAADOe/8I=")</f>
        <v>#VALUE!</v>
      </c>
      <c r="GN8" t="e">
        <f>AND('4to. Bach_A'!M5,"AAAAADOe/8M=")</f>
        <v>#VALUE!</v>
      </c>
      <c r="GO8" t="e">
        <f>AND('4to. Bach_A'!N5,"AAAAADOe/8Q=")</f>
        <v>#VALUE!</v>
      </c>
      <c r="GP8" t="e">
        <f>AND('4to. Bach_A'!O5,"AAAAADOe/8U=")</f>
        <v>#VALUE!</v>
      </c>
      <c r="GQ8" t="e">
        <f>AND('4to. Bach_A'!P5,"AAAAADOe/8Y=")</f>
        <v>#VALUE!</v>
      </c>
      <c r="GR8" t="e">
        <f>AND('4to. Bach_A'!Q5,"AAAAADOe/8c=")</f>
        <v>#VALUE!</v>
      </c>
      <c r="GS8" t="e">
        <f>AND('4to. Bach_A'!R5,"AAAAADOe/8g=")</f>
        <v>#VALUE!</v>
      </c>
      <c r="GT8" t="e">
        <f>AND('4to. Bach_A'!S5,"AAAAADOe/8k=")</f>
        <v>#VALUE!</v>
      </c>
      <c r="GU8" t="e">
        <f>AND('4to. Bach_A'!T5,"AAAAADOe/8o=")</f>
        <v>#VALUE!</v>
      </c>
      <c r="GV8" t="e">
        <f>AND('4to. Bach_A'!#REF!,"AAAAADOe/8s=")</f>
        <v>#REF!</v>
      </c>
      <c r="GW8" t="e">
        <f>AND('4to. Bach_A'!#REF!,"AAAAADOe/8w=")</f>
        <v>#REF!</v>
      </c>
      <c r="GX8" t="e">
        <f>AND('4to. Bach_A'!#REF!,"AAAAADOe/80=")</f>
        <v>#REF!</v>
      </c>
      <c r="GY8" t="e">
        <f>AND('4to. Bach_A'!#REF!,"AAAAADOe/84=")</f>
        <v>#REF!</v>
      </c>
      <c r="GZ8" t="e">
        <f>AND('4to. Bach_A'!#REF!,"AAAAADOe/88=")</f>
        <v>#REF!</v>
      </c>
      <c r="HA8">
        <f>IF('4to. Bach_A'!6:6,"AAAAADOe/9A=",0)</f>
        <v>0</v>
      </c>
      <c r="HB8" t="e">
        <f>AND('4to. Bach_A'!A6,"AAAAADOe/9E=")</f>
        <v>#VALUE!</v>
      </c>
      <c r="HC8" t="e">
        <f>AND('4to. Bach_A'!B6,"AAAAADOe/9I=")</f>
        <v>#VALUE!</v>
      </c>
      <c r="HD8" t="e">
        <f>AND('4to. Bach_A'!C6,"AAAAADOe/9M=")</f>
        <v>#VALUE!</v>
      </c>
      <c r="HE8" t="e">
        <f>AND('4to. Bach_A'!D6,"AAAAADOe/9Q=")</f>
        <v>#VALUE!</v>
      </c>
      <c r="HF8" t="e">
        <f>AND('4to. Bach_A'!E6,"AAAAADOe/9U=")</f>
        <v>#VALUE!</v>
      </c>
      <c r="HG8" t="e">
        <f>AND('4to. Bach_A'!F6,"AAAAADOe/9Y=")</f>
        <v>#VALUE!</v>
      </c>
      <c r="HH8" t="e">
        <f>AND('4to. Bach_A'!G6,"AAAAADOe/9c=")</f>
        <v>#VALUE!</v>
      </c>
      <c r="HI8" t="e">
        <f>AND('4to. Bach_A'!H6,"AAAAADOe/9g=")</f>
        <v>#VALUE!</v>
      </c>
      <c r="HJ8" t="e">
        <f>AND('4to. Bach_A'!I6,"AAAAADOe/9k=")</f>
        <v>#VALUE!</v>
      </c>
      <c r="HK8" t="e">
        <f>AND('4to. Bach_A'!J6,"AAAAADOe/9o=")</f>
        <v>#VALUE!</v>
      </c>
      <c r="HL8" t="e">
        <f>AND('4to. Bach_A'!K6,"AAAAADOe/9s=")</f>
        <v>#VALUE!</v>
      </c>
      <c r="HM8" t="e">
        <f>AND('4to. Bach_A'!L6,"AAAAADOe/9w=")</f>
        <v>#VALUE!</v>
      </c>
      <c r="HN8" t="e">
        <f>AND('4to. Bach_A'!M6,"AAAAADOe/90=")</f>
        <v>#VALUE!</v>
      </c>
      <c r="HO8" t="e">
        <f>AND('4to. Bach_A'!N6,"AAAAADOe/94=")</f>
        <v>#VALUE!</v>
      </c>
      <c r="HP8" t="e">
        <f>AND('4to. Bach_A'!O6,"AAAAADOe/98=")</f>
        <v>#VALUE!</v>
      </c>
      <c r="HQ8" t="e">
        <f>AND('4to. Bach_A'!P6,"AAAAADOe/+A=")</f>
        <v>#VALUE!</v>
      </c>
      <c r="HR8" t="e">
        <f>AND('4to. Bach_A'!Q6,"AAAAADOe/+E=")</f>
        <v>#VALUE!</v>
      </c>
      <c r="HS8" t="e">
        <f>AND('4to. Bach_A'!R6,"AAAAADOe/+I=")</f>
        <v>#VALUE!</v>
      </c>
      <c r="HT8" t="e">
        <f>AND('4to. Bach_A'!S6,"AAAAADOe/+M=")</f>
        <v>#VALUE!</v>
      </c>
      <c r="HU8" t="e">
        <f>AND('4to. Bach_A'!T6,"AAAAADOe/+Q=")</f>
        <v>#VALUE!</v>
      </c>
      <c r="HV8" t="e">
        <f>AND('4to. Bach_A'!#REF!,"AAAAADOe/+U=")</f>
        <v>#REF!</v>
      </c>
      <c r="HW8" t="e">
        <f>AND('4to. Bach_A'!#REF!,"AAAAADOe/+Y=")</f>
        <v>#REF!</v>
      </c>
      <c r="HX8" t="e">
        <f>AND('4to. Bach_A'!#REF!,"AAAAADOe/+c=")</f>
        <v>#REF!</v>
      </c>
      <c r="HY8" t="e">
        <f>AND('4to. Bach_A'!#REF!,"AAAAADOe/+g=")</f>
        <v>#REF!</v>
      </c>
      <c r="HZ8" t="e">
        <f>AND('4to. Bach_A'!#REF!,"AAAAADOe/+k=")</f>
        <v>#REF!</v>
      </c>
      <c r="IA8">
        <f>IF('4to. Bach_A'!7:7,"AAAAADOe/+o=",0)</f>
        <v>0</v>
      </c>
      <c r="IB8" t="e">
        <f>AND('4to. Bach_A'!A7,"AAAAADOe/+s=")</f>
        <v>#VALUE!</v>
      </c>
      <c r="IC8" t="e">
        <f>AND('4to. Bach_A'!B7,"AAAAADOe/+w=")</f>
        <v>#VALUE!</v>
      </c>
      <c r="ID8" t="e">
        <f>AND('4to. Bach_A'!C7,"AAAAADOe/+0=")</f>
        <v>#VALUE!</v>
      </c>
      <c r="IE8" t="e">
        <f>AND('4to. Bach_A'!D7,"AAAAADOe/+4=")</f>
        <v>#VALUE!</v>
      </c>
      <c r="IF8" t="e">
        <f>AND('4to. Bach_A'!E7,"AAAAADOe/+8=")</f>
        <v>#VALUE!</v>
      </c>
      <c r="IG8" t="e">
        <f>AND('4to. Bach_A'!F7,"AAAAADOe//A=")</f>
        <v>#VALUE!</v>
      </c>
      <c r="IH8" t="e">
        <f>AND('4to. Bach_A'!G7,"AAAAADOe//E=")</f>
        <v>#VALUE!</v>
      </c>
      <c r="II8" t="e">
        <f>AND('4to. Bach_A'!H7,"AAAAADOe//I=")</f>
        <v>#VALUE!</v>
      </c>
      <c r="IJ8" t="e">
        <f>AND('4to. Bach_A'!I7,"AAAAADOe//M=")</f>
        <v>#VALUE!</v>
      </c>
      <c r="IK8" t="e">
        <f>AND('4to. Bach_A'!J7,"AAAAADOe//Q=")</f>
        <v>#VALUE!</v>
      </c>
      <c r="IL8" t="e">
        <f>AND('4to. Bach_A'!K7,"AAAAADOe//U=")</f>
        <v>#VALUE!</v>
      </c>
      <c r="IM8" t="e">
        <f>AND('4to. Bach_A'!L7,"AAAAADOe//Y=")</f>
        <v>#VALUE!</v>
      </c>
      <c r="IN8" t="e">
        <f>AND('4to. Bach_A'!M7,"AAAAADOe//c=")</f>
        <v>#VALUE!</v>
      </c>
      <c r="IO8" t="e">
        <f>AND('4to. Bach_A'!N7,"AAAAADOe//g=")</f>
        <v>#VALUE!</v>
      </c>
      <c r="IP8" t="e">
        <f>AND('4to. Bach_A'!O7,"AAAAADOe//k=")</f>
        <v>#VALUE!</v>
      </c>
      <c r="IQ8" t="e">
        <f>AND('4to. Bach_A'!P7,"AAAAADOe//o=")</f>
        <v>#VALUE!</v>
      </c>
      <c r="IR8" t="e">
        <f>AND('4to. Bach_A'!Q7,"AAAAADOe//s=")</f>
        <v>#VALUE!</v>
      </c>
      <c r="IS8" t="e">
        <f>AND('4to. Bach_A'!R7,"AAAAADOe//w=")</f>
        <v>#VALUE!</v>
      </c>
      <c r="IT8" t="e">
        <f>AND('4to. Bach_A'!S7,"AAAAADOe//0=")</f>
        <v>#VALUE!</v>
      </c>
      <c r="IU8" t="e">
        <f>AND('4to. Bach_A'!T7,"AAAAADOe//4=")</f>
        <v>#VALUE!</v>
      </c>
      <c r="IV8" t="e">
        <f>AND('4to. Bach_A'!#REF!,"AAAAADOe//8=")</f>
        <v>#REF!</v>
      </c>
    </row>
    <row r="9" spans="1:256">
      <c r="A9" t="e">
        <f>AND('4to. Bach_A'!#REF!,"AAAAAHtk8wA=")</f>
        <v>#REF!</v>
      </c>
      <c r="B9" t="e">
        <f>AND('4to. Bach_A'!#REF!,"AAAAAHtk8wE=")</f>
        <v>#REF!</v>
      </c>
      <c r="C9" t="e">
        <f>AND('4to. Bach_A'!#REF!,"AAAAAHtk8wI=")</f>
        <v>#REF!</v>
      </c>
      <c r="D9" t="e">
        <f>AND('4to. Bach_A'!#REF!,"AAAAAHtk8wM=")</f>
        <v>#REF!</v>
      </c>
      <c r="E9">
        <f>IF('4to. Bach_A'!8:8,"AAAAAHtk8wQ=",0)</f>
        <v>0</v>
      </c>
      <c r="F9" t="e">
        <f>AND('4to. Bach_A'!A8,"AAAAAHtk8wU=")</f>
        <v>#VALUE!</v>
      </c>
      <c r="G9" t="e">
        <f>AND('4to. Bach_A'!B8,"AAAAAHtk8wY=")</f>
        <v>#VALUE!</v>
      </c>
      <c r="H9" t="e">
        <f>AND('4to. Bach_A'!C8,"AAAAAHtk8wc=")</f>
        <v>#VALUE!</v>
      </c>
      <c r="I9" t="e">
        <f>AND('4to. Bach_A'!D8,"AAAAAHtk8wg=")</f>
        <v>#VALUE!</v>
      </c>
      <c r="J9" t="e">
        <f>AND('4to. Bach_A'!E8,"AAAAAHtk8wk=")</f>
        <v>#VALUE!</v>
      </c>
      <c r="K9" t="e">
        <f>AND('4to. Bach_A'!F8,"AAAAAHtk8wo=")</f>
        <v>#VALUE!</v>
      </c>
      <c r="L9" t="e">
        <f>AND('4to. Bach_A'!G8,"AAAAAHtk8ws=")</f>
        <v>#VALUE!</v>
      </c>
      <c r="M9" t="e">
        <f>AND('4to. Bach_A'!H8,"AAAAAHtk8ww=")</f>
        <v>#VALUE!</v>
      </c>
      <c r="N9" t="e">
        <f>AND('4to. Bach_A'!I8,"AAAAAHtk8w0=")</f>
        <v>#VALUE!</v>
      </c>
      <c r="O9" t="e">
        <f>AND('4to. Bach_A'!J8,"AAAAAHtk8w4=")</f>
        <v>#VALUE!</v>
      </c>
      <c r="P9" t="e">
        <f>AND('4to. Bach_A'!K8,"AAAAAHtk8w8=")</f>
        <v>#VALUE!</v>
      </c>
      <c r="Q9" t="e">
        <f>AND('4to. Bach_A'!L8,"AAAAAHtk8xA=")</f>
        <v>#VALUE!</v>
      </c>
      <c r="R9" t="e">
        <f>AND('4to. Bach_A'!M8,"AAAAAHtk8xE=")</f>
        <v>#VALUE!</v>
      </c>
      <c r="S9" t="e">
        <f>AND('4to. Bach_A'!N8,"AAAAAHtk8xI=")</f>
        <v>#VALUE!</v>
      </c>
      <c r="T9" t="e">
        <f>AND('4to. Bach_A'!O8,"AAAAAHtk8xM=")</f>
        <v>#VALUE!</v>
      </c>
      <c r="U9" t="e">
        <f>AND('4to. Bach_A'!P8,"AAAAAHtk8xQ=")</f>
        <v>#VALUE!</v>
      </c>
      <c r="V9" t="e">
        <f>AND('4to. Bach_A'!Q8,"AAAAAHtk8xU=")</f>
        <v>#VALUE!</v>
      </c>
      <c r="W9" t="e">
        <f>AND('4to. Bach_A'!R8,"AAAAAHtk8xY=")</f>
        <v>#VALUE!</v>
      </c>
      <c r="X9" t="e">
        <f>AND('4to. Bach_A'!S8,"AAAAAHtk8xc=")</f>
        <v>#VALUE!</v>
      </c>
      <c r="Y9" t="e">
        <f>AND('4to. Bach_A'!T8,"AAAAAHtk8xg=")</f>
        <v>#VALUE!</v>
      </c>
      <c r="Z9" t="e">
        <f>AND('4to. Bach_A'!#REF!,"AAAAAHtk8xk=")</f>
        <v>#REF!</v>
      </c>
      <c r="AA9" t="e">
        <f>AND('4to. Bach_A'!#REF!,"AAAAAHtk8xo=")</f>
        <v>#REF!</v>
      </c>
      <c r="AB9" t="e">
        <f>AND('4to. Bach_A'!#REF!,"AAAAAHtk8xs=")</f>
        <v>#REF!</v>
      </c>
      <c r="AC9" t="e">
        <f>AND('4to. Bach_A'!#REF!,"AAAAAHtk8xw=")</f>
        <v>#REF!</v>
      </c>
      <c r="AD9" t="e">
        <f>AND('4to. Bach_A'!#REF!,"AAAAAHtk8x0=")</f>
        <v>#REF!</v>
      </c>
      <c r="AE9">
        <f>IF('4to. Bach_A'!9:9,"AAAAAHtk8x4=",0)</f>
        <v>0</v>
      </c>
      <c r="AF9" t="e">
        <f>AND('4to. Bach_A'!A9,"AAAAAHtk8x8=")</f>
        <v>#VALUE!</v>
      </c>
      <c r="AG9" t="e">
        <f>AND('4to. Bach_A'!B9,"AAAAAHtk8yA=")</f>
        <v>#VALUE!</v>
      </c>
      <c r="AH9" t="e">
        <f>AND('4to. Bach_A'!C9,"AAAAAHtk8yE=")</f>
        <v>#VALUE!</v>
      </c>
      <c r="AI9" t="e">
        <f>AND('4to. Bach_A'!D9,"AAAAAHtk8yI=")</f>
        <v>#VALUE!</v>
      </c>
      <c r="AJ9" t="e">
        <f>AND('4to. Bach_A'!E9,"AAAAAHtk8yM=")</f>
        <v>#VALUE!</v>
      </c>
      <c r="AK9" t="e">
        <f>AND('4to. Bach_A'!F9,"AAAAAHtk8yQ=")</f>
        <v>#VALUE!</v>
      </c>
      <c r="AL9" t="e">
        <f>AND('4to. Bach_A'!G9,"AAAAAHtk8yU=")</f>
        <v>#VALUE!</v>
      </c>
      <c r="AM9" t="e">
        <f>AND('4to. Bach_A'!H9,"AAAAAHtk8yY=")</f>
        <v>#VALUE!</v>
      </c>
      <c r="AN9" t="e">
        <f>AND('4to. Bach_A'!I9,"AAAAAHtk8yc=")</f>
        <v>#VALUE!</v>
      </c>
      <c r="AO9" t="e">
        <f>AND('4to. Bach_A'!J9,"AAAAAHtk8yg=")</f>
        <v>#VALUE!</v>
      </c>
      <c r="AP9" t="e">
        <f>AND('4to. Bach_A'!K9,"AAAAAHtk8yk=")</f>
        <v>#VALUE!</v>
      </c>
      <c r="AQ9" t="e">
        <f>AND('4to. Bach_A'!L9,"AAAAAHtk8yo=")</f>
        <v>#VALUE!</v>
      </c>
      <c r="AR9" t="e">
        <f>AND('4to. Bach_A'!M9,"AAAAAHtk8ys=")</f>
        <v>#VALUE!</v>
      </c>
      <c r="AS9" t="e">
        <f>AND('4to. Bach_A'!N9,"AAAAAHtk8yw=")</f>
        <v>#VALUE!</v>
      </c>
      <c r="AT9" t="e">
        <f>AND('4to. Bach_A'!O9,"AAAAAHtk8y0=")</f>
        <v>#VALUE!</v>
      </c>
      <c r="AU9" t="e">
        <f>AND('4to. Bach_A'!P9,"AAAAAHtk8y4=")</f>
        <v>#VALUE!</v>
      </c>
      <c r="AV9" t="e">
        <f>AND('4to. Bach_A'!Q9,"AAAAAHtk8y8=")</f>
        <v>#VALUE!</v>
      </c>
      <c r="AW9" t="e">
        <f>AND('4to. Bach_A'!R9,"AAAAAHtk8zA=")</f>
        <v>#VALUE!</v>
      </c>
      <c r="AX9" t="e">
        <f>AND('4to. Bach_A'!S9,"AAAAAHtk8zE=")</f>
        <v>#VALUE!</v>
      </c>
      <c r="AY9" t="e">
        <f>AND('4to. Bach_A'!T9,"AAAAAHtk8zI=")</f>
        <v>#VALUE!</v>
      </c>
      <c r="AZ9" t="e">
        <f>AND('4to. Bach_A'!#REF!,"AAAAAHtk8zM=")</f>
        <v>#REF!</v>
      </c>
      <c r="BA9" t="e">
        <f>AND('4to. Bach_A'!#REF!,"AAAAAHtk8zQ=")</f>
        <v>#REF!</v>
      </c>
      <c r="BB9" t="e">
        <f>AND('4to. Bach_A'!#REF!,"AAAAAHtk8zU=")</f>
        <v>#REF!</v>
      </c>
      <c r="BC9" t="e">
        <f>AND('4to. Bach_A'!#REF!,"AAAAAHtk8zY=")</f>
        <v>#REF!</v>
      </c>
      <c r="BD9" t="e">
        <f>AND('4to. Bach_A'!#REF!,"AAAAAHtk8zc=")</f>
        <v>#REF!</v>
      </c>
      <c r="BE9">
        <f>IF('4to. Bach_A'!10:10,"AAAAAHtk8zg=",0)</f>
        <v>0</v>
      </c>
      <c r="BF9" t="e">
        <f>AND('4to. Bach_A'!A10,"AAAAAHtk8zk=")</f>
        <v>#VALUE!</v>
      </c>
      <c r="BG9" t="e">
        <f>AND('4to. Bach_A'!B10,"AAAAAHtk8zo=")</f>
        <v>#VALUE!</v>
      </c>
      <c r="BH9" t="e">
        <f>AND('4to. Bach_A'!C10,"AAAAAHtk8zs=")</f>
        <v>#VALUE!</v>
      </c>
      <c r="BI9" t="e">
        <f>AND('4to. Bach_A'!D10,"AAAAAHtk8zw=")</f>
        <v>#VALUE!</v>
      </c>
      <c r="BJ9" t="e">
        <f>AND('4to. Bach_A'!E10,"AAAAAHtk8z0=")</f>
        <v>#VALUE!</v>
      </c>
      <c r="BK9" t="e">
        <f>AND('4to. Bach_A'!F10,"AAAAAHtk8z4=")</f>
        <v>#VALUE!</v>
      </c>
      <c r="BL9" t="e">
        <f>AND('4to. Bach_A'!G10,"AAAAAHtk8z8=")</f>
        <v>#VALUE!</v>
      </c>
      <c r="BM9" t="e">
        <f>AND('4to. Bach_A'!H10,"AAAAAHtk80A=")</f>
        <v>#VALUE!</v>
      </c>
      <c r="BN9" t="e">
        <f>AND('4to. Bach_A'!I10,"AAAAAHtk80E=")</f>
        <v>#VALUE!</v>
      </c>
      <c r="BO9" t="e">
        <f>AND('4to. Bach_A'!J10,"AAAAAHtk80I=")</f>
        <v>#VALUE!</v>
      </c>
      <c r="BP9" t="e">
        <f>AND('4to. Bach_A'!K10,"AAAAAHtk80M=")</f>
        <v>#VALUE!</v>
      </c>
      <c r="BQ9" t="e">
        <f>AND('4to. Bach_A'!L10,"AAAAAHtk80Q=")</f>
        <v>#VALUE!</v>
      </c>
      <c r="BR9" t="e">
        <f>AND('4to. Bach_A'!M10,"AAAAAHtk80U=")</f>
        <v>#VALUE!</v>
      </c>
      <c r="BS9" t="e">
        <f>AND('4to. Bach_A'!N10,"AAAAAHtk80Y=")</f>
        <v>#VALUE!</v>
      </c>
      <c r="BT9" t="e">
        <f>AND('4to. Bach_A'!O10,"AAAAAHtk80c=")</f>
        <v>#VALUE!</v>
      </c>
      <c r="BU9" t="e">
        <f>AND('4to. Bach_A'!P10,"AAAAAHtk80g=")</f>
        <v>#VALUE!</v>
      </c>
      <c r="BV9" t="e">
        <f>AND('4to. Bach_A'!Q10,"AAAAAHtk80k=")</f>
        <v>#VALUE!</v>
      </c>
      <c r="BW9" t="e">
        <f>AND('4to. Bach_A'!R10,"AAAAAHtk80o=")</f>
        <v>#VALUE!</v>
      </c>
      <c r="BX9" t="e">
        <f>AND('4to. Bach_A'!S10,"AAAAAHtk80s=")</f>
        <v>#VALUE!</v>
      </c>
      <c r="BY9" t="e">
        <f>AND('4to. Bach_A'!T10,"AAAAAHtk80w=")</f>
        <v>#VALUE!</v>
      </c>
      <c r="BZ9" t="e">
        <f>AND('4to. Bach_A'!#REF!,"AAAAAHtk800=")</f>
        <v>#REF!</v>
      </c>
      <c r="CA9" t="e">
        <f>AND('4to. Bach_A'!#REF!,"AAAAAHtk804=")</f>
        <v>#REF!</v>
      </c>
      <c r="CB9" t="e">
        <f>AND('4to. Bach_A'!#REF!,"AAAAAHtk808=")</f>
        <v>#REF!</v>
      </c>
      <c r="CC9" t="e">
        <f>AND('4to. Bach_A'!#REF!,"AAAAAHtk81A=")</f>
        <v>#REF!</v>
      </c>
      <c r="CD9" t="e">
        <f>AND('4to. Bach_A'!#REF!,"AAAAAHtk81E=")</f>
        <v>#REF!</v>
      </c>
      <c r="CE9">
        <f>IF('4to. Bach_A'!11:11,"AAAAAHtk81I=",0)</f>
        <v>0</v>
      </c>
      <c r="CF9" t="e">
        <f>AND('4to. Bach_A'!A11,"AAAAAHtk81M=")</f>
        <v>#VALUE!</v>
      </c>
      <c r="CG9" t="e">
        <f>AND('4to. Bach_A'!B11,"AAAAAHtk81Q=")</f>
        <v>#VALUE!</v>
      </c>
      <c r="CH9" t="e">
        <f>AND('4to. Bach_A'!C11,"AAAAAHtk81U=")</f>
        <v>#VALUE!</v>
      </c>
      <c r="CI9" t="e">
        <f>AND('4to. Bach_A'!D11,"AAAAAHtk81Y=")</f>
        <v>#VALUE!</v>
      </c>
      <c r="CJ9" t="e">
        <f>AND('4to. Bach_A'!E11,"AAAAAHtk81c=")</f>
        <v>#VALUE!</v>
      </c>
      <c r="CK9" t="e">
        <f>AND('4to. Bach_A'!F11,"AAAAAHtk81g=")</f>
        <v>#VALUE!</v>
      </c>
      <c r="CL9" t="e">
        <f>AND('4to. Bach_A'!G11,"AAAAAHtk81k=")</f>
        <v>#VALUE!</v>
      </c>
      <c r="CM9" t="e">
        <f>AND('4to. Bach_A'!H11,"AAAAAHtk81o=")</f>
        <v>#VALUE!</v>
      </c>
      <c r="CN9" t="e">
        <f>AND('4to. Bach_A'!I11,"AAAAAHtk81s=")</f>
        <v>#VALUE!</v>
      </c>
      <c r="CO9" t="e">
        <f>AND('4to. Bach_A'!J11,"AAAAAHtk81w=")</f>
        <v>#VALUE!</v>
      </c>
      <c r="CP9" t="e">
        <f>AND('4to. Bach_A'!K11,"AAAAAHtk810=")</f>
        <v>#VALUE!</v>
      </c>
      <c r="CQ9" t="e">
        <f>AND('4to. Bach_A'!L11,"AAAAAHtk814=")</f>
        <v>#VALUE!</v>
      </c>
      <c r="CR9" t="e">
        <f>AND('4to. Bach_A'!M11,"AAAAAHtk818=")</f>
        <v>#VALUE!</v>
      </c>
      <c r="CS9" t="e">
        <f>AND('4to. Bach_A'!N11,"AAAAAHtk82A=")</f>
        <v>#VALUE!</v>
      </c>
      <c r="CT9" t="e">
        <f>AND('4to. Bach_A'!O11,"AAAAAHtk82E=")</f>
        <v>#VALUE!</v>
      </c>
      <c r="CU9" t="e">
        <f>AND('4to. Bach_A'!P11,"AAAAAHtk82I=")</f>
        <v>#VALUE!</v>
      </c>
      <c r="CV9" t="e">
        <f>AND('4to. Bach_A'!Q11,"AAAAAHtk82M=")</f>
        <v>#VALUE!</v>
      </c>
      <c r="CW9" t="e">
        <f>AND('4to. Bach_A'!R11,"AAAAAHtk82Q=")</f>
        <v>#VALUE!</v>
      </c>
      <c r="CX9" t="e">
        <f>AND('4to. Bach_A'!S11,"AAAAAHtk82U=")</f>
        <v>#VALUE!</v>
      </c>
      <c r="CY9" t="e">
        <f>AND('4to. Bach_A'!T11,"AAAAAHtk82Y=")</f>
        <v>#VALUE!</v>
      </c>
      <c r="CZ9" t="e">
        <f>AND('4to. Bach_A'!#REF!,"AAAAAHtk82c=")</f>
        <v>#REF!</v>
      </c>
      <c r="DA9" t="e">
        <f>AND('4to. Bach_A'!#REF!,"AAAAAHtk82g=")</f>
        <v>#REF!</v>
      </c>
      <c r="DB9" t="e">
        <f>AND('4to. Bach_A'!#REF!,"AAAAAHtk82k=")</f>
        <v>#REF!</v>
      </c>
      <c r="DC9" t="e">
        <f>AND('4to. Bach_A'!#REF!,"AAAAAHtk82o=")</f>
        <v>#REF!</v>
      </c>
      <c r="DD9" t="e">
        <f>AND('4to. Bach_A'!#REF!,"AAAAAHtk82s=")</f>
        <v>#REF!</v>
      </c>
      <c r="DE9">
        <f>IF('4to. Bach_A'!12:12,"AAAAAHtk82w=",0)</f>
        <v>0</v>
      </c>
      <c r="DF9" t="e">
        <f>AND('4to. Bach_A'!A12,"AAAAAHtk820=")</f>
        <v>#VALUE!</v>
      </c>
      <c r="DG9" t="e">
        <f>AND('4to. Bach_A'!B12,"AAAAAHtk824=")</f>
        <v>#VALUE!</v>
      </c>
      <c r="DH9" t="e">
        <f>AND('4to. Bach_A'!C12,"AAAAAHtk828=")</f>
        <v>#VALUE!</v>
      </c>
      <c r="DI9" t="e">
        <f>AND('4to. Bach_A'!D12,"AAAAAHtk83A=")</f>
        <v>#VALUE!</v>
      </c>
      <c r="DJ9" t="e">
        <f>AND('4to. Bach_A'!E12,"AAAAAHtk83E=")</f>
        <v>#VALUE!</v>
      </c>
      <c r="DK9" t="e">
        <f>AND('4to. Bach_A'!F12,"AAAAAHtk83I=")</f>
        <v>#VALUE!</v>
      </c>
      <c r="DL9" t="e">
        <f>AND('4to. Bach_A'!G12,"AAAAAHtk83M=")</f>
        <v>#VALUE!</v>
      </c>
      <c r="DM9" t="e">
        <f>AND('4to. Bach_A'!H12,"AAAAAHtk83Q=")</f>
        <v>#VALUE!</v>
      </c>
      <c r="DN9" t="e">
        <f>AND('4to. Bach_A'!I12,"AAAAAHtk83U=")</f>
        <v>#VALUE!</v>
      </c>
      <c r="DO9" t="e">
        <f>AND('4to. Bach_A'!J12,"AAAAAHtk83Y=")</f>
        <v>#VALUE!</v>
      </c>
      <c r="DP9" t="e">
        <f>AND('4to. Bach_A'!K12,"AAAAAHtk83c=")</f>
        <v>#VALUE!</v>
      </c>
      <c r="DQ9" t="e">
        <f>AND('4to. Bach_A'!L12,"AAAAAHtk83g=")</f>
        <v>#VALUE!</v>
      </c>
      <c r="DR9" t="e">
        <f>AND('4to. Bach_A'!M12,"AAAAAHtk83k=")</f>
        <v>#VALUE!</v>
      </c>
      <c r="DS9" t="e">
        <f>AND('4to. Bach_A'!N12,"AAAAAHtk83o=")</f>
        <v>#VALUE!</v>
      </c>
      <c r="DT9" t="e">
        <f>AND('4to. Bach_A'!O12,"AAAAAHtk83s=")</f>
        <v>#VALUE!</v>
      </c>
      <c r="DU9" t="e">
        <f>AND('4to. Bach_A'!P12,"AAAAAHtk83w=")</f>
        <v>#VALUE!</v>
      </c>
      <c r="DV9" t="e">
        <f>AND('4to. Bach_A'!Q12,"AAAAAHtk830=")</f>
        <v>#VALUE!</v>
      </c>
      <c r="DW9" t="e">
        <f>AND('4to. Bach_A'!R12,"AAAAAHtk834=")</f>
        <v>#VALUE!</v>
      </c>
      <c r="DX9" t="e">
        <f>AND('4to. Bach_A'!S12,"AAAAAHtk838=")</f>
        <v>#VALUE!</v>
      </c>
      <c r="DY9" t="e">
        <f>AND('4to. Bach_A'!T12,"AAAAAHtk84A=")</f>
        <v>#VALUE!</v>
      </c>
      <c r="DZ9" t="e">
        <f>AND('4to. Bach_A'!#REF!,"AAAAAHtk84E=")</f>
        <v>#REF!</v>
      </c>
      <c r="EA9" t="e">
        <f>AND('4to. Bach_A'!#REF!,"AAAAAHtk84I=")</f>
        <v>#REF!</v>
      </c>
      <c r="EB9" t="e">
        <f>AND('4to. Bach_A'!#REF!,"AAAAAHtk84M=")</f>
        <v>#REF!</v>
      </c>
      <c r="EC9" t="e">
        <f>AND('4to. Bach_A'!#REF!,"AAAAAHtk84Q=")</f>
        <v>#REF!</v>
      </c>
      <c r="ED9" t="e">
        <f>AND('4to. Bach_A'!#REF!,"AAAAAHtk84U=")</f>
        <v>#REF!</v>
      </c>
      <c r="EE9">
        <f>IF('4to. Bach_A'!13:13,"AAAAAHtk84Y=",0)</f>
        <v>0</v>
      </c>
      <c r="EF9" t="e">
        <f>AND('4to. Bach_A'!A13,"AAAAAHtk84c=")</f>
        <v>#VALUE!</v>
      </c>
      <c r="EG9" t="e">
        <f>AND('4to. Bach_A'!B13,"AAAAAHtk84g=")</f>
        <v>#VALUE!</v>
      </c>
      <c r="EH9" t="e">
        <f>AND('4to. Bach_A'!C13,"AAAAAHtk84k=")</f>
        <v>#VALUE!</v>
      </c>
      <c r="EI9" t="e">
        <f>AND('4to. Bach_A'!D13,"AAAAAHtk84o=")</f>
        <v>#VALUE!</v>
      </c>
      <c r="EJ9" t="e">
        <f>AND('4to. Bach_A'!E13,"AAAAAHtk84s=")</f>
        <v>#VALUE!</v>
      </c>
      <c r="EK9" t="e">
        <f>AND('4to. Bach_A'!F13,"AAAAAHtk84w=")</f>
        <v>#VALUE!</v>
      </c>
      <c r="EL9" t="e">
        <f>AND('4to. Bach_A'!G13,"AAAAAHtk840=")</f>
        <v>#VALUE!</v>
      </c>
      <c r="EM9" t="e">
        <f>AND('4to. Bach_A'!H13,"AAAAAHtk844=")</f>
        <v>#VALUE!</v>
      </c>
      <c r="EN9" t="e">
        <f>AND('4to. Bach_A'!I13,"AAAAAHtk848=")</f>
        <v>#VALUE!</v>
      </c>
      <c r="EO9" t="e">
        <f>AND('4to. Bach_A'!J13,"AAAAAHtk85A=")</f>
        <v>#VALUE!</v>
      </c>
      <c r="EP9" t="e">
        <f>AND('4to. Bach_A'!K13,"AAAAAHtk85E=")</f>
        <v>#VALUE!</v>
      </c>
      <c r="EQ9" t="e">
        <f>AND('4to. Bach_A'!L13,"AAAAAHtk85I=")</f>
        <v>#VALUE!</v>
      </c>
      <c r="ER9" t="e">
        <f>AND('4to. Bach_A'!M13,"AAAAAHtk85M=")</f>
        <v>#VALUE!</v>
      </c>
      <c r="ES9" t="e">
        <f>AND('4to. Bach_A'!N13,"AAAAAHtk85Q=")</f>
        <v>#VALUE!</v>
      </c>
      <c r="ET9" t="e">
        <f>AND('4to. Bach_A'!O13,"AAAAAHtk85U=")</f>
        <v>#VALUE!</v>
      </c>
      <c r="EU9" t="e">
        <f>AND('4to. Bach_A'!P13,"AAAAAHtk85Y=")</f>
        <v>#VALUE!</v>
      </c>
      <c r="EV9" t="e">
        <f>AND('4to. Bach_A'!Q13,"AAAAAHtk85c=")</f>
        <v>#VALUE!</v>
      </c>
      <c r="EW9" t="e">
        <f>AND('4to. Bach_A'!R13,"AAAAAHtk85g=")</f>
        <v>#VALUE!</v>
      </c>
      <c r="EX9" t="e">
        <f>AND('4to. Bach_A'!S13,"AAAAAHtk85k=")</f>
        <v>#VALUE!</v>
      </c>
      <c r="EY9" t="e">
        <f>AND('4to. Bach_A'!T13,"AAAAAHtk85o=")</f>
        <v>#VALUE!</v>
      </c>
      <c r="EZ9" t="e">
        <f>AND('4to. Bach_A'!#REF!,"AAAAAHtk85s=")</f>
        <v>#REF!</v>
      </c>
      <c r="FA9" t="e">
        <f>AND('4to. Bach_A'!#REF!,"AAAAAHtk85w=")</f>
        <v>#REF!</v>
      </c>
      <c r="FB9" t="e">
        <f>AND('4to. Bach_A'!#REF!,"AAAAAHtk850=")</f>
        <v>#REF!</v>
      </c>
      <c r="FC9" t="e">
        <f>AND('4to. Bach_A'!#REF!,"AAAAAHtk854=")</f>
        <v>#REF!</v>
      </c>
      <c r="FD9" t="e">
        <f>AND('4to. Bach_A'!#REF!,"AAAAAHtk858=")</f>
        <v>#REF!</v>
      </c>
      <c r="FE9">
        <f>IF('4to. Bach_A'!14:14,"AAAAAHtk86A=",0)</f>
        <v>0</v>
      </c>
      <c r="FF9" t="e">
        <f>AND('4to. Bach_A'!A14,"AAAAAHtk86E=")</f>
        <v>#VALUE!</v>
      </c>
      <c r="FG9" t="e">
        <f>AND('4to. Bach_A'!B14,"AAAAAHtk86I=")</f>
        <v>#VALUE!</v>
      </c>
      <c r="FH9" t="e">
        <f>AND('4to. Bach_A'!C14,"AAAAAHtk86M=")</f>
        <v>#VALUE!</v>
      </c>
      <c r="FI9" t="e">
        <f>AND('4to. Bach_A'!D14,"AAAAAHtk86Q=")</f>
        <v>#VALUE!</v>
      </c>
      <c r="FJ9" t="e">
        <f>AND('4to. Bach_A'!E14,"AAAAAHtk86U=")</f>
        <v>#VALUE!</v>
      </c>
      <c r="FK9" t="e">
        <f>AND('4to. Bach_A'!F14,"AAAAAHtk86Y=")</f>
        <v>#VALUE!</v>
      </c>
      <c r="FL9" t="e">
        <f>AND('4to. Bach_A'!G14,"AAAAAHtk86c=")</f>
        <v>#VALUE!</v>
      </c>
      <c r="FM9" t="e">
        <f>AND('4to. Bach_A'!H14,"AAAAAHtk86g=")</f>
        <v>#VALUE!</v>
      </c>
      <c r="FN9" t="e">
        <f>AND('4to. Bach_A'!I14,"AAAAAHtk86k=")</f>
        <v>#VALUE!</v>
      </c>
      <c r="FO9" t="e">
        <f>AND('4to. Bach_A'!J14,"AAAAAHtk86o=")</f>
        <v>#VALUE!</v>
      </c>
      <c r="FP9" t="e">
        <f>AND('4to. Bach_A'!K14,"AAAAAHtk86s=")</f>
        <v>#VALUE!</v>
      </c>
      <c r="FQ9" t="e">
        <f>AND('4to. Bach_A'!L14,"AAAAAHtk86w=")</f>
        <v>#VALUE!</v>
      </c>
      <c r="FR9" t="e">
        <f>AND('4to. Bach_A'!M14,"AAAAAHtk860=")</f>
        <v>#VALUE!</v>
      </c>
      <c r="FS9" t="e">
        <f>AND('4to. Bach_A'!N14,"AAAAAHtk864=")</f>
        <v>#VALUE!</v>
      </c>
      <c r="FT9" t="e">
        <f>AND('4to. Bach_A'!O14,"AAAAAHtk868=")</f>
        <v>#VALUE!</v>
      </c>
      <c r="FU9" t="e">
        <f>AND('4to. Bach_A'!P14,"AAAAAHtk87A=")</f>
        <v>#VALUE!</v>
      </c>
      <c r="FV9" t="e">
        <f>AND('4to. Bach_A'!Q14,"AAAAAHtk87E=")</f>
        <v>#VALUE!</v>
      </c>
      <c r="FW9" t="e">
        <f>AND('4to. Bach_A'!R14,"AAAAAHtk87I=")</f>
        <v>#VALUE!</v>
      </c>
      <c r="FX9" t="e">
        <f>AND('4to. Bach_A'!S14,"AAAAAHtk87M=")</f>
        <v>#VALUE!</v>
      </c>
      <c r="FY9" t="e">
        <f>AND('4to. Bach_A'!T14,"AAAAAHtk87Q=")</f>
        <v>#VALUE!</v>
      </c>
      <c r="FZ9" t="e">
        <f>AND('4to. Bach_A'!#REF!,"AAAAAHtk87U=")</f>
        <v>#REF!</v>
      </c>
      <c r="GA9" t="e">
        <f>AND('4to. Bach_A'!#REF!,"AAAAAHtk87Y=")</f>
        <v>#REF!</v>
      </c>
      <c r="GB9" t="e">
        <f>AND('4to. Bach_A'!#REF!,"AAAAAHtk87c=")</f>
        <v>#REF!</v>
      </c>
      <c r="GC9" t="e">
        <f>AND('4to. Bach_A'!#REF!,"AAAAAHtk87g=")</f>
        <v>#REF!</v>
      </c>
      <c r="GD9" t="e">
        <f>AND('4to. Bach_A'!#REF!,"AAAAAHtk87k=")</f>
        <v>#REF!</v>
      </c>
      <c r="GE9">
        <f>IF('4to. Bach_A'!15:15,"AAAAAHtk87o=",0)</f>
        <v>0</v>
      </c>
      <c r="GF9" t="e">
        <f>AND('4to. Bach_A'!A15,"AAAAAHtk87s=")</f>
        <v>#VALUE!</v>
      </c>
      <c r="GG9" t="e">
        <f>AND('4to. Bach_A'!B15,"AAAAAHtk87w=")</f>
        <v>#VALUE!</v>
      </c>
      <c r="GH9" t="e">
        <f>AND('4to. Bach_A'!C15,"AAAAAHtk870=")</f>
        <v>#VALUE!</v>
      </c>
      <c r="GI9" t="e">
        <f>AND('4to. Bach_A'!D15,"AAAAAHtk874=")</f>
        <v>#VALUE!</v>
      </c>
      <c r="GJ9" t="e">
        <f>AND('4to. Bach_A'!E15,"AAAAAHtk878=")</f>
        <v>#VALUE!</v>
      </c>
      <c r="GK9" t="e">
        <f>AND('4to. Bach_A'!F15,"AAAAAHtk88A=")</f>
        <v>#VALUE!</v>
      </c>
      <c r="GL9" t="e">
        <f>AND('4to. Bach_A'!G15,"AAAAAHtk88E=")</f>
        <v>#VALUE!</v>
      </c>
      <c r="GM9" t="e">
        <f>AND('4to. Bach_A'!H15,"AAAAAHtk88I=")</f>
        <v>#VALUE!</v>
      </c>
      <c r="GN9" t="e">
        <f>AND('4to. Bach_A'!I15,"AAAAAHtk88M=")</f>
        <v>#VALUE!</v>
      </c>
      <c r="GO9" t="e">
        <f>AND('4to. Bach_A'!J15,"AAAAAHtk88Q=")</f>
        <v>#VALUE!</v>
      </c>
      <c r="GP9" t="e">
        <f>AND('4to. Bach_A'!K15,"AAAAAHtk88U=")</f>
        <v>#VALUE!</v>
      </c>
      <c r="GQ9" t="e">
        <f>AND('4to. Bach_A'!L15,"AAAAAHtk88Y=")</f>
        <v>#VALUE!</v>
      </c>
      <c r="GR9" t="e">
        <f>AND('4to. Bach_A'!M15,"AAAAAHtk88c=")</f>
        <v>#VALUE!</v>
      </c>
      <c r="GS9" t="e">
        <f>AND('4to. Bach_A'!N15,"AAAAAHtk88g=")</f>
        <v>#VALUE!</v>
      </c>
      <c r="GT9" t="e">
        <f>AND('4to. Bach_A'!O15,"AAAAAHtk88k=")</f>
        <v>#VALUE!</v>
      </c>
      <c r="GU9" t="e">
        <f>AND('4to. Bach_A'!P15,"AAAAAHtk88o=")</f>
        <v>#VALUE!</v>
      </c>
      <c r="GV9" t="e">
        <f>AND('4to. Bach_A'!Q15,"AAAAAHtk88s=")</f>
        <v>#VALUE!</v>
      </c>
      <c r="GW9" t="e">
        <f>AND('4to. Bach_A'!R15,"AAAAAHtk88w=")</f>
        <v>#VALUE!</v>
      </c>
      <c r="GX9" t="e">
        <f>AND('4to. Bach_A'!S15,"AAAAAHtk880=")</f>
        <v>#VALUE!</v>
      </c>
      <c r="GY9" t="e">
        <f>AND('4to. Bach_A'!T15,"AAAAAHtk884=")</f>
        <v>#VALUE!</v>
      </c>
      <c r="GZ9" t="e">
        <f>AND('4to. Bach_A'!#REF!,"AAAAAHtk888=")</f>
        <v>#REF!</v>
      </c>
      <c r="HA9" t="e">
        <f>AND('4to. Bach_A'!#REF!,"AAAAAHtk89A=")</f>
        <v>#REF!</v>
      </c>
      <c r="HB9" t="e">
        <f>AND('4to. Bach_A'!#REF!,"AAAAAHtk89E=")</f>
        <v>#REF!</v>
      </c>
      <c r="HC9" t="e">
        <f>AND('4to. Bach_A'!#REF!,"AAAAAHtk89I=")</f>
        <v>#REF!</v>
      </c>
      <c r="HD9" t="e">
        <f>AND('4to. Bach_A'!#REF!,"AAAAAHtk89M=")</f>
        <v>#REF!</v>
      </c>
      <c r="HE9">
        <f>IF('4to. Bach_A'!16:16,"AAAAAHtk89Q=",0)</f>
        <v>0</v>
      </c>
      <c r="HF9" t="e">
        <f>AND('4to. Bach_A'!A16,"AAAAAHtk89U=")</f>
        <v>#VALUE!</v>
      </c>
      <c r="HG9" t="e">
        <f>AND('4to. Bach_A'!B16,"AAAAAHtk89Y=")</f>
        <v>#VALUE!</v>
      </c>
      <c r="HH9" t="e">
        <f>AND('4to. Bach_A'!C16,"AAAAAHtk89c=")</f>
        <v>#VALUE!</v>
      </c>
      <c r="HI9" t="e">
        <f>AND('4to. Bach_A'!D16,"AAAAAHtk89g=")</f>
        <v>#VALUE!</v>
      </c>
      <c r="HJ9" t="e">
        <f>AND('4to. Bach_A'!E16,"AAAAAHtk89k=")</f>
        <v>#VALUE!</v>
      </c>
      <c r="HK9" t="e">
        <f>AND('4to. Bach_A'!F16,"AAAAAHtk89o=")</f>
        <v>#VALUE!</v>
      </c>
      <c r="HL9" t="e">
        <f>AND('4to. Bach_A'!G16,"AAAAAHtk89s=")</f>
        <v>#VALUE!</v>
      </c>
      <c r="HM9" t="e">
        <f>AND('4to. Bach_A'!H16,"AAAAAHtk89w=")</f>
        <v>#VALUE!</v>
      </c>
      <c r="HN9" t="e">
        <f>AND('4to. Bach_A'!I16,"AAAAAHtk890=")</f>
        <v>#VALUE!</v>
      </c>
      <c r="HO9" t="e">
        <f>AND('4to. Bach_A'!J16,"AAAAAHtk894=")</f>
        <v>#VALUE!</v>
      </c>
      <c r="HP9" t="e">
        <f>AND('4to. Bach_A'!K16,"AAAAAHtk898=")</f>
        <v>#VALUE!</v>
      </c>
      <c r="HQ9" t="e">
        <f>AND('4to. Bach_A'!L16,"AAAAAHtk8+A=")</f>
        <v>#VALUE!</v>
      </c>
      <c r="HR9" t="e">
        <f>AND('4to. Bach_A'!M16,"AAAAAHtk8+E=")</f>
        <v>#VALUE!</v>
      </c>
      <c r="HS9" t="e">
        <f>AND('4to. Bach_A'!N16,"AAAAAHtk8+I=")</f>
        <v>#VALUE!</v>
      </c>
      <c r="HT9" t="e">
        <f>AND('4to. Bach_A'!O16,"AAAAAHtk8+M=")</f>
        <v>#VALUE!</v>
      </c>
      <c r="HU9" t="e">
        <f>AND('4to. Bach_A'!P16,"AAAAAHtk8+Q=")</f>
        <v>#VALUE!</v>
      </c>
      <c r="HV9" t="e">
        <f>AND('4to. Bach_A'!Q16,"AAAAAHtk8+U=")</f>
        <v>#VALUE!</v>
      </c>
      <c r="HW9" t="e">
        <f>AND('4to. Bach_A'!R16,"AAAAAHtk8+Y=")</f>
        <v>#VALUE!</v>
      </c>
      <c r="HX9" t="e">
        <f>AND('4to. Bach_A'!S16,"AAAAAHtk8+c=")</f>
        <v>#VALUE!</v>
      </c>
      <c r="HY9" t="e">
        <f>AND('4to. Bach_A'!T16,"AAAAAHtk8+g=")</f>
        <v>#VALUE!</v>
      </c>
      <c r="HZ9" t="e">
        <f>AND('4to. Bach_A'!#REF!,"AAAAAHtk8+k=")</f>
        <v>#REF!</v>
      </c>
      <c r="IA9" t="e">
        <f>AND('4to. Bach_A'!#REF!,"AAAAAHtk8+o=")</f>
        <v>#REF!</v>
      </c>
      <c r="IB9" t="e">
        <f>AND('4to. Bach_A'!#REF!,"AAAAAHtk8+s=")</f>
        <v>#REF!</v>
      </c>
      <c r="IC9" t="e">
        <f>AND('4to. Bach_A'!#REF!,"AAAAAHtk8+w=")</f>
        <v>#REF!</v>
      </c>
      <c r="ID9" t="e">
        <f>AND('4to. Bach_A'!#REF!,"AAAAAHtk8+0=")</f>
        <v>#REF!</v>
      </c>
      <c r="IE9">
        <f>IF('4to. Bach_A'!17:17,"AAAAAHtk8+4=",0)</f>
        <v>0</v>
      </c>
      <c r="IF9" t="e">
        <f>AND('4to. Bach_A'!A17,"AAAAAHtk8+8=")</f>
        <v>#VALUE!</v>
      </c>
      <c r="IG9" t="e">
        <f>AND('4to. Bach_A'!B17,"AAAAAHtk8/A=")</f>
        <v>#VALUE!</v>
      </c>
      <c r="IH9" t="e">
        <f>AND('4to. Bach_A'!C17,"AAAAAHtk8/E=")</f>
        <v>#VALUE!</v>
      </c>
      <c r="II9" t="e">
        <f>AND('4to. Bach_A'!D17,"AAAAAHtk8/I=")</f>
        <v>#VALUE!</v>
      </c>
      <c r="IJ9" t="e">
        <f>AND('4to. Bach_A'!E17,"AAAAAHtk8/M=")</f>
        <v>#VALUE!</v>
      </c>
      <c r="IK9" t="e">
        <f>AND('4to. Bach_A'!F17,"AAAAAHtk8/Q=")</f>
        <v>#VALUE!</v>
      </c>
      <c r="IL9" t="e">
        <f>AND('4to. Bach_A'!G17,"AAAAAHtk8/U=")</f>
        <v>#VALUE!</v>
      </c>
      <c r="IM9" t="e">
        <f>AND('4to. Bach_A'!H17,"AAAAAHtk8/Y=")</f>
        <v>#VALUE!</v>
      </c>
      <c r="IN9" t="e">
        <f>AND('4to. Bach_A'!I17,"AAAAAHtk8/c=")</f>
        <v>#VALUE!</v>
      </c>
      <c r="IO9" t="e">
        <f>AND('4to. Bach_A'!J17,"AAAAAHtk8/g=")</f>
        <v>#VALUE!</v>
      </c>
      <c r="IP9" t="e">
        <f>AND('4to. Bach_A'!K17,"AAAAAHtk8/k=")</f>
        <v>#VALUE!</v>
      </c>
      <c r="IQ9" t="e">
        <f>AND('4to. Bach_A'!L17,"AAAAAHtk8/o=")</f>
        <v>#VALUE!</v>
      </c>
      <c r="IR9" t="e">
        <f>AND('4to. Bach_A'!M17,"AAAAAHtk8/s=")</f>
        <v>#VALUE!</v>
      </c>
      <c r="IS9" t="e">
        <f>AND('4to. Bach_A'!N17,"AAAAAHtk8/w=")</f>
        <v>#VALUE!</v>
      </c>
      <c r="IT9" t="e">
        <f>AND('4to. Bach_A'!O17,"AAAAAHtk8/0=")</f>
        <v>#VALUE!</v>
      </c>
      <c r="IU9" t="e">
        <f>AND('4to. Bach_A'!P17,"AAAAAHtk8/4=")</f>
        <v>#VALUE!</v>
      </c>
      <c r="IV9" t="e">
        <f>AND('4to. Bach_A'!Q17,"AAAAAHtk8/8=")</f>
        <v>#VALUE!</v>
      </c>
    </row>
    <row r="10" spans="1:256">
      <c r="A10" t="e">
        <f>AND('4to. Bach_A'!R17,"AAAAAH/dzAA=")</f>
        <v>#VALUE!</v>
      </c>
      <c r="B10" t="e">
        <f>AND('4to. Bach_A'!S17,"AAAAAH/dzAE=")</f>
        <v>#VALUE!</v>
      </c>
      <c r="C10" t="e">
        <f>AND('4to. Bach_A'!T17,"AAAAAH/dzAI=")</f>
        <v>#VALUE!</v>
      </c>
      <c r="D10" t="e">
        <f>AND('4to. Bach_A'!#REF!,"AAAAAH/dzAM=")</f>
        <v>#REF!</v>
      </c>
      <c r="E10" t="e">
        <f>AND('4to. Bach_A'!#REF!,"AAAAAH/dzAQ=")</f>
        <v>#REF!</v>
      </c>
      <c r="F10" t="e">
        <f>AND('4to. Bach_A'!#REF!,"AAAAAH/dzAU=")</f>
        <v>#REF!</v>
      </c>
      <c r="G10" t="e">
        <f>AND('4to. Bach_A'!#REF!,"AAAAAH/dzAY=")</f>
        <v>#REF!</v>
      </c>
      <c r="H10" t="e">
        <f>AND('4to. Bach_A'!#REF!,"AAAAAH/dzAc=")</f>
        <v>#REF!</v>
      </c>
      <c r="I10">
        <f>IF('4to. Bach_A'!18:18,"AAAAAH/dzAg=",0)</f>
        <v>0</v>
      </c>
      <c r="J10" t="e">
        <f>AND('4to. Bach_A'!A18,"AAAAAH/dzAk=")</f>
        <v>#VALUE!</v>
      </c>
      <c r="K10" t="e">
        <f>AND('4to. Bach_A'!B18,"AAAAAH/dzAo=")</f>
        <v>#VALUE!</v>
      </c>
      <c r="L10" t="e">
        <f>AND('4to. Bach_A'!C18,"AAAAAH/dzAs=")</f>
        <v>#VALUE!</v>
      </c>
      <c r="M10" t="e">
        <f>AND('4to. Bach_A'!D18,"AAAAAH/dzAw=")</f>
        <v>#VALUE!</v>
      </c>
      <c r="N10" t="e">
        <f>AND('4to. Bach_A'!E18,"AAAAAH/dzA0=")</f>
        <v>#VALUE!</v>
      </c>
      <c r="O10" t="e">
        <f>AND('4to. Bach_A'!F18,"AAAAAH/dzA4=")</f>
        <v>#VALUE!</v>
      </c>
      <c r="P10" t="e">
        <f>AND('4to. Bach_A'!G18,"AAAAAH/dzA8=")</f>
        <v>#VALUE!</v>
      </c>
      <c r="Q10" t="e">
        <f>AND('4to. Bach_A'!H18,"AAAAAH/dzBA=")</f>
        <v>#VALUE!</v>
      </c>
      <c r="R10" t="e">
        <f>AND('4to. Bach_A'!I18,"AAAAAH/dzBE=")</f>
        <v>#VALUE!</v>
      </c>
      <c r="S10" t="e">
        <f>AND('4to. Bach_A'!J18,"AAAAAH/dzBI=")</f>
        <v>#VALUE!</v>
      </c>
      <c r="T10" t="e">
        <f>AND('4to. Bach_A'!K18,"AAAAAH/dzBM=")</f>
        <v>#VALUE!</v>
      </c>
      <c r="U10" t="e">
        <f>AND('4to. Bach_A'!L18,"AAAAAH/dzBQ=")</f>
        <v>#VALUE!</v>
      </c>
      <c r="V10" t="e">
        <f>AND('4to. Bach_A'!M18,"AAAAAH/dzBU=")</f>
        <v>#VALUE!</v>
      </c>
      <c r="W10" t="e">
        <f>AND('4to. Bach_A'!N18,"AAAAAH/dzBY=")</f>
        <v>#VALUE!</v>
      </c>
      <c r="X10" t="e">
        <f>AND('4to. Bach_A'!O18,"AAAAAH/dzBc=")</f>
        <v>#VALUE!</v>
      </c>
      <c r="Y10" t="e">
        <f>AND('4to. Bach_A'!P18,"AAAAAH/dzBg=")</f>
        <v>#VALUE!</v>
      </c>
      <c r="Z10" t="e">
        <f>AND('4to. Bach_A'!Q18,"AAAAAH/dzBk=")</f>
        <v>#VALUE!</v>
      </c>
      <c r="AA10" t="e">
        <f>AND('4to. Bach_A'!R18,"AAAAAH/dzBo=")</f>
        <v>#VALUE!</v>
      </c>
      <c r="AB10" t="e">
        <f>AND('4to. Bach_A'!S18,"AAAAAH/dzBs=")</f>
        <v>#VALUE!</v>
      </c>
      <c r="AC10" t="e">
        <f>AND('4to. Bach_A'!T18,"AAAAAH/dzBw=")</f>
        <v>#VALUE!</v>
      </c>
      <c r="AD10" t="e">
        <f>AND('4to. Bach_A'!#REF!,"AAAAAH/dzB0=")</f>
        <v>#REF!</v>
      </c>
      <c r="AE10" t="e">
        <f>AND('4to. Bach_A'!#REF!,"AAAAAH/dzB4=")</f>
        <v>#REF!</v>
      </c>
      <c r="AF10" t="e">
        <f>AND('4to. Bach_A'!#REF!,"AAAAAH/dzB8=")</f>
        <v>#REF!</v>
      </c>
      <c r="AG10" t="e">
        <f>AND('4to. Bach_A'!#REF!,"AAAAAH/dzCA=")</f>
        <v>#REF!</v>
      </c>
      <c r="AH10" t="e">
        <f>AND('4to. Bach_A'!#REF!,"AAAAAH/dzCE=")</f>
        <v>#REF!</v>
      </c>
      <c r="AI10">
        <f>IF('4to. Bach_A'!19:19,"AAAAAH/dzCI=",0)</f>
        <v>0</v>
      </c>
      <c r="AJ10" t="e">
        <f>AND('4to. Bach_A'!A19,"AAAAAH/dzCM=")</f>
        <v>#VALUE!</v>
      </c>
      <c r="AK10" t="e">
        <f>AND('4to. Bach_A'!B19,"AAAAAH/dzCQ=")</f>
        <v>#VALUE!</v>
      </c>
      <c r="AL10" t="e">
        <f>AND('4to. Bach_A'!C19,"AAAAAH/dzCU=")</f>
        <v>#VALUE!</v>
      </c>
      <c r="AM10" t="e">
        <f>AND('4to. Bach_A'!D19,"AAAAAH/dzCY=")</f>
        <v>#VALUE!</v>
      </c>
      <c r="AN10" t="e">
        <f>AND('4to. Bach_A'!E19,"AAAAAH/dzCc=")</f>
        <v>#VALUE!</v>
      </c>
      <c r="AO10" t="e">
        <f>AND('4to. Bach_A'!F19,"AAAAAH/dzCg=")</f>
        <v>#VALUE!</v>
      </c>
      <c r="AP10" t="e">
        <f>AND('4to. Bach_A'!G19,"AAAAAH/dzCk=")</f>
        <v>#VALUE!</v>
      </c>
      <c r="AQ10" t="e">
        <f>AND('4to. Bach_A'!H19,"AAAAAH/dzCo=")</f>
        <v>#VALUE!</v>
      </c>
      <c r="AR10" t="e">
        <f>AND('4to. Bach_A'!I19,"AAAAAH/dzCs=")</f>
        <v>#VALUE!</v>
      </c>
      <c r="AS10" t="e">
        <f>AND('4to. Bach_A'!J19,"AAAAAH/dzCw=")</f>
        <v>#VALUE!</v>
      </c>
      <c r="AT10" t="e">
        <f>AND('4to. Bach_A'!K19,"AAAAAH/dzC0=")</f>
        <v>#VALUE!</v>
      </c>
      <c r="AU10" t="e">
        <f>AND('4to. Bach_A'!L19,"AAAAAH/dzC4=")</f>
        <v>#VALUE!</v>
      </c>
      <c r="AV10" t="e">
        <f>AND('4to. Bach_A'!M19,"AAAAAH/dzC8=")</f>
        <v>#VALUE!</v>
      </c>
      <c r="AW10" t="e">
        <f>AND('4to. Bach_A'!N19,"AAAAAH/dzDA=")</f>
        <v>#VALUE!</v>
      </c>
      <c r="AX10" t="e">
        <f>AND('4to. Bach_A'!O19,"AAAAAH/dzDE=")</f>
        <v>#VALUE!</v>
      </c>
      <c r="AY10" t="e">
        <f>AND('4to. Bach_A'!P19,"AAAAAH/dzDI=")</f>
        <v>#VALUE!</v>
      </c>
      <c r="AZ10" t="e">
        <f>AND('4to. Bach_A'!Q19,"AAAAAH/dzDM=")</f>
        <v>#VALUE!</v>
      </c>
      <c r="BA10" t="e">
        <f>AND('4to. Bach_A'!R19,"AAAAAH/dzDQ=")</f>
        <v>#VALUE!</v>
      </c>
      <c r="BB10" t="e">
        <f>AND('4to. Bach_A'!S19,"AAAAAH/dzDU=")</f>
        <v>#VALUE!</v>
      </c>
      <c r="BC10" t="e">
        <f>AND('4to. Bach_A'!T19,"AAAAAH/dzDY=")</f>
        <v>#VALUE!</v>
      </c>
      <c r="BD10" t="e">
        <f>AND('4to. Bach_A'!#REF!,"AAAAAH/dzDc=")</f>
        <v>#REF!</v>
      </c>
      <c r="BE10" t="e">
        <f>AND('4to. Bach_A'!#REF!,"AAAAAH/dzDg=")</f>
        <v>#REF!</v>
      </c>
      <c r="BF10" t="e">
        <f>AND('4to. Bach_A'!#REF!,"AAAAAH/dzDk=")</f>
        <v>#REF!</v>
      </c>
      <c r="BG10" t="e">
        <f>AND('4to. Bach_A'!#REF!,"AAAAAH/dzDo=")</f>
        <v>#REF!</v>
      </c>
      <c r="BH10" t="e">
        <f>AND('4to. Bach_A'!#REF!,"AAAAAH/dzDs=")</f>
        <v>#REF!</v>
      </c>
      <c r="BI10">
        <f>IF('4to. Bach_A'!20:20,"AAAAAH/dzDw=",0)</f>
        <v>0</v>
      </c>
      <c r="BJ10" t="e">
        <f>AND('4to. Bach_A'!A20,"AAAAAH/dzD0=")</f>
        <v>#VALUE!</v>
      </c>
      <c r="BK10" t="e">
        <f>AND('4to. Bach_A'!B20,"AAAAAH/dzD4=")</f>
        <v>#VALUE!</v>
      </c>
      <c r="BL10" t="e">
        <f>AND('4to. Bach_A'!C20,"AAAAAH/dzD8=")</f>
        <v>#VALUE!</v>
      </c>
      <c r="BM10" t="e">
        <f>AND('4to. Bach_A'!D20,"AAAAAH/dzEA=")</f>
        <v>#VALUE!</v>
      </c>
      <c r="BN10" t="e">
        <f>AND('4to. Bach_A'!E20,"AAAAAH/dzEE=")</f>
        <v>#VALUE!</v>
      </c>
      <c r="BO10" t="e">
        <f>AND('4to. Bach_A'!F20,"AAAAAH/dzEI=")</f>
        <v>#VALUE!</v>
      </c>
      <c r="BP10" t="e">
        <f>AND('4to. Bach_A'!G20,"AAAAAH/dzEM=")</f>
        <v>#VALUE!</v>
      </c>
      <c r="BQ10" t="e">
        <f>AND('4to. Bach_A'!H20,"AAAAAH/dzEQ=")</f>
        <v>#VALUE!</v>
      </c>
      <c r="BR10" t="e">
        <f>AND('4to. Bach_A'!I20,"AAAAAH/dzEU=")</f>
        <v>#VALUE!</v>
      </c>
      <c r="BS10" t="e">
        <f>AND('4to. Bach_A'!J20,"AAAAAH/dzEY=")</f>
        <v>#VALUE!</v>
      </c>
      <c r="BT10" t="e">
        <f>AND('4to. Bach_A'!K20,"AAAAAH/dzEc=")</f>
        <v>#VALUE!</v>
      </c>
      <c r="BU10" t="e">
        <f>AND('4to. Bach_A'!L20,"AAAAAH/dzEg=")</f>
        <v>#VALUE!</v>
      </c>
      <c r="BV10" t="e">
        <f>AND('4to. Bach_A'!M20,"AAAAAH/dzEk=")</f>
        <v>#VALUE!</v>
      </c>
      <c r="BW10" t="e">
        <f>AND('4to. Bach_A'!N20,"AAAAAH/dzEo=")</f>
        <v>#VALUE!</v>
      </c>
      <c r="BX10" t="e">
        <f>AND('4to. Bach_A'!O20,"AAAAAH/dzEs=")</f>
        <v>#VALUE!</v>
      </c>
      <c r="BY10" t="e">
        <f>AND('4to. Bach_A'!P20,"AAAAAH/dzEw=")</f>
        <v>#VALUE!</v>
      </c>
      <c r="BZ10" t="e">
        <f>AND('4to. Bach_A'!Q20,"AAAAAH/dzE0=")</f>
        <v>#VALUE!</v>
      </c>
      <c r="CA10" t="e">
        <f>AND('4to. Bach_A'!R20,"AAAAAH/dzE4=")</f>
        <v>#VALUE!</v>
      </c>
      <c r="CB10" t="e">
        <f>AND('4to. Bach_A'!S20,"AAAAAH/dzE8=")</f>
        <v>#VALUE!</v>
      </c>
      <c r="CC10" t="e">
        <f>AND('4to. Bach_A'!T20,"AAAAAH/dzFA=")</f>
        <v>#VALUE!</v>
      </c>
      <c r="CD10" t="e">
        <f>AND('4to. Bach_A'!#REF!,"AAAAAH/dzFE=")</f>
        <v>#REF!</v>
      </c>
      <c r="CE10" t="e">
        <f>AND('4to. Bach_A'!#REF!,"AAAAAH/dzFI=")</f>
        <v>#REF!</v>
      </c>
      <c r="CF10" t="e">
        <f>AND('4to. Bach_A'!#REF!,"AAAAAH/dzFM=")</f>
        <v>#REF!</v>
      </c>
      <c r="CG10" t="e">
        <f>AND('4to. Bach_A'!#REF!,"AAAAAH/dzFQ=")</f>
        <v>#REF!</v>
      </c>
      <c r="CH10" t="e">
        <f>AND('4to. Bach_A'!#REF!,"AAAAAH/dzFU=")</f>
        <v>#REF!</v>
      </c>
      <c r="CI10">
        <f>IF('4to. Bach_A'!21:21,"AAAAAH/dzFY=",0)</f>
        <v>0</v>
      </c>
      <c r="CJ10" t="e">
        <f>AND('4to. Bach_A'!A21,"AAAAAH/dzFc=")</f>
        <v>#VALUE!</v>
      </c>
      <c r="CK10" t="e">
        <f>AND('4to. Bach_A'!B21,"AAAAAH/dzFg=")</f>
        <v>#VALUE!</v>
      </c>
      <c r="CL10" t="e">
        <f>AND('4to. Bach_A'!C21,"AAAAAH/dzFk=")</f>
        <v>#VALUE!</v>
      </c>
      <c r="CM10" t="e">
        <f>AND('4to. Bach_A'!D21,"AAAAAH/dzFo=")</f>
        <v>#VALUE!</v>
      </c>
      <c r="CN10" t="e">
        <f>AND('4to. Bach_A'!E21,"AAAAAH/dzFs=")</f>
        <v>#VALUE!</v>
      </c>
      <c r="CO10" t="e">
        <f>AND('4to. Bach_A'!F21,"AAAAAH/dzFw=")</f>
        <v>#VALUE!</v>
      </c>
      <c r="CP10" t="e">
        <f>AND('4to. Bach_A'!G21,"AAAAAH/dzF0=")</f>
        <v>#VALUE!</v>
      </c>
      <c r="CQ10" t="e">
        <f>AND('4to. Bach_A'!H21,"AAAAAH/dzF4=")</f>
        <v>#VALUE!</v>
      </c>
      <c r="CR10" t="e">
        <f>AND('4to. Bach_A'!I21,"AAAAAH/dzF8=")</f>
        <v>#VALUE!</v>
      </c>
      <c r="CS10" t="e">
        <f>AND('4to. Bach_A'!J21,"AAAAAH/dzGA=")</f>
        <v>#VALUE!</v>
      </c>
      <c r="CT10" t="e">
        <f>AND('4to. Bach_A'!K21,"AAAAAH/dzGE=")</f>
        <v>#VALUE!</v>
      </c>
      <c r="CU10" t="e">
        <f>AND('4to. Bach_A'!L21,"AAAAAH/dzGI=")</f>
        <v>#VALUE!</v>
      </c>
      <c r="CV10" t="e">
        <f>AND('4to. Bach_A'!M21,"AAAAAH/dzGM=")</f>
        <v>#VALUE!</v>
      </c>
      <c r="CW10" t="e">
        <f>AND('4to. Bach_A'!N21,"AAAAAH/dzGQ=")</f>
        <v>#VALUE!</v>
      </c>
      <c r="CX10" t="e">
        <f>AND('4to. Bach_A'!O21,"AAAAAH/dzGU=")</f>
        <v>#VALUE!</v>
      </c>
      <c r="CY10" t="e">
        <f>AND('4to. Bach_A'!P21,"AAAAAH/dzGY=")</f>
        <v>#VALUE!</v>
      </c>
      <c r="CZ10" t="e">
        <f>AND('4to. Bach_A'!Q21,"AAAAAH/dzGc=")</f>
        <v>#VALUE!</v>
      </c>
      <c r="DA10" t="e">
        <f>AND('4to. Bach_A'!R21,"AAAAAH/dzGg=")</f>
        <v>#VALUE!</v>
      </c>
      <c r="DB10" t="e">
        <f>AND('4to. Bach_A'!S21,"AAAAAH/dzGk=")</f>
        <v>#VALUE!</v>
      </c>
      <c r="DC10" t="e">
        <f>AND('4to. Bach_A'!T21,"AAAAAH/dzGo=")</f>
        <v>#VALUE!</v>
      </c>
      <c r="DD10" t="e">
        <f>AND('4to. Bach_A'!#REF!,"AAAAAH/dzGs=")</f>
        <v>#REF!</v>
      </c>
      <c r="DE10" t="e">
        <f>AND('4to. Bach_A'!#REF!,"AAAAAH/dzGw=")</f>
        <v>#REF!</v>
      </c>
      <c r="DF10" t="e">
        <f>AND('4to. Bach_A'!#REF!,"AAAAAH/dzG0=")</f>
        <v>#REF!</v>
      </c>
      <c r="DG10" t="e">
        <f>AND('4to. Bach_A'!#REF!,"AAAAAH/dzG4=")</f>
        <v>#REF!</v>
      </c>
      <c r="DH10" t="e">
        <f>AND('4to. Bach_A'!#REF!,"AAAAAH/dzG8=")</f>
        <v>#REF!</v>
      </c>
      <c r="DI10">
        <f>IF('4to. Bach_A'!22:22,"AAAAAH/dzHA=",0)</f>
        <v>0</v>
      </c>
      <c r="DJ10" t="e">
        <f>AND('4to. Bach_A'!A22,"AAAAAH/dzHE=")</f>
        <v>#VALUE!</v>
      </c>
      <c r="DK10" t="e">
        <f>AND('4to. Bach_A'!B22,"AAAAAH/dzHI=")</f>
        <v>#VALUE!</v>
      </c>
      <c r="DL10" t="e">
        <f>AND('4to. Bach_A'!C22,"AAAAAH/dzHM=")</f>
        <v>#VALUE!</v>
      </c>
      <c r="DM10" t="e">
        <f>AND('4to. Bach_A'!D22,"AAAAAH/dzHQ=")</f>
        <v>#VALUE!</v>
      </c>
      <c r="DN10" t="e">
        <f>AND('4to. Bach_A'!E22,"AAAAAH/dzHU=")</f>
        <v>#VALUE!</v>
      </c>
      <c r="DO10" t="e">
        <f>AND('4to. Bach_A'!F22,"AAAAAH/dzHY=")</f>
        <v>#VALUE!</v>
      </c>
      <c r="DP10" t="e">
        <f>AND('4to. Bach_A'!G22,"AAAAAH/dzHc=")</f>
        <v>#VALUE!</v>
      </c>
      <c r="DQ10" t="e">
        <f>AND('4to. Bach_A'!H22,"AAAAAH/dzHg=")</f>
        <v>#VALUE!</v>
      </c>
      <c r="DR10" t="e">
        <f>AND('4to. Bach_A'!I22,"AAAAAH/dzHk=")</f>
        <v>#VALUE!</v>
      </c>
      <c r="DS10" t="e">
        <f>AND('4to. Bach_A'!J22,"AAAAAH/dzHo=")</f>
        <v>#VALUE!</v>
      </c>
      <c r="DT10" t="e">
        <f>AND('4to. Bach_A'!K22,"AAAAAH/dzHs=")</f>
        <v>#VALUE!</v>
      </c>
      <c r="DU10" t="e">
        <f>AND('4to. Bach_A'!L22,"AAAAAH/dzHw=")</f>
        <v>#VALUE!</v>
      </c>
      <c r="DV10" t="e">
        <f>AND('4to. Bach_A'!M22,"AAAAAH/dzH0=")</f>
        <v>#VALUE!</v>
      </c>
      <c r="DW10" t="e">
        <f>AND('4to. Bach_A'!N22,"AAAAAH/dzH4=")</f>
        <v>#VALUE!</v>
      </c>
      <c r="DX10" t="e">
        <f>AND('4to. Bach_A'!O22,"AAAAAH/dzH8=")</f>
        <v>#VALUE!</v>
      </c>
      <c r="DY10" t="e">
        <f>AND('4to. Bach_A'!P22,"AAAAAH/dzIA=")</f>
        <v>#VALUE!</v>
      </c>
      <c r="DZ10" t="e">
        <f>AND('4to. Bach_A'!Q22,"AAAAAH/dzIE=")</f>
        <v>#VALUE!</v>
      </c>
      <c r="EA10" t="e">
        <f>AND('4to. Bach_A'!R22,"AAAAAH/dzII=")</f>
        <v>#VALUE!</v>
      </c>
      <c r="EB10" t="e">
        <f>AND('4to. Bach_A'!S22,"AAAAAH/dzIM=")</f>
        <v>#VALUE!</v>
      </c>
      <c r="EC10" t="e">
        <f>AND('4to. Bach_A'!T22,"AAAAAH/dzIQ=")</f>
        <v>#VALUE!</v>
      </c>
      <c r="ED10" t="e">
        <f>AND('4to. Bach_A'!#REF!,"AAAAAH/dzIU=")</f>
        <v>#REF!</v>
      </c>
      <c r="EE10" t="e">
        <f>AND('4to. Bach_A'!#REF!,"AAAAAH/dzIY=")</f>
        <v>#REF!</v>
      </c>
      <c r="EF10" t="e">
        <f>AND('4to. Bach_A'!#REF!,"AAAAAH/dzIc=")</f>
        <v>#REF!</v>
      </c>
      <c r="EG10" t="e">
        <f>AND('4to. Bach_A'!#REF!,"AAAAAH/dzIg=")</f>
        <v>#REF!</v>
      </c>
      <c r="EH10" t="e">
        <f>AND('4to. Bach_A'!#REF!,"AAAAAH/dzIk=")</f>
        <v>#REF!</v>
      </c>
      <c r="EI10">
        <f>IF('4to. Bach_A'!23:23,"AAAAAH/dzIo=",0)</f>
        <v>0</v>
      </c>
      <c r="EJ10" t="e">
        <f>AND('4to. Bach_A'!A23,"AAAAAH/dzIs=")</f>
        <v>#VALUE!</v>
      </c>
      <c r="EK10" t="e">
        <f>AND('4to. Bach_A'!B23,"AAAAAH/dzIw=")</f>
        <v>#VALUE!</v>
      </c>
      <c r="EL10" t="e">
        <f>AND('4to. Bach_A'!C23,"AAAAAH/dzI0=")</f>
        <v>#VALUE!</v>
      </c>
      <c r="EM10" t="e">
        <f>AND('4to. Bach_A'!D23,"AAAAAH/dzI4=")</f>
        <v>#VALUE!</v>
      </c>
      <c r="EN10" t="e">
        <f>AND('4to. Bach_A'!E23,"AAAAAH/dzI8=")</f>
        <v>#VALUE!</v>
      </c>
      <c r="EO10" t="e">
        <f>AND('4to. Bach_A'!F23,"AAAAAH/dzJA=")</f>
        <v>#VALUE!</v>
      </c>
      <c r="EP10" t="e">
        <f>AND('4to. Bach_A'!G23,"AAAAAH/dzJE=")</f>
        <v>#VALUE!</v>
      </c>
      <c r="EQ10" t="e">
        <f>AND('4to. Bach_A'!H23,"AAAAAH/dzJI=")</f>
        <v>#VALUE!</v>
      </c>
      <c r="ER10" t="e">
        <f>AND('4to. Bach_A'!I23,"AAAAAH/dzJM=")</f>
        <v>#VALUE!</v>
      </c>
      <c r="ES10" t="e">
        <f>AND('4to. Bach_A'!J23,"AAAAAH/dzJQ=")</f>
        <v>#VALUE!</v>
      </c>
      <c r="ET10" t="e">
        <f>AND('4to. Bach_A'!K23,"AAAAAH/dzJU=")</f>
        <v>#VALUE!</v>
      </c>
      <c r="EU10" t="e">
        <f>AND('4to. Bach_A'!L23,"AAAAAH/dzJY=")</f>
        <v>#VALUE!</v>
      </c>
      <c r="EV10" t="e">
        <f>AND('4to. Bach_A'!M23,"AAAAAH/dzJc=")</f>
        <v>#VALUE!</v>
      </c>
      <c r="EW10" t="e">
        <f>AND('4to. Bach_A'!N23,"AAAAAH/dzJg=")</f>
        <v>#VALUE!</v>
      </c>
      <c r="EX10" t="e">
        <f>AND('4to. Bach_A'!O23,"AAAAAH/dzJk=")</f>
        <v>#VALUE!</v>
      </c>
      <c r="EY10" t="e">
        <f>AND('4to. Bach_A'!P23,"AAAAAH/dzJo=")</f>
        <v>#VALUE!</v>
      </c>
      <c r="EZ10" t="e">
        <f>AND('4to. Bach_A'!Q23,"AAAAAH/dzJs=")</f>
        <v>#VALUE!</v>
      </c>
      <c r="FA10" t="e">
        <f>AND('4to. Bach_A'!R23,"AAAAAH/dzJw=")</f>
        <v>#VALUE!</v>
      </c>
      <c r="FB10" t="e">
        <f>AND('4to. Bach_A'!S23,"AAAAAH/dzJ0=")</f>
        <v>#VALUE!</v>
      </c>
      <c r="FC10" t="e">
        <f>AND('4to. Bach_A'!T23,"AAAAAH/dzJ4=")</f>
        <v>#VALUE!</v>
      </c>
      <c r="FD10" t="e">
        <f>AND('4to. Bach_A'!#REF!,"AAAAAH/dzJ8=")</f>
        <v>#REF!</v>
      </c>
      <c r="FE10" t="e">
        <f>AND('4to. Bach_A'!#REF!,"AAAAAH/dzKA=")</f>
        <v>#REF!</v>
      </c>
      <c r="FF10" t="e">
        <f>AND('4to. Bach_A'!#REF!,"AAAAAH/dzKE=")</f>
        <v>#REF!</v>
      </c>
      <c r="FG10" t="e">
        <f>AND('4to. Bach_A'!#REF!,"AAAAAH/dzKI=")</f>
        <v>#REF!</v>
      </c>
      <c r="FH10" t="e">
        <f>AND('4to. Bach_A'!#REF!,"AAAAAH/dzKM=")</f>
        <v>#REF!</v>
      </c>
      <c r="FI10">
        <f>IF('4to. Bach_A'!24:24,"AAAAAH/dzKQ=",0)</f>
        <v>0</v>
      </c>
      <c r="FJ10" t="e">
        <f>AND('4to. Bach_A'!A24,"AAAAAH/dzKU=")</f>
        <v>#VALUE!</v>
      </c>
      <c r="FK10" t="e">
        <f>AND('4to. Bach_A'!B24,"AAAAAH/dzKY=")</f>
        <v>#VALUE!</v>
      </c>
      <c r="FL10" t="e">
        <f>AND('4to. Bach_A'!C24,"AAAAAH/dzKc=")</f>
        <v>#VALUE!</v>
      </c>
      <c r="FM10" t="e">
        <f>AND('4to. Bach_A'!D24,"AAAAAH/dzKg=")</f>
        <v>#VALUE!</v>
      </c>
      <c r="FN10" t="e">
        <f>AND('4to. Bach_A'!E24,"AAAAAH/dzKk=")</f>
        <v>#VALUE!</v>
      </c>
      <c r="FO10" t="e">
        <f>AND('4to. Bach_A'!F24,"AAAAAH/dzKo=")</f>
        <v>#VALUE!</v>
      </c>
      <c r="FP10" t="e">
        <f>AND('4to. Bach_A'!G24,"AAAAAH/dzKs=")</f>
        <v>#VALUE!</v>
      </c>
      <c r="FQ10" t="e">
        <f>AND('4to. Bach_A'!H24,"AAAAAH/dzKw=")</f>
        <v>#VALUE!</v>
      </c>
      <c r="FR10" t="e">
        <f>AND('4to. Bach_A'!I24,"AAAAAH/dzK0=")</f>
        <v>#VALUE!</v>
      </c>
      <c r="FS10" t="e">
        <f>AND('4to. Bach_A'!J24,"AAAAAH/dzK4=")</f>
        <v>#VALUE!</v>
      </c>
      <c r="FT10" t="e">
        <f>AND('4to. Bach_A'!K24,"AAAAAH/dzK8=")</f>
        <v>#VALUE!</v>
      </c>
      <c r="FU10" t="e">
        <f>AND('4to. Bach_A'!L24,"AAAAAH/dzLA=")</f>
        <v>#VALUE!</v>
      </c>
      <c r="FV10" t="e">
        <f>AND('4to. Bach_A'!M24,"AAAAAH/dzLE=")</f>
        <v>#VALUE!</v>
      </c>
      <c r="FW10" t="e">
        <f>AND('4to. Bach_A'!N24,"AAAAAH/dzLI=")</f>
        <v>#VALUE!</v>
      </c>
      <c r="FX10" t="e">
        <f>AND('4to. Bach_A'!O24,"AAAAAH/dzLM=")</f>
        <v>#VALUE!</v>
      </c>
      <c r="FY10" t="e">
        <f>AND('4to. Bach_A'!P24,"AAAAAH/dzLQ=")</f>
        <v>#VALUE!</v>
      </c>
      <c r="FZ10" t="e">
        <f>AND('4to. Bach_A'!Q24,"AAAAAH/dzLU=")</f>
        <v>#VALUE!</v>
      </c>
      <c r="GA10" t="e">
        <f>AND('4to. Bach_A'!R24,"AAAAAH/dzLY=")</f>
        <v>#VALUE!</v>
      </c>
      <c r="GB10" t="e">
        <f>AND('4to. Bach_A'!S24,"AAAAAH/dzLc=")</f>
        <v>#VALUE!</v>
      </c>
      <c r="GC10" t="e">
        <f>AND('4to. Bach_A'!T24,"AAAAAH/dzLg=")</f>
        <v>#VALUE!</v>
      </c>
      <c r="GD10" t="e">
        <f>AND('4to. Bach_A'!#REF!,"AAAAAH/dzLk=")</f>
        <v>#REF!</v>
      </c>
      <c r="GE10" t="e">
        <f>AND('4to. Bach_A'!#REF!,"AAAAAH/dzLo=")</f>
        <v>#REF!</v>
      </c>
      <c r="GF10" t="e">
        <f>AND('4to. Bach_A'!#REF!,"AAAAAH/dzLs=")</f>
        <v>#REF!</v>
      </c>
      <c r="GG10" t="e">
        <f>AND('4to. Bach_A'!#REF!,"AAAAAH/dzLw=")</f>
        <v>#REF!</v>
      </c>
      <c r="GH10" t="e">
        <f>AND('4to. Bach_A'!#REF!,"AAAAAH/dzL0=")</f>
        <v>#REF!</v>
      </c>
      <c r="GI10">
        <f>IF('4to. Bach_A'!25:25,"AAAAAH/dzL4=",0)</f>
        <v>0</v>
      </c>
      <c r="GJ10" t="e">
        <f>AND('4to. Bach_A'!A25,"AAAAAH/dzL8=")</f>
        <v>#VALUE!</v>
      </c>
      <c r="GK10" t="e">
        <f>AND('4to. Bach_A'!B25,"AAAAAH/dzMA=")</f>
        <v>#VALUE!</v>
      </c>
      <c r="GL10" t="e">
        <f>AND('4to. Bach_A'!C25,"AAAAAH/dzME=")</f>
        <v>#VALUE!</v>
      </c>
      <c r="GM10" t="e">
        <f>AND('4to. Bach_A'!D25,"AAAAAH/dzMI=")</f>
        <v>#VALUE!</v>
      </c>
      <c r="GN10" t="e">
        <f>AND('4to. Bach_A'!E25,"AAAAAH/dzMM=")</f>
        <v>#VALUE!</v>
      </c>
      <c r="GO10" t="e">
        <f>AND('4to. Bach_A'!F25,"AAAAAH/dzMQ=")</f>
        <v>#VALUE!</v>
      </c>
      <c r="GP10" t="e">
        <f>AND('4to. Bach_A'!G25,"AAAAAH/dzMU=")</f>
        <v>#VALUE!</v>
      </c>
      <c r="GQ10" t="e">
        <f>AND('4to. Bach_A'!H25,"AAAAAH/dzMY=")</f>
        <v>#VALUE!</v>
      </c>
      <c r="GR10" t="e">
        <f>AND('4to. Bach_A'!I25,"AAAAAH/dzMc=")</f>
        <v>#VALUE!</v>
      </c>
      <c r="GS10" t="e">
        <f>AND('4to. Bach_A'!J25,"AAAAAH/dzMg=")</f>
        <v>#VALUE!</v>
      </c>
      <c r="GT10" t="e">
        <f>AND('4to. Bach_A'!K25,"AAAAAH/dzMk=")</f>
        <v>#VALUE!</v>
      </c>
      <c r="GU10" t="e">
        <f>AND('4to. Bach_A'!L25,"AAAAAH/dzMo=")</f>
        <v>#VALUE!</v>
      </c>
      <c r="GV10" t="e">
        <f>AND('4to. Bach_A'!M25,"AAAAAH/dzMs=")</f>
        <v>#VALUE!</v>
      </c>
      <c r="GW10" t="e">
        <f>AND('4to. Bach_A'!N25,"AAAAAH/dzMw=")</f>
        <v>#VALUE!</v>
      </c>
      <c r="GX10" t="e">
        <f>AND('4to. Bach_A'!O25,"AAAAAH/dzM0=")</f>
        <v>#VALUE!</v>
      </c>
      <c r="GY10" t="e">
        <f>AND('4to. Bach_A'!P25,"AAAAAH/dzM4=")</f>
        <v>#VALUE!</v>
      </c>
      <c r="GZ10" t="e">
        <f>AND('4to. Bach_A'!Q25,"AAAAAH/dzM8=")</f>
        <v>#VALUE!</v>
      </c>
      <c r="HA10" t="e">
        <f>AND('4to. Bach_A'!R25,"AAAAAH/dzNA=")</f>
        <v>#VALUE!</v>
      </c>
      <c r="HB10" t="e">
        <f>AND('4to. Bach_A'!S25,"AAAAAH/dzNE=")</f>
        <v>#VALUE!</v>
      </c>
      <c r="HC10" t="e">
        <f>AND('4to. Bach_A'!T25,"AAAAAH/dzNI=")</f>
        <v>#VALUE!</v>
      </c>
      <c r="HD10" t="e">
        <f>AND('4to. Bach_A'!#REF!,"AAAAAH/dzNM=")</f>
        <v>#REF!</v>
      </c>
      <c r="HE10" t="e">
        <f>AND('4to. Bach_A'!#REF!,"AAAAAH/dzNQ=")</f>
        <v>#REF!</v>
      </c>
      <c r="HF10" t="e">
        <f>AND('4to. Bach_A'!#REF!,"AAAAAH/dzNU=")</f>
        <v>#REF!</v>
      </c>
      <c r="HG10" t="e">
        <f>AND('4to. Bach_A'!#REF!,"AAAAAH/dzNY=")</f>
        <v>#REF!</v>
      </c>
      <c r="HH10" t="e">
        <f>AND('4to. Bach_A'!#REF!,"AAAAAH/dzNc=")</f>
        <v>#REF!</v>
      </c>
      <c r="HI10">
        <f>IF('4to. Bach_A'!26:26,"AAAAAH/dzNg=",0)</f>
        <v>0</v>
      </c>
      <c r="HJ10" t="e">
        <f>AND('4to. Bach_A'!A26,"AAAAAH/dzNk=")</f>
        <v>#VALUE!</v>
      </c>
      <c r="HK10" t="e">
        <f>AND('4to. Bach_A'!B26,"AAAAAH/dzNo=")</f>
        <v>#VALUE!</v>
      </c>
      <c r="HL10" t="e">
        <f>AND('4to. Bach_A'!C26,"AAAAAH/dzNs=")</f>
        <v>#VALUE!</v>
      </c>
      <c r="HM10" t="e">
        <f>AND('4to. Bach_A'!D26,"AAAAAH/dzNw=")</f>
        <v>#VALUE!</v>
      </c>
      <c r="HN10" t="e">
        <f>AND('4to. Bach_A'!E26,"AAAAAH/dzN0=")</f>
        <v>#VALUE!</v>
      </c>
      <c r="HO10" t="e">
        <f>AND('4to. Bach_A'!F26,"AAAAAH/dzN4=")</f>
        <v>#VALUE!</v>
      </c>
      <c r="HP10" t="e">
        <f>AND('4to. Bach_A'!G26,"AAAAAH/dzN8=")</f>
        <v>#VALUE!</v>
      </c>
      <c r="HQ10" t="e">
        <f>AND('4to. Bach_A'!H26,"AAAAAH/dzOA=")</f>
        <v>#VALUE!</v>
      </c>
      <c r="HR10" t="e">
        <f>AND('4to. Bach_A'!I26,"AAAAAH/dzOE=")</f>
        <v>#VALUE!</v>
      </c>
      <c r="HS10" t="e">
        <f>AND('4to. Bach_A'!J26,"AAAAAH/dzOI=")</f>
        <v>#VALUE!</v>
      </c>
      <c r="HT10" t="e">
        <f>AND('4to. Bach_A'!K26,"AAAAAH/dzOM=")</f>
        <v>#VALUE!</v>
      </c>
      <c r="HU10" t="e">
        <f>AND('4to. Bach_A'!L26,"AAAAAH/dzOQ=")</f>
        <v>#VALUE!</v>
      </c>
      <c r="HV10" t="e">
        <f>AND('4to. Bach_A'!M26,"AAAAAH/dzOU=")</f>
        <v>#VALUE!</v>
      </c>
      <c r="HW10" t="e">
        <f>AND('4to. Bach_A'!N26,"AAAAAH/dzOY=")</f>
        <v>#VALUE!</v>
      </c>
      <c r="HX10" t="e">
        <f>AND('4to. Bach_A'!O26,"AAAAAH/dzOc=")</f>
        <v>#VALUE!</v>
      </c>
      <c r="HY10" t="e">
        <f>AND('4to. Bach_A'!P26,"AAAAAH/dzOg=")</f>
        <v>#VALUE!</v>
      </c>
      <c r="HZ10" t="e">
        <f>AND('4to. Bach_A'!Q26,"AAAAAH/dzOk=")</f>
        <v>#VALUE!</v>
      </c>
      <c r="IA10" t="e">
        <f>AND('4to. Bach_A'!R26,"AAAAAH/dzOo=")</f>
        <v>#VALUE!</v>
      </c>
      <c r="IB10" t="e">
        <f>AND('4to. Bach_A'!S26,"AAAAAH/dzOs=")</f>
        <v>#VALUE!</v>
      </c>
      <c r="IC10" t="e">
        <f>AND('4to. Bach_A'!T26,"AAAAAH/dzOw=")</f>
        <v>#VALUE!</v>
      </c>
      <c r="ID10" t="e">
        <f>AND('4to. Bach_A'!#REF!,"AAAAAH/dzO0=")</f>
        <v>#REF!</v>
      </c>
      <c r="IE10" t="e">
        <f>AND('4to. Bach_A'!#REF!,"AAAAAH/dzO4=")</f>
        <v>#REF!</v>
      </c>
      <c r="IF10" t="e">
        <f>AND('4to. Bach_A'!#REF!,"AAAAAH/dzO8=")</f>
        <v>#REF!</v>
      </c>
      <c r="IG10" t="e">
        <f>AND('4to. Bach_A'!#REF!,"AAAAAH/dzPA=")</f>
        <v>#REF!</v>
      </c>
      <c r="IH10" t="e">
        <f>AND('4to. Bach_A'!#REF!,"AAAAAH/dzPE=")</f>
        <v>#REF!</v>
      </c>
      <c r="II10">
        <f>IF('4to. Bach_A'!27:27,"AAAAAH/dzPI=",0)</f>
        <v>0</v>
      </c>
      <c r="IJ10" t="e">
        <f>AND('4to. Bach_A'!A27,"AAAAAH/dzPM=")</f>
        <v>#VALUE!</v>
      </c>
      <c r="IK10" t="e">
        <f>AND('4to. Bach_A'!B27,"AAAAAH/dzPQ=")</f>
        <v>#VALUE!</v>
      </c>
      <c r="IL10" t="e">
        <f>AND('4to. Bach_A'!C27,"AAAAAH/dzPU=")</f>
        <v>#VALUE!</v>
      </c>
      <c r="IM10" t="e">
        <f>AND('4to. Bach_A'!D27,"AAAAAH/dzPY=")</f>
        <v>#VALUE!</v>
      </c>
      <c r="IN10" t="e">
        <f>AND('4to. Bach_A'!E27,"AAAAAH/dzPc=")</f>
        <v>#VALUE!</v>
      </c>
      <c r="IO10" t="e">
        <f>AND('4to. Bach_A'!F27,"AAAAAH/dzPg=")</f>
        <v>#VALUE!</v>
      </c>
      <c r="IP10" t="e">
        <f>AND('4to. Bach_A'!G27,"AAAAAH/dzPk=")</f>
        <v>#VALUE!</v>
      </c>
      <c r="IQ10" t="e">
        <f>AND('4to. Bach_A'!H27,"AAAAAH/dzPo=")</f>
        <v>#VALUE!</v>
      </c>
      <c r="IR10" t="e">
        <f>AND('4to. Bach_A'!I27,"AAAAAH/dzPs=")</f>
        <v>#VALUE!</v>
      </c>
      <c r="IS10" t="e">
        <f>AND('4to. Bach_A'!J27,"AAAAAH/dzPw=")</f>
        <v>#VALUE!</v>
      </c>
      <c r="IT10" t="e">
        <f>AND('4to. Bach_A'!K27,"AAAAAH/dzP0=")</f>
        <v>#VALUE!</v>
      </c>
      <c r="IU10" t="e">
        <f>AND('4to. Bach_A'!L27,"AAAAAH/dzP4=")</f>
        <v>#VALUE!</v>
      </c>
      <c r="IV10" t="e">
        <f>AND('4to. Bach_A'!M27,"AAAAAH/dzP8=")</f>
        <v>#VALUE!</v>
      </c>
    </row>
    <row r="11" spans="1:256">
      <c r="A11" t="e">
        <f>AND('4to. Bach_A'!N27,"AAAAAH79XwA=")</f>
        <v>#VALUE!</v>
      </c>
      <c r="B11" t="e">
        <f>AND('4to. Bach_A'!O27,"AAAAAH79XwE=")</f>
        <v>#VALUE!</v>
      </c>
      <c r="C11" t="e">
        <f>AND('4to. Bach_A'!P27,"AAAAAH79XwI=")</f>
        <v>#VALUE!</v>
      </c>
      <c r="D11" t="e">
        <f>AND('4to. Bach_A'!Q27,"AAAAAH79XwM=")</f>
        <v>#VALUE!</v>
      </c>
      <c r="E11" t="e">
        <f>AND('4to. Bach_A'!R27,"AAAAAH79XwQ=")</f>
        <v>#VALUE!</v>
      </c>
      <c r="F11" t="e">
        <f>AND('4to. Bach_A'!S27,"AAAAAH79XwU=")</f>
        <v>#VALUE!</v>
      </c>
      <c r="G11" t="e">
        <f>AND('4to. Bach_A'!T27,"AAAAAH79XwY=")</f>
        <v>#VALUE!</v>
      </c>
      <c r="H11" t="e">
        <f>AND('4to. Bach_A'!#REF!,"AAAAAH79Xwc=")</f>
        <v>#REF!</v>
      </c>
      <c r="I11" t="e">
        <f>AND('4to. Bach_A'!#REF!,"AAAAAH79Xwg=")</f>
        <v>#REF!</v>
      </c>
      <c r="J11" t="e">
        <f>AND('4to. Bach_A'!#REF!,"AAAAAH79Xwk=")</f>
        <v>#REF!</v>
      </c>
      <c r="K11" t="e">
        <f>AND('4to. Bach_A'!#REF!,"AAAAAH79Xwo=")</f>
        <v>#REF!</v>
      </c>
      <c r="L11" t="e">
        <f>AND('4to. Bach_A'!#REF!,"AAAAAH79Xws=")</f>
        <v>#REF!</v>
      </c>
      <c r="M11">
        <f>IF('4to. Bach_A'!28:28,"AAAAAH79Xww=",0)</f>
        <v>0</v>
      </c>
      <c r="N11" t="e">
        <f>AND('4to. Bach_A'!A28,"AAAAAH79Xw0=")</f>
        <v>#VALUE!</v>
      </c>
      <c r="O11" t="e">
        <f>AND('4to. Bach_A'!B28,"AAAAAH79Xw4=")</f>
        <v>#VALUE!</v>
      </c>
      <c r="P11" t="e">
        <f>AND('4to. Bach_A'!C28,"AAAAAH79Xw8=")</f>
        <v>#VALUE!</v>
      </c>
      <c r="Q11" t="e">
        <f>AND('4to. Bach_A'!D28,"AAAAAH79XxA=")</f>
        <v>#VALUE!</v>
      </c>
      <c r="R11" t="e">
        <f>AND('4to. Bach_A'!E28,"AAAAAH79XxE=")</f>
        <v>#VALUE!</v>
      </c>
      <c r="S11" t="e">
        <f>AND('4to. Bach_A'!F28,"AAAAAH79XxI=")</f>
        <v>#VALUE!</v>
      </c>
      <c r="T11" t="e">
        <f>AND('4to. Bach_A'!G28,"AAAAAH79XxM=")</f>
        <v>#VALUE!</v>
      </c>
      <c r="U11" t="e">
        <f>AND('4to. Bach_A'!H28,"AAAAAH79XxQ=")</f>
        <v>#VALUE!</v>
      </c>
      <c r="V11" t="e">
        <f>AND('4to. Bach_A'!I28,"AAAAAH79XxU=")</f>
        <v>#VALUE!</v>
      </c>
      <c r="W11" t="e">
        <f>AND('4to. Bach_A'!J28,"AAAAAH79XxY=")</f>
        <v>#VALUE!</v>
      </c>
      <c r="X11" t="e">
        <f>AND('4to. Bach_A'!K28,"AAAAAH79Xxc=")</f>
        <v>#VALUE!</v>
      </c>
      <c r="Y11" t="e">
        <f>AND('4to. Bach_A'!L28,"AAAAAH79Xxg=")</f>
        <v>#VALUE!</v>
      </c>
      <c r="Z11" t="e">
        <f>AND('4to. Bach_A'!M28,"AAAAAH79Xxk=")</f>
        <v>#VALUE!</v>
      </c>
      <c r="AA11" t="e">
        <f>AND('4to. Bach_A'!N28,"AAAAAH79Xxo=")</f>
        <v>#VALUE!</v>
      </c>
      <c r="AB11" t="e">
        <f>AND('4to. Bach_A'!O28,"AAAAAH79Xxs=")</f>
        <v>#VALUE!</v>
      </c>
      <c r="AC11" t="e">
        <f>AND('4to. Bach_A'!P28,"AAAAAH79Xxw=")</f>
        <v>#VALUE!</v>
      </c>
      <c r="AD11" t="e">
        <f>AND('4to. Bach_A'!Q28,"AAAAAH79Xx0=")</f>
        <v>#VALUE!</v>
      </c>
      <c r="AE11" t="e">
        <f>AND('4to. Bach_A'!R28,"AAAAAH79Xx4=")</f>
        <v>#VALUE!</v>
      </c>
      <c r="AF11" t="e">
        <f>AND('4to. Bach_A'!S28,"AAAAAH79Xx8=")</f>
        <v>#VALUE!</v>
      </c>
      <c r="AG11" t="e">
        <f>AND('4to. Bach_A'!T28,"AAAAAH79XyA=")</f>
        <v>#VALUE!</v>
      </c>
      <c r="AH11" t="e">
        <f>AND('4to. Bach_A'!#REF!,"AAAAAH79XyE=")</f>
        <v>#REF!</v>
      </c>
      <c r="AI11" t="e">
        <f>AND('4to. Bach_A'!#REF!,"AAAAAH79XyI=")</f>
        <v>#REF!</v>
      </c>
      <c r="AJ11" t="e">
        <f>AND('4to. Bach_A'!#REF!,"AAAAAH79XyM=")</f>
        <v>#REF!</v>
      </c>
      <c r="AK11" t="e">
        <f>AND('4to. Bach_A'!#REF!,"AAAAAH79XyQ=")</f>
        <v>#REF!</v>
      </c>
      <c r="AL11" t="e">
        <f>AND('4to. Bach_A'!#REF!,"AAAAAH79XyU=")</f>
        <v>#REF!</v>
      </c>
      <c r="AM11">
        <f>IF('4to. Bach_A'!29:29,"AAAAAH79XyY=",0)</f>
        <v>0</v>
      </c>
      <c r="AN11" t="e">
        <f>AND('4to. Bach_A'!A29,"AAAAAH79Xyc=")</f>
        <v>#VALUE!</v>
      </c>
      <c r="AO11" t="e">
        <f>AND('4to. Bach_A'!B29,"AAAAAH79Xyg=")</f>
        <v>#VALUE!</v>
      </c>
      <c r="AP11" t="e">
        <f>AND('4to. Bach_A'!C29,"AAAAAH79Xyk=")</f>
        <v>#VALUE!</v>
      </c>
      <c r="AQ11" t="e">
        <f>AND('4to. Bach_A'!D29,"AAAAAH79Xyo=")</f>
        <v>#VALUE!</v>
      </c>
      <c r="AR11" t="e">
        <f>AND('4to. Bach_A'!E29,"AAAAAH79Xys=")</f>
        <v>#VALUE!</v>
      </c>
      <c r="AS11" t="e">
        <f>AND('4to. Bach_A'!F29,"AAAAAH79Xyw=")</f>
        <v>#VALUE!</v>
      </c>
      <c r="AT11" t="e">
        <f>AND('4to. Bach_A'!G29,"AAAAAH79Xy0=")</f>
        <v>#VALUE!</v>
      </c>
      <c r="AU11" t="e">
        <f>AND('4to. Bach_A'!H29,"AAAAAH79Xy4=")</f>
        <v>#VALUE!</v>
      </c>
      <c r="AV11" t="e">
        <f>AND('4to. Bach_A'!I29,"AAAAAH79Xy8=")</f>
        <v>#VALUE!</v>
      </c>
      <c r="AW11" t="e">
        <f>AND('4to. Bach_A'!J29,"AAAAAH79XzA=")</f>
        <v>#VALUE!</v>
      </c>
      <c r="AX11" t="e">
        <f>AND('4to. Bach_A'!K29,"AAAAAH79XzE=")</f>
        <v>#VALUE!</v>
      </c>
      <c r="AY11" t="e">
        <f>AND('4to. Bach_A'!L29,"AAAAAH79XzI=")</f>
        <v>#VALUE!</v>
      </c>
      <c r="AZ11" t="e">
        <f>AND('4to. Bach_A'!M29,"AAAAAH79XzM=")</f>
        <v>#VALUE!</v>
      </c>
      <c r="BA11" t="e">
        <f>AND('4to. Bach_A'!N29,"AAAAAH79XzQ=")</f>
        <v>#VALUE!</v>
      </c>
      <c r="BB11" t="e">
        <f>AND('4to. Bach_A'!O29,"AAAAAH79XzU=")</f>
        <v>#VALUE!</v>
      </c>
      <c r="BC11" t="e">
        <f>AND('4to. Bach_A'!P29,"AAAAAH79XzY=")</f>
        <v>#VALUE!</v>
      </c>
      <c r="BD11" t="e">
        <f>AND('4to. Bach_A'!Q29,"AAAAAH79Xzc=")</f>
        <v>#VALUE!</v>
      </c>
      <c r="BE11" t="e">
        <f>AND('4to. Bach_A'!R29,"AAAAAH79Xzg=")</f>
        <v>#VALUE!</v>
      </c>
      <c r="BF11" t="e">
        <f>AND('4to. Bach_A'!S29,"AAAAAH79Xzk=")</f>
        <v>#VALUE!</v>
      </c>
      <c r="BG11" t="e">
        <f>AND('4to. Bach_A'!T29,"AAAAAH79Xzo=")</f>
        <v>#VALUE!</v>
      </c>
      <c r="BH11" t="e">
        <f>AND('4to. Bach_A'!#REF!,"AAAAAH79Xzs=")</f>
        <v>#REF!</v>
      </c>
      <c r="BI11" t="e">
        <f>AND('4to. Bach_A'!#REF!,"AAAAAH79Xzw=")</f>
        <v>#REF!</v>
      </c>
      <c r="BJ11" t="e">
        <f>AND('4to. Bach_A'!#REF!,"AAAAAH79Xz0=")</f>
        <v>#REF!</v>
      </c>
      <c r="BK11" t="e">
        <f>AND('4to. Bach_A'!#REF!,"AAAAAH79Xz4=")</f>
        <v>#REF!</v>
      </c>
      <c r="BL11" t="e">
        <f>AND('4to. Bach_A'!#REF!,"AAAAAH79Xz8=")</f>
        <v>#REF!</v>
      </c>
      <c r="BM11">
        <f>IF('4to. Bach_A'!30:30,"AAAAAH79X0A=",0)</f>
        <v>0</v>
      </c>
      <c r="BN11" t="e">
        <f>AND('4to. Bach_A'!A30,"AAAAAH79X0E=")</f>
        <v>#VALUE!</v>
      </c>
      <c r="BO11" t="e">
        <f>AND('4to. Bach_A'!B30,"AAAAAH79X0I=")</f>
        <v>#VALUE!</v>
      </c>
      <c r="BP11" t="e">
        <f>AND('4to. Bach_A'!C30,"AAAAAH79X0M=")</f>
        <v>#VALUE!</v>
      </c>
      <c r="BQ11" t="e">
        <f>AND('4to. Bach_A'!D30,"AAAAAH79X0Q=")</f>
        <v>#VALUE!</v>
      </c>
      <c r="BR11" t="e">
        <f>AND('4to. Bach_A'!E30,"AAAAAH79X0U=")</f>
        <v>#VALUE!</v>
      </c>
      <c r="BS11" t="e">
        <f>AND('4to. Bach_A'!F30,"AAAAAH79X0Y=")</f>
        <v>#VALUE!</v>
      </c>
      <c r="BT11" t="e">
        <f>AND('4to. Bach_A'!G30,"AAAAAH79X0c=")</f>
        <v>#VALUE!</v>
      </c>
      <c r="BU11" t="e">
        <f>AND('4to. Bach_A'!H30,"AAAAAH79X0g=")</f>
        <v>#VALUE!</v>
      </c>
      <c r="BV11" t="e">
        <f>AND('4to. Bach_A'!I30,"AAAAAH79X0k=")</f>
        <v>#VALUE!</v>
      </c>
      <c r="BW11" t="e">
        <f>AND('4to. Bach_A'!J30,"AAAAAH79X0o=")</f>
        <v>#VALUE!</v>
      </c>
      <c r="BX11" t="e">
        <f>AND('4to. Bach_A'!K30,"AAAAAH79X0s=")</f>
        <v>#VALUE!</v>
      </c>
      <c r="BY11" t="e">
        <f>AND('4to. Bach_A'!L30,"AAAAAH79X0w=")</f>
        <v>#VALUE!</v>
      </c>
      <c r="BZ11" t="e">
        <f>AND('4to. Bach_A'!M30,"AAAAAH79X00=")</f>
        <v>#VALUE!</v>
      </c>
      <c r="CA11" t="e">
        <f>AND('4to. Bach_A'!N30,"AAAAAH79X04=")</f>
        <v>#VALUE!</v>
      </c>
      <c r="CB11" t="e">
        <f>AND('4to. Bach_A'!O30,"AAAAAH79X08=")</f>
        <v>#VALUE!</v>
      </c>
      <c r="CC11" t="e">
        <f>AND('4to. Bach_A'!P30,"AAAAAH79X1A=")</f>
        <v>#VALUE!</v>
      </c>
      <c r="CD11" t="e">
        <f>AND('4to. Bach_A'!Q30,"AAAAAH79X1E=")</f>
        <v>#VALUE!</v>
      </c>
      <c r="CE11" t="e">
        <f>AND('4to. Bach_A'!R30,"AAAAAH79X1I=")</f>
        <v>#VALUE!</v>
      </c>
      <c r="CF11" t="e">
        <f>AND('4to. Bach_A'!S30,"AAAAAH79X1M=")</f>
        <v>#VALUE!</v>
      </c>
      <c r="CG11" t="e">
        <f>AND('4to. Bach_A'!T30,"AAAAAH79X1Q=")</f>
        <v>#VALUE!</v>
      </c>
      <c r="CH11" t="e">
        <f>AND('4to. Bach_A'!#REF!,"AAAAAH79X1U=")</f>
        <v>#REF!</v>
      </c>
      <c r="CI11" t="e">
        <f>AND('4to. Bach_A'!#REF!,"AAAAAH79X1Y=")</f>
        <v>#REF!</v>
      </c>
      <c r="CJ11" t="e">
        <f>AND('4to. Bach_A'!#REF!,"AAAAAH79X1c=")</f>
        <v>#REF!</v>
      </c>
      <c r="CK11" t="e">
        <f>AND('4to. Bach_A'!#REF!,"AAAAAH79X1g=")</f>
        <v>#REF!</v>
      </c>
      <c r="CL11" t="e">
        <f>AND('4to. Bach_A'!#REF!,"AAAAAH79X1k=")</f>
        <v>#REF!</v>
      </c>
      <c r="CM11">
        <f>IF('4to. Bach_A'!31:31,"AAAAAH79X1o=",0)</f>
        <v>0</v>
      </c>
      <c r="CN11" t="e">
        <f>AND('4to. Bach_A'!A31,"AAAAAH79X1s=")</f>
        <v>#VALUE!</v>
      </c>
      <c r="CO11" t="e">
        <f>AND('4to. Bach_A'!B31,"AAAAAH79X1w=")</f>
        <v>#VALUE!</v>
      </c>
      <c r="CP11" t="e">
        <f>AND('4to. Bach_A'!C31,"AAAAAH79X10=")</f>
        <v>#VALUE!</v>
      </c>
      <c r="CQ11" t="e">
        <f>AND('4to. Bach_A'!D31,"AAAAAH79X14=")</f>
        <v>#VALUE!</v>
      </c>
      <c r="CR11" t="e">
        <f>AND('4to. Bach_A'!E31,"AAAAAH79X18=")</f>
        <v>#VALUE!</v>
      </c>
      <c r="CS11" t="e">
        <f>AND('4to. Bach_A'!F31,"AAAAAH79X2A=")</f>
        <v>#VALUE!</v>
      </c>
      <c r="CT11" t="e">
        <f>AND('4to. Bach_A'!G31,"AAAAAH79X2E=")</f>
        <v>#VALUE!</v>
      </c>
      <c r="CU11" t="e">
        <f>AND('4to. Bach_A'!H31,"AAAAAH79X2I=")</f>
        <v>#VALUE!</v>
      </c>
      <c r="CV11" t="e">
        <f>AND('4to. Bach_A'!I31,"AAAAAH79X2M=")</f>
        <v>#VALUE!</v>
      </c>
      <c r="CW11" t="e">
        <f>AND('4to. Bach_A'!J31,"AAAAAH79X2Q=")</f>
        <v>#VALUE!</v>
      </c>
      <c r="CX11" t="e">
        <f>AND('4to. Bach_A'!K31,"AAAAAH79X2U=")</f>
        <v>#VALUE!</v>
      </c>
      <c r="CY11" t="e">
        <f>AND('4to. Bach_A'!L31,"AAAAAH79X2Y=")</f>
        <v>#VALUE!</v>
      </c>
      <c r="CZ11" t="e">
        <f>AND('4to. Bach_A'!M31,"AAAAAH79X2c=")</f>
        <v>#VALUE!</v>
      </c>
      <c r="DA11" t="e">
        <f>AND('4to. Bach_A'!N31,"AAAAAH79X2g=")</f>
        <v>#VALUE!</v>
      </c>
      <c r="DB11" t="e">
        <f>AND('4to. Bach_A'!O31,"AAAAAH79X2k=")</f>
        <v>#VALUE!</v>
      </c>
      <c r="DC11" t="e">
        <f>AND('4to. Bach_A'!P31,"AAAAAH79X2o=")</f>
        <v>#VALUE!</v>
      </c>
      <c r="DD11" t="e">
        <f>AND('4to. Bach_A'!Q31,"AAAAAH79X2s=")</f>
        <v>#VALUE!</v>
      </c>
      <c r="DE11" t="e">
        <f>AND('4to. Bach_A'!R31,"AAAAAH79X2w=")</f>
        <v>#VALUE!</v>
      </c>
      <c r="DF11" t="e">
        <f>AND('4to. Bach_A'!S31,"AAAAAH79X20=")</f>
        <v>#VALUE!</v>
      </c>
      <c r="DG11" t="e">
        <f>AND('4to. Bach_A'!T31,"AAAAAH79X24=")</f>
        <v>#VALUE!</v>
      </c>
      <c r="DH11" t="e">
        <f>AND('4to. Bach_A'!#REF!,"AAAAAH79X28=")</f>
        <v>#REF!</v>
      </c>
      <c r="DI11" t="e">
        <f>AND('4to. Bach_A'!#REF!,"AAAAAH79X3A=")</f>
        <v>#REF!</v>
      </c>
      <c r="DJ11" t="e">
        <f>AND('4to. Bach_A'!#REF!,"AAAAAH79X3E=")</f>
        <v>#REF!</v>
      </c>
      <c r="DK11" t="e">
        <f>AND('4to. Bach_A'!#REF!,"AAAAAH79X3I=")</f>
        <v>#REF!</v>
      </c>
      <c r="DL11" t="e">
        <f>AND('4to. Bach_A'!#REF!,"AAAAAH79X3M=")</f>
        <v>#REF!</v>
      </c>
      <c r="DM11">
        <f>IF('4to. Bach_A'!32:32,"AAAAAH79X3Q=",0)</f>
        <v>0</v>
      </c>
      <c r="DN11" t="e">
        <f>AND('4to. Bach_A'!A32,"AAAAAH79X3U=")</f>
        <v>#VALUE!</v>
      </c>
      <c r="DO11" t="e">
        <f>AND('4to. Bach_A'!B32,"AAAAAH79X3Y=")</f>
        <v>#VALUE!</v>
      </c>
      <c r="DP11" t="e">
        <f>AND('4to. Bach_A'!C32,"AAAAAH79X3c=")</f>
        <v>#VALUE!</v>
      </c>
      <c r="DQ11" t="e">
        <f>AND('4to. Bach_A'!D32,"AAAAAH79X3g=")</f>
        <v>#VALUE!</v>
      </c>
      <c r="DR11" t="e">
        <f>AND('4to. Bach_A'!E32,"AAAAAH79X3k=")</f>
        <v>#VALUE!</v>
      </c>
      <c r="DS11" t="e">
        <f>AND('4to. Bach_A'!F32,"AAAAAH79X3o=")</f>
        <v>#VALUE!</v>
      </c>
      <c r="DT11" t="e">
        <f>AND('4to. Bach_A'!G32,"AAAAAH79X3s=")</f>
        <v>#VALUE!</v>
      </c>
      <c r="DU11" t="e">
        <f>AND('4to. Bach_A'!H32,"AAAAAH79X3w=")</f>
        <v>#VALUE!</v>
      </c>
      <c r="DV11" t="e">
        <f>AND('4to. Bach_A'!I32,"AAAAAH79X30=")</f>
        <v>#VALUE!</v>
      </c>
      <c r="DW11" t="e">
        <f>AND('4to. Bach_A'!J32,"AAAAAH79X34=")</f>
        <v>#VALUE!</v>
      </c>
      <c r="DX11" t="e">
        <f>AND('4to. Bach_A'!K32,"AAAAAH79X38=")</f>
        <v>#VALUE!</v>
      </c>
      <c r="DY11" t="e">
        <f>AND('4to. Bach_A'!L32,"AAAAAH79X4A=")</f>
        <v>#VALUE!</v>
      </c>
      <c r="DZ11" t="e">
        <f>AND('4to. Bach_A'!M32,"AAAAAH79X4E=")</f>
        <v>#VALUE!</v>
      </c>
      <c r="EA11" t="e">
        <f>AND('4to. Bach_A'!N32,"AAAAAH79X4I=")</f>
        <v>#VALUE!</v>
      </c>
      <c r="EB11" t="e">
        <f>AND('4to. Bach_A'!O32,"AAAAAH79X4M=")</f>
        <v>#VALUE!</v>
      </c>
      <c r="EC11" t="e">
        <f>AND('4to. Bach_A'!P32,"AAAAAH79X4Q=")</f>
        <v>#VALUE!</v>
      </c>
      <c r="ED11" t="e">
        <f>AND('4to. Bach_A'!Q32,"AAAAAH79X4U=")</f>
        <v>#VALUE!</v>
      </c>
      <c r="EE11" t="e">
        <f>AND('4to. Bach_A'!R32,"AAAAAH79X4Y=")</f>
        <v>#VALUE!</v>
      </c>
      <c r="EF11" t="e">
        <f>AND('4to. Bach_A'!S32,"AAAAAH79X4c=")</f>
        <v>#VALUE!</v>
      </c>
      <c r="EG11" t="e">
        <f>AND('4to. Bach_A'!T32,"AAAAAH79X4g=")</f>
        <v>#VALUE!</v>
      </c>
      <c r="EH11" t="e">
        <f>AND('4to. Bach_A'!#REF!,"AAAAAH79X4k=")</f>
        <v>#REF!</v>
      </c>
      <c r="EI11" t="e">
        <f>AND('4to. Bach_A'!#REF!,"AAAAAH79X4o=")</f>
        <v>#REF!</v>
      </c>
      <c r="EJ11" t="e">
        <f>AND('4to. Bach_A'!#REF!,"AAAAAH79X4s=")</f>
        <v>#REF!</v>
      </c>
      <c r="EK11" t="e">
        <f>AND('4to. Bach_A'!#REF!,"AAAAAH79X4w=")</f>
        <v>#REF!</v>
      </c>
      <c r="EL11" t="e">
        <f>AND('4to. Bach_A'!#REF!,"AAAAAH79X40=")</f>
        <v>#REF!</v>
      </c>
      <c r="EM11">
        <f>IF('4to. Bach_A'!33:33,"AAAAAH79X44=",0)</f>
        <v>0</v>
      </c>
      <c r="EN11" t="e">
        <f>AND('4to. Bach_A'!A33,"AAAAAH79X48=")</f>
        <v>#VALUE!</v>
      </c>
      <c r="EO11" t="e">
        <f>AND('4to. Bach_A'!B33,"AAAAAH79X5A=")</f>
        <v>#VALUE!</v>
      </c>
      <c r="EP11" t="e">
        <f>AND('4to. Bach_A'!C33,"AAAAAH79X5E=")</f>
        <v>#VALUE!</v>
      </c>
      <c r="EQ11" t="e">
        <f>AND('4to. Bach_A'!D33,"AAAAAH79X5I=")</f>
        <v>#VALUE!</v>
      </c>
      <c r="ER11" t="e">
        <f>AND('4to. Bach_A'!E33,"AAAAAH79X5M=")</f>
        <v>#VALUE!</v>
      </c>
      <c r="ES11" t="e">
        <f>AND('4to. Bach_A'!F33,"AAAAAH79X5Q=")</f>
        <v>#VALUE!</v>
      </c>
      <c r="ET11" t="e">
        <f>AND('4to. Bach_A'!G33,"AAAAAH79X5U=")</f>
        <v>#VALUE!</v>
      </c>
      <c r="EU11" t="e">
        <f>AND('4to. Bach_A'!H33,"AAAAAH79X5Y=")</f>
        <v>#VALUE!</v>
      </c>
      <c r="EV11" t="e">
        <f>AND('4to. Bach_A'!I33,"AAAAAH79X5c=")</f>
        <v>#VALUE!</v>
      </c>
      <c r="EW11" t="e">
        <f>AND('4to. Bach_A'!J33,"AAAAAH79X5g=")</f>
        <v>#VALUE!</v>
      </c>
      <c r="EX11" t="e">
        <f>AND('4to. Bach_A'!K33,"AAAAAH79X5k=")</f>
        <v>#VALUE!</v>
      </c>
      <c r="EY11" t="e">
        <f>AND('4to. Bach_A'!L33,"AAAAAH79X5o=")</f>
        <v>#VALUE!</v>
      </c>
      <c r="EZ11" t="e">
        <f>AND('4to. Bach_A'!M33,"AAAAAH79X5s=")</f>
        <v>#VALUE!</v>
      </c>
      <c r="FA11" t="e">
        <f>AND('4to. Bach_A'!N33,"AAAAAH79X5w=")</f>
        <v>#VALUE!</v>
      </c>
      <c r="FB11" t="e">
        <f>AND('4to. Bach_A'!O33,"AAAAAH79X50=")</f>
        <v>#VALUE!</v>
      </c>
      <c r="FC11" t="e">
        <f>AND('4to. Bach_A'!P33,"AAAAAH79X54=")</f>
        <v>#VALUE!</v>
      </c>
      <c r="FD11" t="e">
        <f>AND('4to. Bach_A'!Q33,"AAAAAH79X58=")</f>
        <v>#VALUE!</v>
      </c>
      <c r="FE11" t="e">
        <f>AND('4to. Bach_A'!R33,"AAAAAH79X6A=")</f>
        <v>#VALUE!</v>
      </c>
      <c r="FF11" t="e">
        <f>AND('4to. Bach_A'!S33,"AAAAAH79X6E=")</f>
        <v>#VALUE!</v>
      </c>
      <c r="FG11" t="e">
        <f>AND('4to. Bach_A'!T33,"AAAAAH79X6I=")</f>
        <v>#VALUE!</v>
      </c>
      <c r="FH11" t="e">
        <f>AND('4to. Bach_A'!#REF!,"AAAAAH79X6M=")</f>
        <v>#REF!</v>
      </c>
      <c r="FI11" t="e">
        <f>AND('4to. Bach_A'!#REF!,"AAAAAH79X6Q=")</f>
        <v>#REF!</v>
      </c>
      <c r="FJ11" t="e">
        <f>AND('4to. Bach_A'!#REF!,"AAAAAH79X6U=")</f>
        <v>#REF!</v>
      </c>
      <c r="FK11" t="e">
        <f>AND('4to. Bach_A'!#REF!,"AAAAAH79X6Y=")</f>
        <v>#REF!</v>
      </c>
      <c r="FL11" t="e">
        <f>AND('4to. Bach_A'!#REF!,"AAAAAH79X6c=")</f>
        <v>#REF!</v>
      </c>
      <c r="FM11">
        <f>IF('4to. Bach_A'!34:34,"AAAAAH79X6g=",0)</f>
        <v>0</v>
      </c>
      <c r="FN11" t="e">
        <f>AND('4to. Bach_A'!A34,"AAAAAH79X6k=")</f>
        <v>#VALUE!</v>
      </c>
      <c r="FO11" t="e">
        <f>AND('4to. Bach_A'!B34,"AAAAAH79X6o=")</f>
        <v>#VALUE!</v>
      </c>
      <c r="FP11" t="e">
        <f>AND('4to. Bach_A'!C34,"AAAAAH79X6s=")</f>
        <v>#VALUE!</v>
      </c>
      <c r="FQ11" t="e">
        <f>AND('4to. Bach_A'!D34,"AAAAAH79X6w=")</f>
        <v>#VALUE!</v>
      </c>
      <c r="FR11" t="e">
        <f>AND('4to. Bach_A'!E34,"AAAAAH79X60=")</f>
        <v>#VALUE!</v>
      </c>
      <c r="FS11" t="e">
        <f>AND('4to. Bach_A'!F34,"AAAAAH79X64=")</f>
        <v>#VALUE!</v>
      </c>
      <c r="FT11" t="e">
        <f>AND('4to. Bach_A'!G34,"AAAAAH79X68=")</f>
        <v>#VALUE!</v>
      </c>
      <c r="FU11" t="e">
        <f>AND('4to. Bach_A'!H34,"AAAAAH79X7A=")</f>
        <v>#VALUE!</v>
      </c>
      <c r="FV11" t="e">
        <f>AND('4to. Bach_A'!I34,"AAAAAH79X7E=")</f>
        <v>#VALUE!</v>
      </c>
      <c r="FW11" t="e">
        <f>AND('4to. Bach_A'!J34,"AAAAAH79X7I=")</f>
        <v>#VALUE!</v>
      </c>
      <c r="FX11" t="e">
        <f>AND('4to. Bach_A'!K34,"AAAAAH79X7M=")</f>
        <v>#VALUE!</v>
      </c>
      <c r="FY11" t="e">
        <f>AND('4to. Bach_A'!L34,"AAAAAH79X7Q=")</f>
        <v>#VALUE!</v>
      </c>
      <c r="FZ11" t="e">
        <f>AND('4to. Bach_A'!M34,"AAAAAH79X7U=")</f>
        <v>#VALUE!</v>
      </c>
      <c r="GA11" t="e">
        <f>AND('4to. Bach_A'!N34,"AAAAAH79X7Y=")</f>
        <v>#VALUE!</v>
      </c>
      <c r="GB11" t="e">
        <f>AND('4to. Bach_A'!O34,"AAAAAH79X7c=")</f>
        <v>#VALUE!</v>
      </c>
      <c r="GC11" t="e">
        <f>AND('4to. Bach_A'!P34,"AAAAAH79X7g=")</f>
        <v>#VALUE!</v>
      </c>
      <c r="GD11" t="e">
        <f>AND('4to. Bach_A'!Q34,"AAAAAH79X7k=")</f>
        <v>#VALUE!</v>
      </c>
      <c r="GE11" t="e">
        <f>AND('4to. Bach_A'!R34,"AAAAAH79X7o=")</f>
        <v>#VALUE!</v>
      </c>
      <c r="GF11" t="e">
        <f>AND('4to. Bach_A'!S34,"AAAAAH79X7s=")</f>
        <v>#VALUE!</v>
      </c>
      <c r="GG11" t="e">
        <f>AND('4to. Bach_A'!T34,"AAAAAH79X7w=")</f>
        <v>#VALUE!</v>
      </c>
      <c r="GH11" t="e">
        <f>AND('4to. Bach_A'!#REF!,"AAAAAH79X70=")</f>
        <v>#REF!</v>
      </c>
      <c r="GI11" t="e">
        <f>AND('4to. Bach_A'!#REF!,"AAAAAH79X74=")</f>
        <v>#REF!</v>
      </c>
      <c r="GJ11" t="e">
        <f>AND('4to. Bach_A'!#REF!,"AAAAAH79X78=")</f>
        <v>#REF!</v>
      </c>
      <c r="GK11" t="e">
        <f>AND('4to. Bach_A'!#REF!,"AAAAAH79X8A=")</f>
        <v>#REF!</v>
      </c>
      <c r="GL11" t="e">
        <f>AND('4to. Bach_A'!#REF!,"AAAAAH79X8E=")</f>
        <v>#REF!</v>
      </c>
      <c r="GM11">
        <f>IF('4to. Bach_A'!35:35,"AAAAAH79X8I=",0)</f>
        <v>0</v>
      </c>
      <c r="GN11" t="e">
        <f>AND('4to. Bach_A'!A35,"AAAAAH79X8M=")</f>
        <v>#VALUE!</v>
      </c>
      <c r="GO11" t="e">
        <f>AND('4to. Bach_A'!B35,"AAAAAH79X8Q=")</f>
        <v>#VALUE!</v>
      </c>
      <c r="GP11" t="e">
        <f>AND('4to. Bach_A'!C35,"AAAAAH79X8U=")</f>
        <v>#VALUE!</v>
      </c>
      <c r="GQ11" t="e">
        <f>AND('4to. Bach_A'!D35,"AAAAAH79X8Y=")</f>
        <v>#VALUE!</v>
      </c>
      <c r="GR11" t="e">
        <f>AND('4to. Bach_A'!E35,"AAAAAH79X8c=")</f>
        <v>#VALUE!</v>
      </c>
      <c r="GS11" t="e">
        <f>AND('4to. Bach_A'!F35,"AAAAAH79X8g=")</f>
        <v>#VALUE!</v>
      </c>
      <c r="GT11" t="e">
        <f>AND('4to. Bach_A'!G35,"AAAAAH79X8k=")</f>
        <v>#VALUE!</v>
      </c>
      <c r="GU11" t="e">
        <f>AND('4to. Bach_A'!H35,"AAAAAH79X8o=")</f>
        <v>#VALUE!</v>
      </c>
      <c r="GV11" t="e">
        <f>AND('4to. Bach_A'!I35,"AAAAAH79X8s=")</f>
        <v>#VALUE!</v>
      </c>
      <c r="GW11" t="e">
        <f>AND('4to. Bach_A'!J35,"AAAAAH79X8w=")</f>
        <v>#VALUE!</v>
      </c>
      <c r="GX11" t="e">
        <f>AND('4to. Bach_A'!K35,"AAAAAH79X80=")</f>
        <v>#VALUE!</v>
      </c>
      <c r="GY11" t="e">
        <f>AND('4to. Bach_A'!L35,"AAAAAH79X84=")</f>
        <v>#VALUE!</v>
      </c>
      <c r="GZ11" t="e">
        <f>AND('4to. Bach_A'!M35,"AAAAAH79X88=")</f>
        <v>#VALUE!</v>
      </c>
      <c r="HA11" t="e">
        <f>AND('4to. Bach_A'!N35,"AAAAAH79X9A=")</f>
        <v>#VALUE!</v>
      </c>
      <c r="HB11" t="e">
        <f>AND('4to. Bach_A'!O35,"AAAAAH79X9E=")</f>
        <v>#VALUE!</v>
      </c>
      <c r="HC11" t="e">
        <f>AND('4to. Bach_A'!P35,"AAAAAH79X9I=")</f>
        <v>#VALUE!</v>
      </c>
      <c r="HD11" t="e">
        <f>AND('4to. Bach_A'!Q35,"AAAAAH79X9M=")</f>
        <v>#VALUE!</v>
      </c>
      <c r="HE11" t="e">
        <f>AND('4to. Bach_A'!R35,"AAAAAH79X9Q=")</f>
        <v>#VALUE!</v>
      </c>
      <c r="HF11" t="e">
        <f>AND('4to. Bach_A'!S35,"AAAAAH79X9U=")</f>
        <v>#VALUE!</v>
      </c>
      <c r="HG11" t="e">
        <f>AND('4to. Bach_A'!T35,"AAAAAH79X9Y=")</f>
        <v>#VALUE!</v>
      </c>
      <c r="HH11" t="e">
        <f>AND('4to. Bach_A'!#REF!,"AAAAAH79X9c=")</f>
        <v>#REF!</v>
      </c>
      <c r="HI11" t="e">
        <f>AND('4to. Bach_A'!#REF!,"AAAAAH79X9g=")</f>
        <v>#REF!</v>
      </c>
      <c r="HJ11" t="e">
        <f>AND('4to. Bach_A'!#REF!,"AAAAAH79X9k=")</f>
        <v>#REF!</v>
      </c>
      <c r="HK11" t="e">
        <f>AND('4to. Bach_A'!#REF!,"AAAAAH79X9o=")</f>
        <v>#REF!</v>
      </c>
      <c r="HL11" t="e">
        <f>AND('4to. Bach_A'!#REF!,"AAAAAH79X9s=")</f>
        <v>#REF!</v>
      </c>
      <c r="HM11">
        <f>IF('4to. Bach_A'!36:36,"AAAAAH79X9w=",0)</f>
        <v>0</v>
      </c>
      <c r="HN11" t="e">
        <f>AND('4to. Bach_A'!A36,"AAAAAH79X90=")</f>
        <v>#VALUE!</v>
      </c>
      <c r="HO11" t="e">
        <f>AND('4to. Bach_A'!B36,"AAAAAH79X94=")</f>
        <v>#VALUE!</v>
      </c>
      <c r="HP11" t="e">
        <f>AND('4to. Bach_A'!C36,"AAAAAH79X98=")</f>
        <v>#VALUE!</v>
      </c>
      <c r="HQ11" t="e">
        <f>AND('4to. Bach_A'!D36,"AAAAAH79X+A=")</f>
        <v>#VALUE!</v>
      </c>
      <c r="HR11" t="e">
        <f>AND('4to. Bach_A'!E36,"AAAAAH79X+E=")</f>
        <v>#VALUE!</v>
      </c>
      <c r="HS11" t="e">
        <f>AND('4to. Bach_A'!F36,"AAAAAH79X+I=")</f>
        <v>#VALUE!</v>
      </c>
      <c r="HT11" t="e">
        <f>AND('4to. Bach_A'!G36,"AAAAAH79X+M=")</f>
        <v>#VALUE!</v>
      </c>
      <c r="HU11" t="e">
        <f>AND('4to. Bach_A'!H36,"AAAAAH79X+Q=")</f>
        <v>#VALUE!</v>
      </c>
      <c r="HV11" t="e">
        <f>AND('4to. Bach_A'!I36,"AAAAAH79X+U=")</f>
        <v>#VALUE!</v>
      </c>
      <c r="HW11" t="e">
        <f>AND('4to. Bach_A'!J36,"AAAAAH79X+Y=")</f>
        <v>#VALUE!</v>
      </c>
      <c r="HX11" t="e">
        <f>AND('4to. Bach_A'!K36,"AAAAAH79X+c=")</f>
        <v>#VALUE!</v>
      </c>
      <c r="HY11" t="e">
        <f>AND('4to. Bach_A'!L36,"AAAAAH79X+g=")</f>
        <v>#VALUE!</v>
      </c>
      <c r="HZ11" t="e">
        <f>AND('4to. Bach_A'!M36,"AAAAAH79X+k=")</f>
        <v>#VALUE!</v>
      </c>
      <c r="IA11" t="e">
        <f>AND('4to. Bach_A'!N36,"AAAAAH79X+o=")</f>
        <v>#VALUE!</v>
      </c>
      <c r="IB11" t="e">
        <f>AND('4to. Bach_A'!O36,"AAAAAH79X+s=")</f>
        <v>#VALUE!</v>
      </c>
      <c r="IC11" t="e">
        <f>AND('4to. Bach_A'!P36,"AAAAAH79X+w=")</f>
        <v>#VALUE!</v>
      </c>
      <c r="ID11" t="e">
        <f>AND('4to. Bach_A'!Q36,"AAAAAH79X+0=")</f>
        <v>#VALUE!</v>
      </c>
      <c r="IE11" t="e">
        <f>AND('4to. Bach_A'!R36,"AAAAAH79X+4=")</f>
        <v>#VALUE!</v>
      </c>
      <c r="IF11" t="e">
        <f>AND('4to. Bach_A'!S36,"AAAAAH79X+8=")</f>
        <v>#VALUE!</v>
      </c>
      <c r="IG11" t="e">
        <f>AND('4to. Bach_A'!T36,"AAAAAH79X/A=")</f>
        <v>#VALUE!</v>
      </c>
      <c r="IH11" t="e">
        <f>AND('4to. Bach_A'!#REF!,"AAAAAH79X/E=")</f>
        <v>#REF!</v>
      </c>
      <c r="II11" t="e">
        <f>AND('4to. Bach_A'!#REF!,"AAAAAH79X/I=")</f>
        <v>#REF!</v>
      </c>
      <c r="IJ11" t="e">
        <f>AND('4to. Bach_A'!#REF!,"AAAAAH79X/M=")</f>
        <v>#REF!</v>
      </c>
      <c r="IK11" t="e">
        <f>AND('4to. Bach_A'!#REF!,"AAAAAH79X/Q=")</f>
        <v>#REF!</v>
      </c>
      <c r="IL11" t="e">
        <f>AND('4to. Bach_A'!#REF!,"AAAAAH79X/U=")</f>
        <v>#REF!</v>
      </c>
      <c r="IM11">
        <f>IF('4to. Bach_A'!37:37,"AAAAAH79X/Y=",0)</f>
        <v>0</v>
      </c>
      <c r="IN11" t="e">
        <f>AND('4to. Bach_A'!A37,"AAAAAH79X/c=")</f>
        <v>#VALUE!</v>
      </c>
      <c r="IO11" t="e">
        <f>AND('4to. Bach_A'!B37,"AAAAAH79X/g=")</f>
        <v>#VALUE!</v>
      </c>
      <c r="IP11" t="e">
        <f>AND('4to. Bach_A'!C37,"AAAAAH79X/k=")</f>
        <v>#VALUE!</v>
      </c>
      <c r="IQ11" t="e">
        <f>AND('4to. Bach_A'!D37,"AAAAAH79X/o=")</f>
        <v>#VALUE!</v>
      </c>
      <c r="IR11" t="e">
        <f>AND('4to. Bach_A'!E37,"AAAAAH79X/s=")</f>
        <v>#VALUE!</v>
      </c>
      <c r="IS11" t="e">
        <f>AND('4to. Bach_A'!F37,"AAAAAH79X/w=")</f>
        <v>#VALUE!</v>
      </c>
      <c r="IT11" t="e">
        <f>AND('4to. Bach_A'!G37,"AAAAAH79X/0=")</f>
        <v>#VALUE!</v>
      </c>
      <c r="IU11" t="e">
        <f>AND('4to. Bach_A'!H37,"AAAAAH79X/4=")</f>
        <v>#VALUE!</v>
      </c>
      <c r="IV11" t="e">
        <f>AND('4to. Bach_A'!I37,"AAAAAH79X/8=")</f>
        <v>#VALUE!</v>
      </c>
    </row>
    <row r="12" spans="1:256">
      <c r="A12" t="e">
        <f>AND('4to. Bach_A'!J37,"AAAAAB+XXwA=")</f>
        <v>#VALUE!</v>
      </c>
      <c r="B12" t="e">
        <f>AND('4to. Bach_A'!K37,"AAAAAB+XXwE=")</f>
        <v>#VALUE!</v>
      </c>
      <c r="C12" t="e">
        <f>AND('4to. Bach_A'!L37,"AAAAAB+XXwI=")</f>
        <v>#VALUE!</v>
      </c>
      <c r="D12" t="e">
        <f>AND('4to. Bach_A'!M37,"AAAAAB+XXwM=")</f>
        <v>#VALUE!</v>
      </c>
      <c r="E12" t="e">
        <f>AND('4to. Bach_A'!N37,"AAAAAB+XXwQ=")</f>
        <v>#VALUE!</v>
      </c>
      <c r="F12" t="e">
        <f>AND('4to. Bach_A'!O37,"AAAAAB+XXwU=")</f>
        <v>#VALUE!</v>
      </c>
      <c r="G12" t="e">
        <f>AND('4to. Bach_A'!P37,"AAAAAB+XXwY=")</f>
        <v>#VALUE!</v>
      </c>
      <c r="H12" t="e">
        <f>AND('4to. Bach_A'!Q37,"AAAAAB+XXwc=")</f>
        <v>#VALUE!</v>
      </c>
      <c r="I12" t="e">
        <f>AND('4to. Bach_A'!R37,"AAAAAB+XXwg=")</f>
        <v>#VALUE!</v>
      </c>
      <c r="J12" t="e">
        <f>AND('4to. Bach_A'!S37,"AAAAAB+XXwk=")</f>
        <v>#VALUE!</v>
      </c>
      <c r="K12" t="e">
        <f>AND('4to. Bach_A'!T37,"AAAAAB+XXwo=")</f>
        <v>#VALUE!</v>
      </c>
      <c r="L12" t="e">
        <f>AND('4to. Bach_A'!#REF!,"AAAAAB+XXws=")</f>
        <v>#REF!</v>
      </c>
      <c r="M12" t="e">
        <f>AND('4to. Bach_A'!#REF!,"AAAAAB+XXww=")</f>
        <v>#REF!</v>
      </c>
      <c r="N12" t="e">
        <f>AND('4to. Bach_A'!#REF!,"AAAAAB+XXw0=")</f>
        <v>#REF!</v>
      </c>
      <c r="O12" t="e">
        <f>AND('4to. Bach_A'!#REF!,"AAAAAB+XXw4=")</f>
        <v>#REF!</v>
      </c>
      <c r="P12" t="e">
        <f>AND('4to. Bach_A'!#REF!,"AAAAAB+XXw8=")</f>
        <v>#REF!</v>
      </c>
      <c r="Q12">
        <f>IF('4to. Bach_A'!38:38,"AAAAAB+XXxA=",0)</f>
        <v>0</v>
      </c>
      <c r="R12" t="e">
        <f>AND('4to. Bach_A'!A38,"AAAAAB+XXxE=")</f>
        <v>#VALUE!</v>
      </c>
      <c r="S12" t="e">
        <f>AND('4to. Bach_A'!B38,"AAAAAB+XXxI=")</f>
        <v>#VALUE!</v>
      </c>
      <c r="T12" t="e">
        <f>AND('4to. Bach_A'!C38,"AAAAAB+XXxM=")</f>
        <v>#VALUE!</v>
      </c>
      <c r="U12" t="e">
        <f>AND('4to. Bach_A'!D38,"AAAAAB+XXxQ=")</f>
        <v>#VALUE!</v>
      </c>
      <c r="V12" t="e">
        <f>AND('4to. Bach_A'!E38,"AAAAAB+XXxU=")</f>
        <v>#VALUE!</v>
      </c>
      <c r="W12" t="e">
        <f>AND('4to. Bach_A'!F38,"AAAAAB+XXxY=")</f>
        <v>#VALUE!</v>
      </c>
      <c r="X12" t="e">
        <f>AND('4to. Bach_A'!G38,"AAAAAB+XXxc=")</f>
        <v>#VALUE!</v>
      </c>
      <c r="Y12" t="e">
        <f>AND('4to. Bach_A'!H38,"AAAAAB+XXxg=")</f>
        <v>#VALUE!</v>
      </c>
      <c r="Z12" t="e">
        <f>AND('4to. Bach_A'!I38,"AAAAAB+XXxk=")</f>
        <v>#VALUE!</v>
      </c>
      <c r="AA12" t="e">
        <f>AND('4to. Bach_A'!J38,"AAAAAB+XXxo=")</f>
        <v>#VALUE!</v>
      </c>
      <c r="AB12" t="e">
        <f>AND('4to. Bach_A'!K38,"AAAAAB+XXxs=")</f>
        <v>#VALUE!</v>
      </c>
      <c r="AC12" t="e">
        <f>AND('4to. Bach_A'!L38,"AAAAAB+XXxw=")</f>
        <v>#VALUE!</v>
      </c>
      <c r="AD12" t="e">
        <f>AND('4to. Bach_A'!M38,"AAAAAB+XXx0=")</f>
        <v>#VALUE!</v>
      </c>
      <c r="AE12" t="e">
        <f>AND('4to. Bach_A'!N38,"AAAAAB+XXx4=")</f>
        <v>#VALUE!</v>
      </c>
      <c r="AF12" t="e">
        <f>AND('4to. Bach_A'!O38,"AAAAAB+XXx8=")</f>
        <v>#VALUE!</v>
      </c>
      <c r="AG12" t="e">
        <f>AND('4to. Bach_A'!P38,"AAAAAB+XXyA=")</f>
        <v>#VALUE!</v>
      </c>
      <c r="AH12" t="e">
        <f>AND('4to. Bach_A'!Q38,"AAAAAB+XXyE=")</f>
        <v>#VALUE!</v>
      </c>
      <c r="AI12" t="e">
        <f>AND('4to. Bach_A'!R38,"AAAAAB+XXyI=")</f>
        <v>#VALUE!</v>
      </c>
      <c r="AJ12" t="e">
        <f>AND('4to. Bach_A'!S38,"AAAAAB+XXyM=")</f>
        <v>#VALUE!</v>
      </c>
      <c r="AK12" t="e">
        <f>AND('4to. Bach_A'!T38,"AAAAAB+XXyQ=")</f>
        <v>#VALUE!</v>
      </c>
      <c r="AL12" t="e">
        <f>AND('4to. Bach_A'!#REF!,"AAAAAB+XXyU=")</f>
        <v>#REF!</v>
      </c>
      <c r="AM12" t="e">
        <f>AND('4to. Bach_A'!#REF!,"AAAAAB+XXyY=")</f>
        <v>#REF!</v>
      </c>
      <c r="AN12" t="e">
        <f>AND('4to. Bach_A'!#REF!,"AAAAAB+XXyc=")</f>
        <v>#REF!</v>
      </c>
      <c r="AO12" t="e">
        <f>AND('4to. Bach_A'!#REF!,"AAAAAB+XXyg=")</f>
        <v>#REF!</v>
      </c>
      <c r="AP12" t="e">
        <f>AND('4to. Bach_A'!#REF!,"AAAAAB+XXyk=")</f>
        <v>#REF!</v>
      </c>
      <c r="AQ12">
        <f>IF('4to. Bach_A'!39:39,"AAAAAB+XXyo=",0)</f>
        <v>0</v>
      </c>
      <c r="AR12" t="e">
        <f>AND('4to. Bach_A'!A39,"AAAAAB+XXys=")</f>
        <v>#VALUE!</v>
      </c>
      <c r="AS12" t="e">
        <f>AND('4to. Bach_A'!B39,"AAAAAB+XXyw=")</f>
        <v>#VALUE!</v>
      </c>
      <c r="AT12" t="e">
        <f>AND('4to. Bach_A'!C39,"AAAAAB+XXy0=")</f>
        <v>#VALUE!</v>
      </c>
      <c r="AU12" t="e">
        <f>AND('4to. Bach_A'!D39,"AAAAAB+XXy4=")</f>
        <v>#VALUE!</v>
      </c>
      <c r="AV12" t="e">
        <f>AND('4to. Bach_A'!E39,"AAAAAB+XXy8=")</f>
        <v>#VALUE!</v>
      </c>
      <c r="AW12" t="e">
        <f>AND('4to. Bach_A'!F39,"AAAAAB+XXzA=")</f>
        <v>#VALUE!</v>
      </c>
      <c r="AX12" t="e">
        <f>AND('4to. Bach_A'!G39,"AAAAAB+XXzE=")</f>
        <v>#VALUE!</v>
      </c>
      <c r="AY12" t="e">
        <f>AND('4to. Bach_A'!H39,"AAAAAB+XXzI=")</f>
        <v>#VALUE!</v>
      </c>
      <c r="AZ12" t="e">
        <f>AND('4to. Bach_A'!I39,"AAAAAB+XXzM=")</f>
        <v>#VALUE!</v>
      </c>
      <c r="BA12" t="e">
        <f>AND('4to. Bach_A'!J39,"AAAAAB+XXzQ=")</f>
        <v>#VALUE!</v>
      </c>
      <c r="BB12" t="e">
        <f>AND('4to. Bach_A'!K39,"AAAAAB+XXzU=")</f>
        <v>#VALUE!</v>
      </c>
      <c r="BC12" t="e">
        <f>AND('4to. Bach_A'!L39,"AAAAAB+XXzY=")</f>
        <v>#VALUE!</v>
      </c>
      <c r="BD12" t="e">
        <f>AND('4to. Bach_A'!M39,"AAAAAB+XXzc=")</f>
        <v>#VALUE!</v>
      </c>
      <c r="BE12" t="e">
        <f>AND('4to. Bach_A'!N39,"AAAAAB+XXzg=")</f>
        <v>#VALUE!</v>
      </c>
      <c r="BF12" t="e">
        <f>AND('4to. Bach_A'!O39,"AAAAAB+XXzk=")</f>
        <v>#VALUE!</v>
      </c>
      <c r="BG12" t="e">
        <f>AND('4to. Bach_A'!P39,"AAAAAB+XXzo=")</f>
        <v>#VALUE!</v>
      </c>
      <c r="BH12" t="e">
        <f>AND('4to. Bach_A'!Q39,"AAAAAB+XXzs=")</f>
        <v>#VALUE!</v>
      </c>
      <c r="BI12" t="e">
        <f>AND('4to. Bach_A'!R39,"AAAAAB+XXzw=")</f>
        <v>#VALUE!</v>
      </c>
      <c r="BJ12" t="e">
        <f>AND('4to. Bach_A'!S39,"AAAAAB+XXz0=")</f>
        <v>#VALUE!</v>
      </c>
      <c r="BK12" t="e">
        <f>AND('4to. Bach_A'!T39,"AAAAAB+XXz4=")</f>
        <v>#VALUE!</v>
      </c>
      <c r="BL12" t="e">
        <f>AND('4to. Bach_A'!#REF!,"AAAAAB+XXz8=")</f>
        <v>#REF!</v>
      </c>
      <c r="BM12" t="e">
        <f>AND('4to. Bach_A'!#REF!,"AAAAAB+XX0A=")</f>
        <v>#REF!</v>
      </c>
      <c r="BN12" t="e">
        <f>AND('4to. Bach_A'!#REF!,"AAAAAB+XX0E=")</f>
        <v>#REF!</v>
      </c>
      <c r="BO12" t="e">
        <f>AND('4to. Bach_A'!#REF!,"AAAAAB+XX0I=")</f>
        <v>#REF!</v>
      </c>
      <c r="BP12" t="e">
        <f>AND('4to. Bach_A'!#REF!,"AAAAAB+XX0M=")</f>
        <v>#REF!</v>
      </c>
      <c r="BQ12">
        <f>IF('4to. Bach_A'!40:40,"AAAAAB+XX0Q=",0)</f>
        <v>0</v>
      </c>
      <c r="BR12" t="e">
        <f>AND('4to. Bach_A'!A40,"AAAAAB+XX0U=")</f>
        <v>#VALUE!</v>
      </c>
      <c r="BS12" t="e">
        <f>AND('4to. Bach_A'!B40,"AAAAAB+XX0Y=")</f>
        <v>#VALUE!</v>
      </c>
      <c r="BT12" t="e">
        <f>AND('4to. Bach_A'!C40,"AAAAAB+XX0c=")</f>
        <v>#VALUE!</v>
      </c>
      <c r="BU12" t="e">
        <f>AND('4to. Bach_A'!D40,"AAAAAB+XX0g=")</f>
        <v>#VALUE!</v>
      </c>
      <c r="BV12" t="e">
        <f>AND('4to. Bach_A'!E40,"AAAAAB+XX0k=")</f>
        <v>#VALUE!</v>
      </c>
      <c r="BW12" t="e">
        <f>AND('4to. Bach_A'!F40,"AAAAAB+XX0o=")</f>
        <v>#VALUE!</v>
      </c>
      <c r="BX12" t="e">
        <f>AND('4to. Bach_A'!G40,"AAAAAB+XX0s=")</f>
        <v>#VALUE!</v>
      </c>
      <c r="BY12" t="e">
        <f>AND('4to. Bach_A'!H40,"AAAAAB+XX0w=")</f>
        <v>#VALUE!</v>
      </c>
      <c r="BZ12" t="e">
        <f>AND('4to. Bach_A'!I40,"AAAAAB+XX00=")</f>
        <v>#VALUE!</v>
      </c>
      <c r="CA12" t="e">
        <f>AND('4to. Bach_A'!J40,"AAAAAB+XX04=")</f>
        <v>#VALUE!</v>
      </c>
      <c r="CB12" t="e">
        <f>AND('4to. Bach_A'!K40,"AAAAAB+XX08=")</f>
        <v>#VALUE!</v>
      </c>
      <c r="CC12" t="e">
        <f>AND('4to. Bach_A'!L40,"AAAAAB+XX1A=")</f>
        <v>#VALUE!</v>
      </c>
      <c r="CD12" t="e">
        <f>AND('4to. Bach_A'!M40,"AAAAAB+XX1E=")</f>
        <v>#VALUE!</v>
      </c>
      <c r="CE12" t="e">
        <f>AND('4to. Bach_A'!N40,"AAAAAB+XX1I=")</f>
        <v>#VALUE!</v>
      </c>
      <c r="CF12" t="e">
        <f>AND('4to. Bach_A'!O40,"AAAAAB+XX1M=")</f>
        <v>#VALUE!</v>
      </c>
      <c r="CG12" t="e">
        <f>AND('4to. Bach_A'!P40,"AAAAAB+XX1Q=")</f>
        <v>#VALUE!</v>
      </c>
      <c r="CH12" t="e">
        <f>AND('4to. Bach_A'!Q40,"AAAAAB+XX1U=")</f>
        <v>#VALUE!</v>
      </c>
      <c r="CI12" t="e">
        <f>AND('4to. Bach_A'!R40,"AAAAAB+XX1Y=")</f>
        <v>#VALUE!</v>
      </c>
      <c r="CJ12" t="e">
        <f>AND('4to. Bach_A'!S40,"AAAAAB+XX1c=")</f>
        <v>#VALUE!</v>
      </c>
      <c r="CK12" t="e">
        <f>AND('4to. Bach_A'!T40,"AAAAAB+XX1g=")</f>
        <v>#VALUE!</v>
      </c>
      <c r="CL12" t="e">
        <f>AND('4to. Bach_A'!#REF!,"AAAAAB+XX1k=")</f>
        <v>#REF!</v>
      </c>
      <c r="CM12" t="e">
        <f>AND('4to. Bach_A'!#REF!,"AAAAAB+XX1o=")</f>
        <v>#REF!</v>
      </c>
      <c r="CN12" t="e">
        <f>AND('4to. Bach_A'!#REF!,"AAAAAB+XX1s=")</f>
        <v>#REF!</v>
      </c>
      <c r="CO12" t="e">
        <f>AND('4to. Bach_A'!#REF!,"AAAAAB+XX1w=")</f>
        <v>#REF!</v>
      </c>
      <c r="CP12" t="e">
        <f>AND('4to. Bach_A'!#REF!,"AAAAAB+XX10=")</f>
        <v>#REF!</v>
      </c>
      <c r="CQ12">
        <f>IF('4to. Bach_A'!41:41,"AAAAAB+XX14=",0)</f>
        <v>0</v>
      </c>
      <c r="CR12" t="e">
        <f>AND('4to. Bach_A'!A41,"AAAAAB+XX18=")</f>
        <v>#VALUE!</v>
      </c>
      <c r="CS12" t="e">
        <f>AND('4to. Bach_A'!B41,"AAAAAB+XX2A=")</f>
        <v>#VALUE!</v>
      </c>
      <c r="CT12" t="e">
        <f>AND('4to. Bach_A'!C41,"AAAAAB+XX2E=")</f>
        <v>#VALUE!</v>
      </c>
      <c r="CU12" t="e">
        <f>AND('4to. Bach_A'!D41,"AAAAAB+XX2I=")</f>
        <v>#VALUE!</v>
      </c>
      <c r="CV12" t="e">
        <f>AND('4to. Bach_A'!E41,"AAAAAB+XX2M=")</f>
        <v>#VALUE!</v>
      </c>
      <c r="CW12" t="e">
        <f>AND('4to. Bach_A'!F41,"AAAAAB+XX2Q=")</f>
        <v>#VALUE!</v>
      </c>
      <c r="CX12" t="e">
        <f>AND('4to. Bach_A'!G41,"AAAAAB+XX2U=")</f>
        <v>#VALUE!</v>
      </c>
      <c r="CY12" t="e">
        <f>AND('4to. Bach_A'!H41,"AAAAAB+XX2Y=")</f>
        <v>#VALUE!</v>
      </c>
      <c r="CZ12" t="e">
        <f>AND('4to. Bach_A'!I41,"AAAAAB+XX2c=")</f>
        <v>#VALUE!</v>
      </c>
      <c r="DA12" t="e">
        <f>AND('4to. Bach_A'!J41,"AAAAAB+XX2g=")</f>
        <v>#VALUE!</v>
      </c>
      <c r="DB12" t="e">
        <f>AND('4to. Bach_A'!K41,"AAAAAB+XX2k=")</f>
        <v>#VALUE!</v>
      </c>
      <c r="DC12" t="e">
        <f>AND('4to. Bach_A'!L41,"AAAAAB+XX2o=")</f>
        <v>#VALUE!</v>
      </c>
      <c r="DD12" t="e">
        <f>AND('4to. Bach_A'!M41,"AAAAAB+XX2s=")</f>
        <v>#VALUE!</v>
      </c>
      <c r="DE12" t="e">
        <f>AND('4to. Bach_A'!N41,"AAAAAB+XX2w=")</f>
        <v>#VALUE!</v>
      </c>
      <c r="DF12" t="e">
        <f>AND('4to. Bach_A'!O41,"AAAAAB+XX20=")</f>
        <v>#VALUE!</v>
      </c>
      <c r="DG12" t="e">
        <f>AND('4to. Bach_A'!P41,"AAAAAB+XX24=")</f>
        <v>#VALUE!</v>
      </c>
      <c r="DH12" t="e">
        <f>AND('4to. Bach_A'!Q41,"AAAAAB+XX28=")</f>
        <v>#VALUE!</v>
      </c>
      <c r="DI12" t="e">
        <f>AND('4to. Bach_A'!R41,"AAAAAB+XX3A=")</f>
        <v>#VALUE!</v>
      </c>
      <c r="DJ12" t="e">
        <f>AND('4to. Bach_A'!S41,"AAAAAB+XX3E=")</f>
        <v>#VALUE!</v>
      </c>
      <c r="DK12" t="e">
        <f>AND('4to. Bach_A'!T41,"AAAAAB+XX3I=")</f>
        <v>#VALUE!</v>
      </c>
      <c r="DL12" t="e">
        <f>AND('4to. Bach_A'!#REF!,"AAAAAB+XX3M=")</f>
        <v>#REF!</v>
      </c>
      <c r="DM12" t="e">
        <f>AND('4to. Bach_A'!#REF!,"AAAAAB+XX3Q=")</f>
        <v>#REF!</v>
      </c>
      <c r="DN12" t="e">
        <f>AND('4to. Bach_A'!#REF!,"AAAAAB+XX3U=")</f>
        <v>#REF!</v>
      </c>
      <c r="DO12" t="e">
        <f>AND('4to. Bach_A'!#REF!,"AAAAAB+XX3Y=")</f>
        <v>#REF!</v>
      </c>
      <c r="DP12" t="e">
        <f>AND('4to. Bach_A'!#REF!,"AAAAAB+XX3c=")</f>
        <v>#REF!</v>
      </c>
      <c r="DQ12">
        <f>IF('4to. Bach_A'!42:42,"AAAAAB+XX3g=",0)</f>
        <v>0</v>
      </c>
      <c r="DR12" t="e">
        <f>AND('4to. Bach_A'!A42,"AAAAAB+XX3k=")</f>
        <v>#VALUE!</v>
      </c>
      <c r="DS12" t="e">
        <f>AND('4to. Bach_A'!B42,"AAAAAB+XX3o=")</f>
        <v>#VALUE!</v>
      </c>
      <c r="DT12" t="e">
        <f>AND('4to. Bach_A'!C42,"AAAAAB+XX3s=")</f>
        <v>#VALUE!</v>
      </c>
      <c r="DU12" t="e">
        <f>AND('4to. Bach_A'!D42,"AAAAAB+XX3w=")</f>
        <v>#VALUE!</v>
      </c>
      <c r="DV12" t="e">
        <f>AND('4to. Bach_A'!E42,"AAAAAB+XX30=")</f>
        <v>#VALUE!</v>
      </c>
      <c r="DW12" t="e">
        <f>AND('4to. Bach_A'!F42,"AAAAAB+XX34=")</f>
        <v>#VALUE!</v>
      </c>
      <c r="DX12" t="e">
        <f>AND('4to. Bach_A'!G42,"AAAAAB+XX38=")</f>
        <v>#VALUE!</v>
      </c>
      <c r="DY12" t="e">
        <f>AND('4to. Bach_A'!H42,"AAAAAB+XX4A=")</f>
        <v>#VALUE!</v>
      </c>
      <c r="DZ12" t="e">
        <f>AND('4to. Bach_A'!I42,"AAAAAB+XX4E=")</f>
        <v>#VALUE!</v>
      </c>
      <c r="EA12" t="e">
        <f>AND('4to. Bach_A'!J42,"AAAAAB+XX4I=")</f>
        <v>#VALUE!</v>
      </c>
      <c r="EB12" t="e">
        <f>AND('4to. Bach_A'!K42,"AAAAAB+XX4M=")</f>
        <v>#VALUE!</v>
      </c>
      <c r="EC12" t="e">
        <f>AND('4to. Bach_A'!L42,"AAAAAB+XX4Q=")</f>
        <v>#VALUE!</v>
      </c>
      <c r="ED12" t="e">
        <f>AND('4to. Bach_A'!M42,"AAAAAB+XX4U=")</f>
        <v>#VALUE!</v>
      </c>
      <c r="EE12" t="e">
        <f>AND('4to. Bach_A'!N42,"AAAAAB+XX4Y=")</f>
        <v>#VALUE!</v>
      </c>
      <c r="EF12" t="e">
        <f>AND('4to. Bach_A'!O42,"AAAAAB+XX4c=")</f>
        <v>#VALUE!</v>
      </c>
      <c r="EG12" t="e">
        <f>AND('4to. Bach_A'!P42,"AAAAAB+XX4g=")</f>
        <v>#VALUE!</v>
      </c>
      <c r="EH12" t="e">
        <f>AND('4to. Bach_A'!Q42,"AAAAAB+XX4k=")</f>
        <v>#VALUE!</v>
      </c>
      <c r="EI12" t="e">
        <f>AND('4to. Bach_A'!R42,"AAAAAB+XX4o=")</f>
        <v>#VALUE!</v>
      </c>
      <c r="EJ12" t="e">
        <f>AND('4to. Bach_A'!S42,"AAAAAB+XX4s=")</f>
        <v>#VALUE!</v>
      </c>
      <c r="EK12" t="e">
        <f>AND('4to. Bach_A'!T42,"AAAAAB+XX4w=")</f>
        <v>#VALUE!</v>
      </c>
      <c r="EL12" t="e">
        <f>AND('4to. Bach_A'!#REF!,"AAAAAB+XX40=")</f>
        <v>#REF!</v>
      </c>
      <c r="EM12" t="e">
        <f>AND('4to. Bach_A'!#REF!,"AAAAAB+XX44=")</f>
        <v>#REF!</v>
      </c>
      <c r="EN12" t="e">
        <f>AND('4to. Bach_A'!#REF!,"AAAAAB+XX48=")</f>
        <v>#REF!</v>
      </c>
      <c r="EO12" t="e">
        <f>AND('4to. Bach_A'!#REF!,"AAAAAB+XX5A=")</f>
        <v>#REF!</v>
      </c>
      <c r="EP12" t="e">
        <f>AND('4to. Bach_A'!#REF!,"AAAAAB+XX5E=")</f>
        <v>#REF!</v>
      </c>
      <c r="EQ12">
        <f>IF('4to. Bach_A'!43:43,"AAAAAB+XX5I=",0)</f>
        <v>0</v>
      </c>
      <c r="ER12" t="e">
        <f>AND('4to. Bach_A'!A43,"AAAAAB+XX5M=")</f>
        <v>#VALUE!</v>
      </c>
      <c r="ES12" t="e">
        <f>AND('4to. Bach_A'!B43,"AAAAAB+XX5Q=")</f>
        <v>#VALUE!</v>
      </c>
      <c r="ET12" t="e">
        <f>AND('4to. Bach_A'!C43,"AAAAAB+XX5U=")</f>
        <v>#VALUE!</v>
      </c>
      <c r="EU12" t="e">
        <f>AND('4to. Bach_A'!D43,"AAAAAB+XX5Y=")</f>
        <v>#VALUE!</v>
      </c>
      <c r="EV12" t="e">
        <f>AND('4to. Bach_A'!E43,"AAAAAB+XX5c=")</f>
        <v>#VALUE!</v>
      </c>
      <c r="EW12" t="e">
        <f>AND('4to. Bach_A'!F43,"AAAAAB+XX5g=")</f>
        <v>#VALUE!</v>
      </c>
      <c r="EX12" t="e">
        <f>AND('4to. Bach_A'!G43,"AAAAAB+XX5k=")</f>
        <v>#VALUE!</v>
      </c>
      <c r="EY12" t="e">
        <f>AND('4to. Bach_A'!H43,"AAAAAB+XX5o=")</f>
        <v>#VALUE!</v>
      </c>
      <c r="EZ12" t="e">
        <f>AND('4to. Bach_A'!I43,"AAAAAB+XX5s=")</f>
        <v>#VALUE!</v>
      </c>
      <c r="FA12" t="e">
        <f>AND('4to. Bach_A'!J43,"AAAAAB+XX5w=")</f>
        <v>#VALUE!</v>
      </c>
      <c r="FB12" t="e">
        <f>AND('4to. Bach_A'!K43,"AAAAAB+XX50=")</f>
        <v>#VALUE!</v>
      </c>
      <c r="FC12" t="e">
        <f>AND('4to. Bach_A'!L43,"AAAAAB+XX54=")</f>
        <v>#VALUE!</v>
      </c>
      <c r="FD12" t="e">
        <f>AND('4to. Bach_A'!M43,"AAAAAB+XX58=")</f>
        <v>#VALUE!</v>
      </c>
      <c r="FE12" t="e">
        <f>AND('4to. Bach_A'!N43,"AAAAAB+XX6A=")</f>
        <v>#VALUE!</v>
      </c>
      <c r="FF12" t="e">
        <f>AND('4to. Bach_A'!O43,"AAAAAB+XX6E=")</f>
        <v>#VALUE!</v>
      </c>
      <c r="FG12" t="e">
        <f>AND('4to. Bach_A'!P43,"AAAAAB+XX6I=")</f>
        <v>#VALUE!</v>
      </c>
      <c r="FH12" t="e">
        <f>AND('4to. Bach_A'!Q43,"AAAAAB+XX6M=")</f>
        <v>#VALUE!</v>
      </c>
      <c r="FI12" t="e">
        <f>AND('4to. Bach_A'!R43,"AAAAAB+XX6Q=")</f>
        <v>#VALUE!</v>
      </c>
      <c r="FJ12" t="e">
        <f>AND('4to. Bach_A'!S43,"AAAAAB+XX6U=")</f>
        <v>#VALUE!</v>
      </c>
      <c r="FK12" t="e">
        <f>AND('4to. Bach_A'!T43,"AAAAAB+XX6Y=")</f>
        <v>#VALUE!</v>
      </c>
      <c r="FL12" t="e">
        <f>AND('4to. Bach_A'!#REF!,"AAAAAB+XX6c=")</f>
        <v>#REF!</v>
      </c>
      <c r="FM12" t="e">
        <f>AND('4to. Bach_A'!#REF!,"AAAAAB+XX6g=")</f>
        <v>#REF!</v>
      </c>
      <c r="FN12" t="e">
        <f>AND('4to. Bach_A'!#REF!,"AAAAAB+XX6k=")</f>
        <v>#REF!</v>
      </c>
      <c r="FO12" t="e">
        <f>AND('4to. Bach_A'!#REF!,"AAAAAB+XX6o=")</f>
        <v>#REF!</v>
      </c>
      <c r="FP12" t="e">
        <f>AND('4to. Bach_A'!#REF!,"AAAAAB+XX6s=")</f>
        <v>#REF!</v>
      </c>
      <c r="FQ12">
        <f>IF('4to. Bach_A'!44:44,"AAAAAB+XX6w=",0)</f>
        <v>0</v>
      </c>
      <c r="FR12" t="e">
        <f>AND('4to. Bach_A'!A44,"AAAAAB+XX60=")</f>
        <v>#VALUE!</v>
      </c>
      <c r="FS12" t="e">
        <f>AND('4to. Bach_A'!B44,"AAAAAB+XX64=")</f>
        <v>#VALUE!</v>
      </c>
      <c r="FT12" t="e">
        <f>AND('4to. Bach_A'!C44,"AAAAAB+XX68=")</f>
        <v>#VALUE!</v>
      </c>
      <c r="FU12" t="e">
        <f>AND('4to. Bach_A'!D44,"AAAAAB+XX7A=")</f>
        <v>#VALUE!</v>
      </c>
      <c r="FV12" t="e">
        <f>AND('4to. Bach_A'!E44,"AAAAAB+XX7E=")</f>
        <v>#VALUE!</v>
      </c>
      <c r="FW12" t="e">
        <f>AND('4to. Bach_A'!F44,"AAAAAB+XX7I=")</f>
        <v>#VALUE!</v>
      </c>
      <c r="FX12" t="e">
        <f>AND('4to. Bach_A'!G44,"AAAAAB+XX7M=")</f>
        <v>#VALUE!</v>
      </c>
      <c r="FY12" t="e">
        <f>AND('4to. Bach_A'!H44,"AAAAAB+XX7Q=")</f>
        <v>#VALUE!</v>
      </c>
      <c r="FZ12" t="e">
        <f>AND('4to. Bach_A'!I44,"AAAAAB+XX7U=")</f>
        <v>#VALUE!</v>
      </c>
      <c r="GA12" t="e">
        <f>AND('4to. Bach_A'!J44,"AAAAAB+XX7Y=")</f>
        <v>#VALUE!</v>
      </c>
      <c r="GB12" t="e">
        <f>AND('4to. Bach_A'!K44,"AAAAAB+XX7c=")</f>
        <v>#VALUE!</v>
      </c>
      <c r="GC12" t="e">
        <f>AND('4to. Bach_A'!L44,"AAAAAB+XX7g=")</f>
        <v>#VALUE!</v>
      </c>
      <c r="GD12" t="e">
        <f>AND('4to. Bach_A'!M44,"AAAAAB+XX7k=")</f>
        <v>#VALUE!</v>
      </c>
      <c r="GE12" t="e">
        <f>AND('4to. Bach_A'!N44,"AAAAAB+XX7o=")</f>
        <v>#VALUE!</v>
      </c>
      <c r="GF12" t="e">
        <f>AND('4to. Bach_A'!O44,"AAAAAB+XX7s=")</f>
        <v>#VALUE!</v>
      </c>
      <c r="GG12" t="e">
        <f>AND('4to. Bach_A'!P44,"AAAAAB+XX7w=")</f>
        <v>#VALUE!</v>
      </c>
      <c r="GH12" t="e">
        <f>AND('4to. Bach_A'!Q44,"AAAAAB+XX70=")</f>
        <v>#VALUE!</v>
      </c>
      <c r="GI12" t="e">
        <f>AND('4to. Bach_A'!R44,"AAAAAB+XX74=")</f>
        <v>#VALUE!</v>
      </c>
      <c r="GJ12" t="e">
        <f>AND('4to. Bach_A'!S44,"AAAAAB+XX78=")</f>
        <v>#VALUE!</v>
      </c>
      <c r="GK12" t="e">
        <f>AND('4to. Bach_A'!T44,"AAAAAB+XX8A=")</f>
        <v>#VALUE!</v>
      </c>
      <c r="GL12" t="e">
        <f>AND('4to. Bach_A'!#REF!,"AAAAAB+XX8E=")</f>
        <v>#REF!</v>
      </c>
      <c r="GM12" t="e">
        <f>AND('4to. Bach_A'!#REF!,"AAAAAB+XX8I=")</f>
        <v>#REF!</v>
      </c>
      <c r="GN12" t="e">
        <f>AND('4to. Bach_A'!#REF!,"AAAAAB+XX8M=")</f>
        <v>#REF!</v>
      </c>
      <c r="GO12" t="e">
        <f>AND('4to. Bach_A'!#REF!,"AAAAAB+XX8Q=")</f>
        <v>#REF!</v>
      </c>
      <c r="GP12" t="e">
        <f>AND('4to. Bach_A'!#REF!,"AAAAAB+XX8U=")</f>
        <v>#REF!</v>
      </c>
      <c r="GQ12">
        <f>IF('4to. Bach_A'!45:45,"AAAAAB+XX8Y=",0)</f>
        <v>0</v>
      </c>
      <c r="GR12" t="e">
        <f>AND('4to. Bach_A'!A45,"AAAAAB+XX8c=")</f>
        <v>#VALUE!</v>
      </c>
      <c r="GS12" t="e">
        <f>AND('4to. Bach_A'!B45,"AAAAAB+XX8g=")</f>
        <v>#VALUE!</v>
      </c>
      <c r="GT12" t="e">
        <f>AND('4to. Bach_A'!C45,"AAAAAB+XX8k=")</f>
        <v>#VALUE!</v>
      </c>
      <c r="GU12" t="e">
        <f>AND('4to. Bach_A'!D45,"AAAAAB+XX8o=")</f>
        <v>#VALUE!</v>
      </c>
      <c r="GV12" t="e">
        <f>AND('4to. Bach_A'!E45,"AAAAAB+XX8s=")</f>
        <v>#VALUE!</v>
      </c>
      <c r="GW12" t="e">
        <f>AND('4to. Bach_A'!F45,"AAAAAB+XX8w=")</f>
        <v>#VALUE!</v>
      </c>
      <c r="GX12" t="e">
        <f>AND('4to. Bach_A'!G45,"AAAAAB+XX80=")</f>
        <v>#VALUE!</v>
      </c>
      <c r="GY12" t="e">
        <f>AND('4to. Bach_A'!H45,"AAAAAB+XX84=")</f>
        <v>#VALUE!</v>
      </c>
      <c r="GZ12" t="e">
        <f>AND('4to. Bach_A'!I45,"AAAAAB+XX88=")</f>
        <v>#VALUE!</v>
      </c>
      <c r="HA12" t="e">
        <f>AND('4to. Bach_A'!J45,"AAAAAB+XX9A=")</f>
        <v>#VALUE!</v>
      </c>
      <c r="HB12" t="e">
        <f>AND('4to. Bach_A'!K45,"AAAAAB+XX9E=")</f>
        <v>#VALUE!</v>
      </c>
      <c r="HC12" t="e">
        <f>AND('4to. Bach_A'!L45,"AAAAAB+XX9I=")</f>
        <v>#VALUE!</v>
      </c>
      <c r="HD12" t="e">
        <f>AND('4to. Bach_A'!M45,"AAAAAB+XX9M=")</f>
        <v>#VALUE!</v>
      </c>
      <c r="HE12" t="e">
        <f>AND('4to. Bach_A'!N45,"AAAAAB+XX9Q=")</f>
        <v>#VALUE!</v>
      </c>
      <c r="HF12" t="e">
        <f>AND('4to. Bach_A'!O45,"AAAAAB+XX9U=")</f>
        <v>#VALUE!</v>
      </c>
      <c r="HG12" t="e">
        <f>AND('4to. Bach_A'!P45,"AAAAAB+XX9Y=")</f>
        <v>#VALUE!</v>
      </c>
      <c r="HH12" t="e">
        <f>AND('4to. Bach_A'!Q45,"AAAAAB+XX9c=")</f>
        <v>#VALUE!</v>
      </c>
      <c r="HI12" t="e">
        <f>AND('4to. Bach_A'!R45,"AAAAAB+XX9g=")</f>
        <v>#VALUE!</v>
      </c>
      <c r="HJ12" t="e">
        <f>AND('4to. Bach_A'!S45,"AAAAAB+XX9k=")</f>
        <v>#VALUE!</v>
      </c>
      <c r="HK12" t="e">
        <f>AND('4to. Bach_A'!T45,"AAAAAB+XX9o=")</f>
        <v>#VALUE!</v>
      </c>
      <c r="HL12" t="e">
        <f>AND('4to. Bach_A'!#REF!,"AAAAAB+XX9s=")</f>
        <v>#REF!</v>
      </c>
      <c r="HM12" t="e">
        <f>AND('4to. Bach_A'!#REF!,"AAAAAB+XX9w=")</f>
        <v>#REF!</v>
      </c>
      <c r="HN12" t="e">
        <f>AND('4to. Bach_A'!#REF!,"AAAAAB+XX90=")</f>
        <v>#REF!</v>
      </c>
      <c r="HO12" t="e">
        <f>AND('4to. Bach_A'!#REF!,"AAAAAB+XX94=")</f>
        <v>#REF!</v>
      </c>
      <c r="HP12" t="e">
        <f>AND('4to. Bach_A'!#REF!,"AAAAAB+XX98=")</f>
        <v>#REF!</v>
      </c>
      <c r="HQ12">
        <f>IF('4to. Bach_A'!46:46,"AAAAAB+XX+A=",0)</f>
        <v>0</v>
      </c>
      <c r="HR12" t="e">
        <f>AND('4to. Bach_A'!A46,"AAAAAB+XX+E=")</f>
        <v>#VALUE!</v>
      </c>
      <c r="HS12" t="e">
        <f>AND('4to. Bach_A'!B46,"AAAAAB+XX+I=")</f>
        <v>#VALUE!</v>
      </c>
      <c r="HT12" t="e">
        <f>AND('4to. Bach_A'!C46,"AAAAAB+XX+M=")</f>
        <v>#VALUE!</v>
      </c>
      <c r="HU12" t="e">
        <f>AND('4to. Bach_A'!D46,"AAAAAB+XX+Q=")</f>
        <v>#VALUE!</v>
      </c>
      <c r="HV12" t="e">
        <f>AND('4to. Bach_A'!E46,"AAAAAB+XX+U=")</f>
        <v>#VALUE!</v>
      </c>
      <c r="HW12" t="e">
        <f>AND('4to. Bach_A'!F46,"AAAAAB+XX+Y=")</f>
        <v>#VALUE!</v>
      </c>
      <c r="HX12" t="e">
        <f>AND('4to. Bach_A'!G46,"AAAAAB+XX+c=")</f>
        <v>#VALUE!</v>
      </c>
      <c r="HY12" t="e">
        <f>AND('4to. Bach_A'!H46,"AAAAAB+XX+g=")</f>
        <v>#VALUE!</v>
      </c>
      <c r="HZ12" t="e">
        <f>AND('4to. Bach_A'!I46,"AAAAAB+XX+k=")</f>
        <v>#VALUE!</v>
      </c>
      <c r="IA12" t="e">
        <f>AND('4to. Bach_A'!J46,"AAAAAB+XX+o=")</f>
        <v>#VALUE!</v>
      </c>
      <c r="IB12" t="e">
        <f>AND('4to. Bach_A'!K46,"AAAAAB+XX+s=")</f>
        <v>#VALUE!</v>
      </c>
      <c r="IC12" t="e">
        <f>AND('4to. Bach_A'!L46,"AAAAAB+XX+w=")</f>
        <v>#VALUE!</v>
      </c>
      <c r="ID12" t="e">
        <f>AND('4to. Bach_A'!M46,"AAAAAB+XX+0=")</f>
        <v>#VALUE!</v>
      </c>
      <c r="IE12" t="e">
        <f>AND('4to. Bach_A'!N46,"AAAAAB+XX+4=")</f>
        <v>#VALUE!</v>
      </c>
      <c r="IF12" t="e">
        <f>AND('4to. Bach_A'!O46,"AAAAAB+XX+8=")</f>
        <v>#VALUE!</v>
      </c>
      <c r="IG12" t="e">
        <f>AND('4to. Bach_A'!P46,"AAAAAB+XX/A=")</f>
        <v>#VALUE!</v>
      </c>
      <c r="IH12" t="e">
        <f>AND('4to. Bach_A'!Q46,"AAAAAB+XX/E=")</f>
        <v>#VALUE!</v>
      </c>
      <c r="II12" t="e">
        <f>AND('4to. Bach_A'!R46,"AAAAAB+XX/I=")</f>
        <v>#VALUE!</v>
      </c>
      <c r="IJ12" t="e">
        <f>AND('4to. Bach_A'!S46,"AAAAAB+XX/M=")</f>
        <v>#VALUE!</v>
      </c>
      <c r="IK12" t="e">
        <f>AND('4to. Bach_A'!T46,"AAAAAB+XX/Q=")</f>
        <v>#VALUE!</v>
      </c>
      <c r="IL12" t="e">
        <f>AND('4to. Bach_A'!#REF!,"AAAAAB+XX/U=")</f>
        <v>#REF!</v>
      </c>
      <c r="IM12" t="e">
        <f>AND('4to. Bach_A'!#REF!,"AAAAAB+XX/Y=")</f>
        <v>#REF!</v>
      </c>
      <c r="IN12" t="e">
        <f>AND('4to. Bach_A'!#REF!,"AAAAAB+XX/c=")</f>
        <v>#REF!</v>
      </c>
      <c r="IO12" t="e">
        <f>AND('4to. Bach_A'!#REF!,"AAAAAB+XX/g=")</f>
        <v>#REF!</v>
      </c>
      <c r="IP12" t="e">
        <f>AND('4to. Bach_A'!#REF!,"AAAAAB+XX/k=")</f>
        <v>#REF!</v>
      </c>
      <c r="IQ12">
        <f>IF('4to. Bach_A'!47:47,"AAAAAB+XX/o=",0)</f>
        <v>0</v>
      </c>
      <c r="IR12" t="e">
        <f>AND('4to. Bach_A'!A47,"AAAAAB+XX/s=")</f>
        <v>#VALUE!</v>
      </c>
      <c r="IS12" t="e">
        <f>AND('4to. Bach_A'!B47,"AAAAAB+XX/w=")</f>
        <v>#VALUE!</v>
      </c>
      <c r="IT12" t="e">
        <f>AND('4to. Bach_A'!C47,"AAAAAB+XX/0=")</f>
        <v>#VALUE!</v>
      </c>
      <c r="IU12" t="e">
        <f>AND('4to. Bach_A'!D47,"AAAAAB+XX/4=")</f>
        <v>#VALUE!</v>
      </c>
      <c r="IV12" t="e">
        <f>AND('4to. Bach_A'!E47,"AAAAAB+XX/8=")</f>
        <v>#VALUE!</v>
      </c>
    </row>
    <row r="13" spans="1:256">
      <c r="A13" t="e">
        <f>AND('4to. Bach_A'!F47,"AAAAAF///wA=")</f>
        <v>#VALUE!</v>
      </c>
      <c r="B13" t="e">
        <f>AND('4to. Bach_A'!G47,"AAAAAF///wE=")</f>
        <v>#VALUE!</v>
      </c>
      <c r="C13" t="e">
        <f>AND('4to. Bach_A'!H47,"AAAAAF///wI=")</f>
        <v>#VALUE!</v>
      </c>
      <c r="D13" t="e">
        <f>AND('4to. Bach_A'!I47,"AAAAAF///wM=")</f>
        <v>#VALUE!</v>
      </c>
      <c r="E13" t="e">
        <f>AND('4to. Bach_A'!J47,"AAAAAF///wQ=")</f>
        <v>#VALUE!</v>
      </c>
      <c r="F13" t="e">
        <f>AND('4to. Bach_A'!K47,"AAAAAF///wU=")</f>
        <v>#VALUE!</v>
      </c>
      <c r="G13" t="e">
        <f>AND('4to. Bach_A'!L47,"AAAAAF///wY=")</f>
        <v>#VALUE!</v>
      </c>
      <c r="H13" t="e">
        <f>AND('4to. Bach_A'!M47,"AAAAAF///wc=")</f>
        <v>#VALUE!</v>
      </c>
      <c r="I13" t="e">
        <f>AND('4to. Bach_A'!N47,"AAAAAF///wg=")</f>
        <v>#VALUE!</v>
      </c>
      <c r="J13" t="e">
        <f>AND('4to. Bach_A'!O47,"AAAAAF///wk=")</f>
        <v>#VALUE!</v>
      </c>
      <c r="K13" t="e">
        <f>AND('4to. Bach_A'!P47,"AAAAAF///wo=")</f>
        <v>#VALUE!</v>
      </c>
      <c r="L13" t="e">
        <f>AND('4to. Bach_A'!Q47,"AAAAAF///ws=")</f>
        <v>#VALUE!</v>
      </c>
      <c r="M13" t="e">
        <f>AND('4to. Bach_A'!R47,"AAAAAF///ww=")</f>
        <v>#VALUE!</v>
      </c>
      <c r="N13" t="e">
        <f>AND('4to. Bach_A'!S47,"AAAAAF///w0=")</f>
        <v>#VALUE!</v>
      </c>
      <c r="O13" t="e">
        <f>AND('4to. Bach_A'!T47,"AAAAAF///w4=")</f>
        <v>#VALUE!</v>
      </c>
      <c r="P13" t="e">
        <f>AND('4to. Bach_A'!#REF!,"AAAAAF///w8=")</f>
        <v>#REF!</v>
      </c>
      <c r="Q13" t="e">
        <f>AND('4to. Bach_A'!#REF!,"AAAAAF///xA=")</f>
        <v>#REF!</v>
      </c>
      <c r="R13" t="e">
        <f>AND('4to. Bach_A'!#REF!,"AAAAAF///xE=")</f>
        <v>#REF!</v>
      </c>
      <c r="S13" t="e">
        <f>AND('4to. Bach_A'!#REF!,"AAAAAF///xI=")</f>
        <v>#REF!</v>
      </c>
      <c r="T13" t="e">
        <f>AND('4to. Bach_A'!#REF!,"AAAAAF///xM=")</f>
        <v>#REF!</v>
      </c>
      <c r="U13">
        <f>IF('4to. Bach_A'!48:48,"AAAAAF///xQ=",0)</f>
        <v>0</v>
      </c>
      <c r="V13" t="e">
        <f>AND('4to. Bach_A'!A48,"AAAAAF///xU=")</f>
        <v>#VALUE!</v>
      </c>
      <c r="W13" t="e">
        <f>AND('4to. Bach_A'!B48,"AAAAAF///xY=")</f>
        <v>#VALUE!</v>
      </c>
      <c r="X13" t="e">
        <f>AND('4to. Bach_A'!C48,"AAAAAF///xc=")</f>
        <v>#VALUE!</v>
      </c>
      <c r="Y13" t="e">
        <f>AND('4to. Bach_A'!D48,"AAAAAF///xg=")</f>
        <v>#VALUE!</v>
      </c>
      <c r="Z13" t="e">
        <f>AND('4to. Bach_A'!E48,"AAAAAF///xk=")</f>
        <v>#VALUE!</v>
      </c>
      <c r="AA13" t="e">
        <f>AND('4to. Bach_A'!F48,"AAAAAF///xo=")</f>
        <v>#VALUE!</v>
      </c>
      <c r="AB13" t="e">
        <f>AND('4to. Bach_A'!G48,"AAAAAF///xs=")</f>
        <v>#VALUE!</v>
      </c>
      <c r="AC13" t="e">
        <f>AND('4to. Bach_A'!H48,"AAAAAF///xw=")</f>
        <v>#VALUE!</v>
      </c>
      <c r="AD13" t="e">
        <f>AND('4to. Bach_A'!I48,"AAAAAF///x0=")</f>
        <v>#VALUE!</v>
      </c>
      <c r="AE13" t="e">
        <f>AND('4to. Bach_A'!J48,"AAAAAF///x4=")</f>
        <v>#VALUE!</v>
      </c>
      <c r="AF13" t="e">
        <f>AND('4to. Bach_A'!K48,"AAAAAF///x8=")</f>
        <v>#VALUE!</v>
      </c>
      <c r="AG13" t="e">
        <f>AND('4to. Bach_A'!L48,"AAAAAF///yA=")</f>
        <v>#VALUE!</v>
      </c>
      <c r="AH13" t="e">
        <f>AND('4to. Bach_A'!M48,"AAAAAF///yE=")</f>
        <v>#VALUE!</v>
      </c>
      <c r="AI13" t="e">
        <f>AND('4to. Bach_A'!N48,"AAAAAF///yI=")</f>
        <v>#VALUE!</v>
      </c>
      <c r="AJ13" t="e">
        <f>AND('4to. Bach_A'!O48,"AAAAAF///yM=")</f>
        <v>#VALUE!</v>
      </c>
      <c r="AK13" t="e">
        <f>AND('4to. Bach_A'!P48,"AAAAAF///yQ=")</f>
        <v>#VALUE!</v>
      </c>
      <c r="AL13" t="e">
        <f>AND('4to. Bach_A'!Q48,"AAAAAF///yU=")</f>
        <v>#VALUE!</v>
      </c>
      <c r="AM13" t="e">
        <f>AND('4to. Bach_A'!R48,"AAAAAF///yY=")</f>
        <v>#VALUE!</v>
      </c>
      <c r="AN13" t="e">
        <f>AND('4to. Bach_A'!S48,"AAAAAF///yc=")</f>
        <v>#VALUE!</v>
      </c>
      <c r="AO13" t="e">
        <f>AND('4to. Bach_A'!T48,"AAAAAF///yg=")</f>
        <v>#VALUE!</v>
      </c>
      <c r="AP13" t="e">
        <f>AND('4to. Bach_A'!#REF!,"AAAAAF///yk=")</f>
        <v>#REF!</v>
      </c>
      <c r="AQ13" t="e">
        <f>AND('4to. Bach_A'!#REF!,"AAAAAF///yo=")</f>
        <v>#REF!</v>
      </c>
      <c r="AR13" t="e">
        <f>AND('4to. Bach_A'!#REF!,"AAAAAF///ys=")</f>
        <v>#REF!</v>
      </c>
      <c r="AS13" t="e">
        <f>AND('4to. Bach_A'!#REF!,"AAAAAF///yw=")</f>
        <v>#REF!</v>
      </c>
      <c r="AT13" t="e">
        <f>AND('4to. Bach_A'!#REF!,"AAAAAF///y0=")</f>
        <v>#REF!</v>
      </c>
      <c r="AU13">
        <f>IF('4to. Bach_A'!49:49,"AAAAAF///y4=",0)</f>
        <v>0</v>
      </c>
      <c r="AV13" t="e">
        <f>AND('4to. Bach_A'!A49,"AAAAAF///y8=")</f>
        <v>#VALUE!</v>
      </c>
      <c r="AW13" t="e">
        <f>AND('4to. Bach_A'!B49,"AAAAAF///zA=")</f>
        <v>#VALUE!</v>
      </c>
      <c r="AX13" t="e">
        <f>AND('4to. Bach_A'!C49,"AAAAAF///zE=")</f>
        <v>#VALUE!</v>
      </c>
      <c r="AY13" t="e">
        <f>AND('4to. Bach_A'!D49,"AAAAAF///zI=")</f>
        <v>#VALUE!</v>
      </c>
      <c r="AZ13" t="e">
        <f>AND('4to. Bach_A'!E49,"AAAAAF///zM=")</f>
        <v>#VALUE!</v>
      </c>
      <c r="BA13" t="e">
        <f>AND('4to. Bach_A'!F49,"AAAAAF///zQ=")</f>
        <v>#VALUE!</v>
      </c>
      <c r="BB13" t="e">
        <f>AND('4to. Bach_A'!G49,"AAAAAF///zU=")</f>
        <v>#VALUE!</v>
      </c>
      <c r="BC13" t="e">
        <f>AND('4to. Bach_A'!H49,"AAAAAF///zY=")</f>
        <v>#VALUE!</v>
      </c>
      <c r="BD13" t="e">
        <f>AND('4to. Bach_A'!I49,"AAAAAF///zc=")</f>
        <v>#VALUE!</v>
      </c>
      <c r="BE13" t="e">
        <f>AND('4to. Bach_A'!J49,"AAAAAF///zg=")</f>
        <v>#VALUE!</v>
      </c>
      <c r="BF13" t="e">
        <f>AND('4to. Bach_A'!K49,"AAAAAF///zk=")</f>
        <v>#VALUE!</v>
      </c>
      <c r="BG13" t="e">
        <f>AND('4to. Bach_A'!L49,"AAAAAF///zo=")</f>
        <v>#VALUE!</v>
      </c>
      <c r="BH13" t="e">
        <f>AND('4to. Bach_A'!M49,"AAAAAF///zs=")</f>
        <v>#VALUE!</v>
      </c>
      <c r="BI13" t="e">
        <f>AND('4to. Bach_A'!N49,"AAAAAF///zw=")</f>
        <v>#VALUE!</v>
      </c>
      <c r="BJ13" t="e">
        <f>AND('4to. Bach_A'!O49,"AAAAAF///z0=")</f>
        <v>#VALUE!</v>
      </c>
      <c r="BK13" t="e">
        <f>AND('4to. Bach_A'!P49,"AAAAAF///z4=")</f>
        <v>#VALUE!</v>
      </c>
      <c r="BL13" t="e">
        <f>AND('4to. Bach_A'!Q49,"AAAAAF///z8=")</f>
        <v>#VALUE!</v>
      </c>
      <c r="BM13" t="e">
        <f>AND('4to. Bach_A'!R49,"AAAAAF///0A=")</f>
        <v>#VALUE!</v>
      </c>
      <c r="BN13" t="e">
        <f>AND('4to. Bach_A'!S49,"AAAAAF///0E=")</f>
        <v>#VALUE!</v>
      </c>
      <c r="BO13" t="e">
        <f>AND('4to. Bach_A'!T49,"AAAAAF///0I=")</f>
        <v>#VALUE!</v>
      </c>
      <c r="BP13" t="e">
        <f>AND('4to. Bach_A'!#REF!,"AAAAAF///0M=")</f>
        <v>#REF!</v>
      </c>
      <c r="BQ13" t="e">
        <f>AND('4to. Bach_A'!#REF!,"AAAAAF///0Q=")</f>
        <v>#REF!</v>
      </c>
      <c r="BR13" t="e">
        <f>AND('4to. Bach_A'!#REF!,"AAAAAF///0U=")</f>
        <v>#REF!</v>
      </c>
      <c r="BS13" t="e">
        <f>AND('4to. Bach_A'!#REF!,"AAAAAF///0Y=")</f>
        <v>#REF!</v>
      </c>
      <c r="BT13" t="e">
        <f>AND('4to. Bach_A'!#REF!,"AAAAAF///0c=")</f>
        <v>#REF!</v>
      </c>
      <c r="BU13">
        <f>IF('4to. Bach_A'!50:50,"AAAAAF///0g=",0)</f>
        <v>0</v>
      </c>
      <c r="BV13" t="e">
        <f>AND('4to. Bach_A'!A50,"AAAAAF///0k=")</f>
        <v>#VALUE!</v>
      </c>
      <c r="BW13" t="e">
        <f>AND('4to. Bach_A'!B50,"AAAAAF///0o=")</f>
        <v>#VALUE!</v>
      </c>
      <c r="BX13" t="e">
        <f>AND('4to. Bach_A'!C50,"AAAAAF///0s=")</f>
        <v>#VALUE!</v>
      </c>
      <c r="BY13" t="e">
        <f>AND('4to. Bach_A'!D50,"AAAAAF///0w=")</f>
        <v>#VALUE!</v>
      </c>
      <c r="BZ13" t="e">
        <f>AND('4to. Bach_A'!E50,"AAAAAF///00=")</f>
        <v>#VALUE!</v>
      </c>
      <c r="CA13" t="e">
        <f>AND('4to. Bach_A'!F50,"AAAAAF///04=")</f>
        <v>#VALUE!</v>
      </c>
      <c r="CB13" t="e">
        <f>AND('4to. Bach_A'!G50,"AAAAAF///08=")</f>
        <v>#VALUE!</v>
      </c>
      <c r="CC13" t="e">
        <f>AND('4to. Bach_A'!H50,"AAAAAF///1A=")</f>
        <v>#VALUE!</v>
      </c>
      <c r="CD13" t="e">
        <f>AND('4to. Bach_A'!I50,"AAAAAF///1E=")</f>
        <v>#VALUE!</v>
      </c>
      <c r="CE13" t="e">
        <f>AND('4to. Bach_A'!J50,"AAAAAF///1I=")</f>
        <v>#VALUE!</v>
      </c>
      <c r="CF13" t="e">
        <f>AND('4to. Bach_A'!K50,"AAAAAF///1M=")</f>
        <v>#VALUE!</v>
      </c>
      <c r="CG13" t="e">
        <f>AND('4to. Bach_A'!L50,"AAAAAF///1Q=")</f>
        <v>#VALUE!</v>
      </c>
      <c r="CH13" t="e">
        <f>AND('4to. Bach_A'!M50,"AAAAAF///1U=")</f>
        <v>#VALUE!</v>
      </c>
      <c r="CI13" t="e">
        <f>AND('4to. Bach_A'!N50,"AAAAAF///1Y=")</f>
        <v>#VALUE!</v>
      </c>
      <c r="CJ13" t="e">
        <f>AND('4to. Bach_A'!O50,"AAAAAF///1c=")</f>
        <v>#VALUE!</v>
      </c>
      <c r="CK13" t="e">
        <f>AND('4to. Bach_A'!P50,"AAAAAF///1g=")</f>
        <v>#VALUE!</v>
      </c>
      <c r="CL13" t="e">
        <f>AND('4to. Bach_A'!Q50,"AAAAAF///1k=")</f>
        <v>#VALUE!</v>
      </c>
      <c r="CM13" t="e">
        <f>AND('4to. Bach_A'!R50,"AAAAAF///1o=")</f>
        <v>#VALUE!</v>
      </c>
      <c r="CN13" t="e">
        <f>AND('4to. Bach_A'!S50,"AAAAAF///1s=")</f>
        <v>#VALUE!</v>
      </c>
      <c r="CO13" t="e">
        <f>AND('4to. Bach_A'!T50,"AAAAAF///1w=")</f>
        <v>#VALUE!</v>
      </c>
      <c r="CP13" t="e">
        <f>AND('4to. Bach_A'!#REF!,"AAAAAF///10=")</f>
        <v>#REF!</v>
      </c>
      <c r="CQ13" t="e">
        <f>AND('4to. Bach_A'!#REF!,"AAAAAF///14=")</f>
        <v>#REF!</v>
      </c>
      <c r="CR13" t="e">
        <f>AND('4to. Bach_A'!#REF!,"AAAAAF///18=")</f>
        <v>#REF!</v>
      </c>
      <c r="CS13" t="e">
        <f>AND('4to. Bach_A'!#REF!,"AAAAAF///2A=")</f>
        <v>#REF!</v>
      </c>
      <c r="CT13" t="e">
        <f>AND('4to. Bach_A'!#REF!,"AAAAAF///2E=")</f>
        <v>#REF!</v>
      </c>
      <c r="CU13" t="e">
        <f>IF('4to. Bach_A'!#REF!,"AAAAAF///2I=",0)</f>
        <v>#REF!</v>
      </c>
      <c r="CV13" t="e">
        <f>AND('4to. Bach_A'!#REF!,"AAAAAF///2M=")</f>
        <v>#REF!</v>
      </c>
      <c r="CW13" t="e">
        <f>AND('4to. Bach_A'!#REF!,"AAAAAF///2Q=")</f>
        <v>#REF!</v>
      </c>
      <c r="CX13" t="e">
        <f>AND('4to. Bach_A'!#REF!,"AAAAAF///2U=")</f>
        <v>#REF!</v>
      </c>
      <c r="CY13" t="e">
        <f>AND('4to. Bach_A'!#REF!,"AAAAAF///2Y=")</f>
        <v>#REF!</v>
      </c>
      <c r="CZ13" t="e">
        <f>AND('4to. Bach_A'!#REF!,"AAAAAF///2c=")</f>
        <v>#REF!</v>
      </c>
      <c r="DA13" t="e">
        <f>AND('4to. Bach_A'!#REF!,"AAAAAF///2g=")</f>
        <v>#REF!</v>
      </c>
      <c r="DB13" t="e">
        <f>AND('4to. Bach_A'!#REF!,"AAAAAF///2k=")</f>
        <v>#REF!</v>
      </c>
      <c r="DC13" t="e">
        <f>AND('4to. Bach_A'!#REF!,"AAAAAF///2o=")</f>
        <v>#REF!</v>
      </c>
      <c r="DD13" t="e">
        <f>AND('4to. Bach_A'!#REF!,"AAAAAF///2s=")</f>
        <v>#REF!</v>
      </c>
      <c r="DE13" t="e">
        <f>AND('4to. Bach_A'!#REF!,"AAAAAF///2w=")</f>
        <v>#REF!</v>
      </c>
      <c r="DF13" t="e">
        <f>AND('4to. Bach_A'!#REF!,"AAAAAF///20=")</f>
        <v>#REF!</v>
      </c>
      <c r="DG13" t="e">
        <f>AND('4to. Bach_A'!#REF!,"AAAAAF///24=")</f>
        <v>#REF!</v>
      </c>
      <c r="DH13" t="e">
        <f>AND('4to. Bach_A'!#REF!,"AAAAAF///28=")</f>
        <v>#REF!</v>
      </c>
      <c r="DI13" t="e">
        <f>AND('4to. Bach_A'!#REF!,"AAAAAF///3A=")</f>
        <v>#REF!</v>
      </c>
      <c r="DJ13" t="e">
        <f>AND('4to. Bach_A'!#REF!,"AAAAAF///3E=")</f>
        <v>#REF!</v>
      </c>
      <c r="DK13" t="e">
        <f>AND('4to. Bach_A'!#REF!,"AAAAAF///3I=")</f>
        <v>#REF!</v>
      </c>
      <c r="DL13" t="e">
        <f>AND('4to. Bach_A'!#REF!,"AAAAAF///3M=")</f>
        <v>#REF!</v>
      </c>
      <c r="DM13" t="e">
        <f>AND('4to. Bach_A'!#REF!,"AAAAAF///3Q=")</f>
        <v>#REF!</v>
      </c>
      <c r="DN13" t="e">
        <f>AND('4to. Bach_A'!#REF!,"AAAAAF///3U=")</f>
        <v>#REF!</v>
      </c>
      <c r="DO13" t="e">
        <f>AND('4to. Bach_A'!#REF!,"AAAAAF///3Y=")</f>
        <v>#REF!</v>
      </c>
      <c r="DP13" t="e">
        <f>AND('4to. Bach_A'!#REF!,"AAAAAF///3c=")</f>
        <v>#REF!</v>
      </c>
      <c r="DQ13" t="e">
        <f>AND('4to. Bach_A'!#REF!,"AAAAAF///3g=")</f>
        <v>#REF!</v>
      </c>
      <c r="DR13" t="e">
        <f>AND('4to. Bach_A'!#REF!,"AAAAAF///3k=")</f>
        <v>#REF!</v>
      </c>
      <c r="DS13" t="e">
        <f>AND('4to. Bach_A'!#REF!,"AAAAAF///3o=")</f>
        <v>#REF!</v>
      </c>
      <c r="DT13" t="e">
        <f>AND('4to. Bach_A'!#REF!,"AAAAAF///3s=")</f>
        <v>#REF!</v>
      </c>
      <c r="DU13" t="e">
        <f>IF('4to. Bach_A'!#REF!,"AAAAAF///3w=",0)</f>
        <v>#REF!</v>
      </c>
      <c r="DV13" t="e">
        <f>AND('4to. Bach_A'!#REF!,"AAAAAF///30=")</f>
        <v>#REF!</v>
      </c>
      <c r="DW13" t="e">
        <f>AND('4to. Bach_A'!#REF!,"AAAAAF///34=")</f>
        <v>#REF!</v>
      </c>
      <c r="DX13" t="e">
        <f>AND('4to. Bach_A'!#REF!,"AAAAAF///38=")</f>
        <v>#REF!</v>
      </c>
      <c r="DY13" t="e">
        <f>AND('4to. Bach_A'!#REF!,"AAAAAF///4A=")</f>
        <v>#REF!</v>
      </c>
      <c r="DZ13" t="e">
        <f>AND('4to. Bach_A'!#REF!,"AAAAAF///4E=")</f>
        <v>#REF!</v>
      </c>
      <c r="EA13" t="e">
        <f>AND('4to. Bach_A'!#REF!,"AAAAAF///4I=")</f>
        <v>#REF!</v>
      </c>
      <c r="EB13" t="e">
        <f>AND('4to. Bach_A'!#REF!,"AAAAAF///4M=")</f>
        <v>#REF!</v>
      </c>
      <c r="EC13" t="e">
        <f>AND('4to. Bach_A'!#REF!,"AAAAAF///4Q=")</f>
        <v>#REF!</v>
      </c>
      <c r="ED13" t="e">
        <f>AND('4to. Bach_A'!#REF!,"AAAAAF///4U=")</f>
        <v>#REF!</v>
      </c>
      <c r="EE13" t="e">
        <f>AND('4to. Bach_A'!#REF!,"AAAAAF///4Y=")</f>
        <v>#REF!</v>
      </c>
      <c r="EF13" t="e">
        <f>AND('4to. Bach_A'!#REF!,"AAAAAF///4c=")</f>
        <v>#REF!</v>
      </c>
      <c r="EG13" t="e">
        <f>AND('4to. Bach_A'!#REF!,"AAAAAF///4g=")</f>
        <v>#REF!</v>
      </c>
      <c r="EH13" t="e">
        <f>AND('4to. Bach_A'!#REF!,"AAAAAF///4k=")</f>
        <v>#REF!</v>
      </c>
      <c r="EI13" t="e">
        <f>AND('4to. Bach_A'!#REF!,"AAAAAF///4o=")</f>
        <v>#REF!</v>
      </c>
      <c r="EJ13" t="e">
        <f>AND('4to. Bach_A'!#REF!,"AAAAAF///4s=")</f>
        <v>#REF!</v>
      </c>
      <c r="EK13" t="e">
        <f>AND('4to. Bach_A'!#REF!,"AAAAAF///4w=")</f>
        <v>#REF!</v>
      </c>
      <c r="EL13" t="e">
        <f>AND('4to. Bach_A'!#REF!,"AAAAAF///40=")</f>
        <v>#REF!</v>
      </c>
      <c r="EM13" t="e">
        <f>AND('4to. Bach_A'!#REF!,"AAAAAF///44=")</f>
        <v>#REF!</v>
      </c>
      <c r="EN13" t="e">
        <f>AND('4to. Bach_A'!#REF!,"AAAAAF///48=")</f>
        <v>#REF!</v>
      </c>
      <c r="EO13" t="e">
        <f>AND('4to. Bach_A'!#REF!,"AAAAAF///5A=")</f>
        <v>#REF!</v>
      </c>
      <c r="EP13" t="e">
        <f>AND('4to. Bach_A'!#REF!,"AAAAAF///5E=")</f>
        <v>#REF!</v>
      </c>
      <c r="EQ13" t="e">
        <f>AND('4to. Bach_A'!#REF!,"AAAAAF///5I=")</f>
        <v>#REF!</v>
      </c>
      <c r="ER13" t="e">
        <f>AND('4to. Bach_A'!#REF!,"AAAAAF///5M=")</f>
        <v>#REF!</v>
      </c>
      <c r="ES13" t="e">
        <f>AND('4to. Bach_A'!#REF!,"AAAAAF///5Q=")</f>
        <v>#REF!</v>
      </c>
      <c r="ET13" t="e">
        <f>AND('4to. Bach_A'!#REF!,"AAAAAF///5U=")</f>
        <v>#REF!</v>
      </c>
      <c r="EU13" t="e">
        <f>IF('4to. Bach_A'!#REF!,"AAAAAF///5Y=",0)</f>
        <v>#REF!</v>
      </c>
      <c r="EV13" t="e">
        <f>AND('4to. Bach_A'!#REF!,"AAAAAF///5c=")</f>
        <v>#REF!</v>
      </c>
      <c r="EW13" t="e">
        <f>AND('4to. Bach_A'!#REF!,"AAAAAF///5g=")</f>
        <v>#REF!</v>
      </c>
      <c r="EX13" t="e">
        <f>AND('4to. Bach_A'!#REF!,"AAAAAF///5k=")</f>
        <v>#REF!</v>
      </c>
      <c r="EY13" t="e">
        <f>AND('4to. Bach_A'!#REF!,"AAAAAF///5o=")</f>
        <v>#REF!</v>
      </c>
      <c r="EZ13" t="e">
        <f>AND('4to. Bach_A'!#REF!,"AAAAAF///5s=")</f>
        <v>#REF!</v>
      </c>
      <c r="FA13" t="e">
        <f>AND('4to. Bach_A'!#REF!,"AAAAAF///5w=")</f>
        <v>#REF!</v>
      </c>
      <c r="FB13" t="e">
        <f>AND('4to. Bach_A'!#REF!,"AAAAAF///50=")</f>
        <v>#REF!</v>
      </c>
      <c r="FC13" t="e">
        <f>AND('4to. Bach_A'!#REF!,"AAAAAF///54=")</f>
        <v>#REF!</v>
      </c>
      <c r="FD13" t="e">
        <f>AND('4to. Bach_A'!#REF!,"AAAAAF///58=")</f>
        <v>#REF!</v>
      </c>
      <c r="FE13" t="e">
        <f>AND('4to. Bach_A'!#REF!,"AAAAAF///6A=")</f>
        <v>#REF!</v>
      </c>
      <c r="FF13" t="e">
        <f>AND('4to. Bach_A'!#REF!,"AAAAAF///6E=")</f>
        <v>#REF!</v>
      </c>
      <c r="FG13" t="e">
        <f>AND('4to. Bach_A'!#REF!,"AAAAAF///6I=")</f>
        <v>#REF!</v>
      </c>
      <c r="FH13" t="e">
        <f>AND('4to. Bach_A'!#REF!,"AAAAAF///6M=")</f>
        <v>#REF!</v>
      </c>
      <c r="FI13" t="e">
        <f>AND('4to. Bach_A'!#REF!,"AAAAAF///6Q=")</f>
        <v>#REF!</v>
      </c>
      <c r="FJ13" t="e">
        <f>AND('4to. Bach_A'!#REF!,"AAAAAF///6U=")</f>
        <v>#REF!</v>
      </c>
      <c r="FK13" t="e">
        <f>AND('4to. Bach_A'!#REF!,"AAAAAF///6Y=")</f>
        <v>#REF!</v>
      </c>
      <c r="FL13" t="e">
        <f>AND('4to. Bach_A'!#REF!,"AAAAAF///6c=")</f>
        <v>#REF!</v>
      </c>
      <c r="FM13" t="e">
        <f>AND('4to. Bach_A'!#REF!,"AAAAAF///6g=")</f>
        <v>#REF!</v>
      </c>
      <c r="FN13" t="e">
        <f>AND('4to. Bach_A'!#REF!,"AAAAAF///6k=")</f>
        <v>#REF!</v>
      </c>
      <c r="FO13" t="e">
        <f>AND('4to. Bach_A'!#REF!,"AAAAAF///6o=")</f>
        <v>#REF!</v>
      </c>
      <c r="FP13" t="e">
        <f>AND('4to. Bach_A'!#REF!,"AAAAAF///6s=")</f>
        <v>#REF!</v>
      </c>
      <c r="FQ13" t="e">
        <f>AND('4to. Bach_A'!#REF!,"AAAAAF///6w=")</f>
        <v>#REF!</v>
      </c>
      <c r="FR13" t="e">
        <f>AND('4to. Bach_A'!#REF!,"AAAAAF///60=")</f>
        <v>#REF!</v>
      </c>
      <c r="FS13" t="e">
        <f>AND('4to. Bach_A'!#REF!,"AAAAAF///64=")</f>
        <v>#REF!</v>
      </c>
      <c r="FT13" t="e">
        <f>AND('4to. Bach_A'!#REF!,"AAAAAF///68=")</f>
        <v>#REF!</v>
      </c>
      <c r="FU13" t="e">
        <f>IF('4to. Bach_A'!#REF!,"AAAAAF///7A=",0)</f>
        <v>#REF!</v>
      </c>
      <c r="FV13" t="e">
        <f>AND('4to. Bach_A'!#REF!,"AAAAAF///7E=")</f>
        <v>#REF!</v>
      </c>
      <c r="FW13" t="e">
        <f>AND('4to. Bach_A'!#REF!,"AAAAAF///7I=")</f>
        <v>#REF!</v>
      </c>
      <c r="FX13" t="e">
        <f>AND('4to. Bach_A'!#REF!,"AAAAAF///7M=")</f>
        <v>#REF!</v>
      </c>
      <c r="FY13" t="e">
        <f>AND('4to. Bach_A'!#REF!,"AAAAAF///7Q=")</f>
        <v>#REF!</v>
      </c>
      <c r="FZ13" t="e">
        <f>AND('4to. Bach_A'!#REF!,"AAAAAF///7U=")</f>
        <v>#REF!</v>
      </c>
      <c r="GA13" t="e">
        <f>AND('4to. Bach_A'!#REF!,"AAAAAF///7Y=")</f>
        <v>#REF!</v>
      </c>
      <c r="GB13" t="e">
        <f>AND('4to. Bach_A'!#REF!,"AAAAAF///7c=")</f>
        <v>#REF!</v>
      </c>
      <c r="GC13" t="e">
        <f>AND('4to. Bach_A'!#REF!,"AAAAAF///7g=")</f>
        <v>#REF!</v>
      </c>
      <c r="GD13" t="e">
        <f>AND('4to. Bach_A'!#REF!,"AAAAAF///7k=")</f>
        <v>#REF!</v>
      </c>
      <c r="GE13" t="e">
        <f>AND('4to. Bach_A'!#REF!,"AAAAAF///7o=")</f>
        <v>#REF!</v>
      </c>
      <c r="GF13" t="e">
        <f>AND('4to. Bach_A'!#REF!,"AAAAAF///7s=")</f>
        <v>#REF!</v>
      </c>
      <c r="GG13" t="e">
        <f>AND('4to. Bach_A'!#REF!,"AAAAAF///7w=")</f>
        <v>#REF!</v>
      </c>
      <c r="GH13" t="e">
        <f>AND('4to. Bach_A'!#REF!,"AAAAAF///70=")</f>
        <v>#REF!</v>
      </c>
      <c r="GI13" t="e">
        <f>AND('4to. Bach_A'!#REF!,"AAAAAF///74=")</f>
        <v>#REF!</v>
      </c>
      <c r="GJ13" t="e">
        <f>AND('4to. Bach_A'!#REF!,"AAAAAF///78=")</f>
        <v>#REF!</v>
      </c>
      <c r="GK13" t="e">
        <f>AND('4to. Bach_A'!#REF!,"AAAAAF///8A=")</f>
        <v>#REF!</v>
      </c>
      <c r="GL13" t="e">
        <f>AND('4to. Bach_A'!#REF!,"AAAAAF///8E=")</f>
        <v>#REF!</v>
      </c>
      <c r="GM13" t="e">
        <f>AND('4to. Bach_A'!#REF!,"AAAAAF///8I=")</f>
        <v>#REF!</v>
      </c>
      <c r="GN13" t="e">
        <f>AND('4to. Bach_A'!#REF!,"AAAAAF///8M=")</f>
        <v>#REF!</v>
      </c>
      <c r="GO13" t="e">
        <f>AND('4to. Bach_A'!#REF!,"AAAAAF///8Q=")</f>
        <v>#REF!</v>
      </c>
      <c r="GP13" t="e">
        <f>AND('4to. Bach_A'!#REF!,"AAAAAF///8U=")</f>
        <v>#REF!</v>
      </c>
      <c r="GQ13" t="e">
        <f>AND('4to. Bach_A'!#REF!,"AAAAAF///8Y=")</f>
        <v>#REF!</v>
      </c>
      <c r="GR13" t="e">
        <f>AND('4to. Bach_A'!#REF!,"AAAAAF///8c=")</f>
        <v>#REF!</v>
      </c>
      <c r="GS13" t="e">
        <f>AND('4to. Bach_A'!#REF!,"AAAAAF///8g=")</f>
        <v>#REF!</v>
      </c>
      <c r="GT13" t="e">
        <f>AND('4to. Bach_A'!#REF!,"AAAAAF///8k=")</f>
        <v>#REF!</v>
      </c>
      <c r="GU13" t="e">
        <f>IF('4to. Bach_A'!#REF!,"AAAAAF///8o=",0)</f>
        <v>#REF!</v>
      </c>
      <c r="GV13" t="e">
        <f>AND('4to. Bach_A'!#REF!,"AAAAAF///8s=")</f>
        <v>#REF!</v>
      </c>
      <c r="GW13" t="e">
        <f>AND('4to. Bach_A'!#REF!,"AAAAAF///8w=")</f>
        <v>#REF!</v>
      </c>
      <c r="GX13" t="e">
        <f>AND('4to. Bach_A'!#REF!,"AAAAAF///80=")</f>
        <v>#REF!</v>
      </c>
      <c r="GY13" t="e">
        <f>AND('4to. Bach_A'!#REF!,"AAAAAF///84=")</f>
        <v>#REF!</v>
      </c>
      <c r="GZ13" t="e">
        <f>AND('4to. Bach_A'!#REF!,"AAAAAF///88=")</f>
        <v>#REF!</v>
      </c>
      <c r="HA13" t="e">
        <f>AND('4to. Bach_A'!#REF!,"AAAAAF///9A=")</f>
        <v>#REF!</v>
      </c>
      <c r="HB13" t="e">
        <f>AND('4to. Bach_A'!#REF!,"AAAAAF///9E=")</f>
        <v>#REF!</v>
      </c>
      <c r="HC13" t="e">
        <f>AND('4to. Bach_A'!#REF!,"AAAAAF///9I=")</f>
        <v>#REF!</v>
      </c>
      <c r="HD13" t="e">
        <f>AND('4to. Bach_A'!#REF!,"AAAAAF///9M=")</f>
        <v>#REF!</v>
      </c>
      <c r="HE13" t="e">
        <f>AND('4to. Bach_A'!#REF!,"AAAAAF///9Q=")</f>
        <v>#REF!</v>
      </c>
      <c r="HF13" t="e">
        <f>AND('4to. Bach_A'!#REF!,"AAAAAF///9U=")</f>
        <v>#REF!</v>
      </c>
      <c r="HG13" t="e">
        <f>AND('4to. Bach_A'!#REF!,"AAAAAF///9Y=")</f>
        <v>#REF!</v>
      </c>
      <c r="HH13" t="e">
        <f>AND('4to. Bach_A'!#REF!,"AAAAAF///9c=")</f>
        <v>#REF!</v>
      </c>
      <c r="HI13" t="e">
        <f>AND('4to. Bach_A'!#REF!,"AAAAAF///9g=")</f>
        <v>#REF!</v>
      </c>
      <c r="HJ13" t="e">
        <f>AND('4to. Bach_A'!#REF!,"AAAAAF///9k=")</f>
        <v>#REF!</v>
      </c>
      <c r="HK13" t="e">
        <f>AND('4to. Bach_A'!#REF!,"AAAAAF///9o=")</f>
        <v>#REF!</v>
      </c>
      <c r="HL13" t="e">
        <f>AND('4to. Bach_A'!#REF!,"AAAAAF///9s=")</f>
        <v>#REF!</v>
      </c>
      <c r="HM13" t="e">
        <f>AND('4to. Bach_A'!#REF!,"AAAAAF///9w=")</f>
        <v>#REF!</v>
      </c>
      <c r="HN13" t="e">
        <f>AND('4to. Bach_A'!#REF!,"AAAAAF///90=")</f>
        <v>#REF!</v>
      </c>
      <c r="HO13" t="e">
        <f>AND('4to. Bach_A'!#REF!,"AAAAAF///94=")</f>
        <v>#REF!</v>
      </c>
      <c r="HP13" t="e">
        <f>AND('4to. Bach_A'!#REF!,"AAAAAF///98=")</f>
        <v>#REF!</v>
      </c>
      <c r="HQ13" t="e">
        <f>AND('4to. Bach_A'!#REF!,"AAAAAF///+A=")</f>
        <v>#REF!</v>
      </c>
      <c r="HR13" t="e">
        <f>AND('4to. Bach_A'!#REF!,"AAAAAF///+E=")</f>
        <v>#REF!</v>
      </c>
      <c r="HS13" t="e">
        <f>AND('4to. Bach_A'!#REF!,"AAAAAF///+I=")</f>
        <v>#REF!</v>
      </c>
      <c r="HT13" t="e">
        <f>AND('4to. Bach_A'!#REF!,"AAAAAF///+M=")</f>
        <v>#REF!</v>
      </c>
      <c r="HU13" t="e">
        <f>IF('4to. Bach_A'!#REF!,"AAAAAF///+Q=",0)</f>
        <v>#REF!</v>
      </c>
      <c r="HV13" t="e">
        <f>AND('4to. Bach_A'!#REF!,"AAAAAF///+U=")</f>
        <v>#REF!</v>
      </c>
      <c r="HW13" t="e">
        <f>AND('4to. Bach_A'!#REF!,"AAAAAF///+Y=")</f>
        <v>#REF!</v>
      </c>
      <c r="HX13" t="e">
        <f>AND('4to. Bach_A'!#REF!,"AAAAAF///+c=")</f>
        <v>#REF!</v>
      </c>
      <c r="HY13" t="e">
        <f>AND('4to. Bach_A'!#REF!,"AAAAAF///+g=")</f>
        <v>#REF!</v>
      </c>
      <c r="HZ13" t="e">
        <f>AND('4to. Bach_A'!#REF!,"AAAAAF///+k=")</f>
        <v>#REF!</v>
      </c>
      <c r="IA13" t="e">
        <f>AND('4to. Bach_A'!#REF!,"AAAAAF///+o=")</f>
        <v>#REF!</v>
      </c>
      <c r="IB13" t="e">
        <f>AND('4to. Bach_A'!#REF!,"AAAAAF///+s=")</f>
        <v>#REF!</v>
      </c>
      <c r="IC13" t="e">
        <f>AND('4to. Bach_A'!#REF!,"AAAAAF///+w=")</f>
        <v>#REF!</v>
      </c>
      <c r="ID13" t="e">
        <f>AND('4to. Bach_A'!#REF!,"AAAAAF///+0=")</f>
        <v>#REF!</v>
      </c>
      <c r="IE13" t="e">
        <f>AND('4to. Bach_A'!#REF!,"AAAAAF///+4=")</f>
        <v>#REF!</v>
      </c>
      <c r="IF13" t="e">
        <f>AND('4to. Bach_A'!#REF!,"AAAAAF///+8=")</f>
        <v>#REF!</v>
      </c>
      <c r="IG13" t="e">
        <f>AND('4to. Bach_A'!#REF!,"AAAAAF////A=")</f>
        <v>#REF!</v>
      </c>
      <c r="IH13" t="e">
        <f>AND('4to. Bach_A'!#REF!,"AAAAAF////E=")</f>
        <v>#REF!</v>
      </c>
      <c r="II13" t="e">
        <f>AND('4to. Bach_A'!#REF!,"AAAAAF////I=")</f>
        <v>#REF!</v>
      </c>
      <c r="IJ13" t="e">
        <f>AND('4to. Bach_A'!#REF!,"AAAAAF////M=")</f>
        <v>#REF!</v>
      </c>
      <c r="IK13" t="e">
        <f>AND('4to. Bach_A'!#REF!,"AAAAAF////Q=")</f>
        <v>#REF!</v>
      </c>
      <c r="IL13" t="e">
        <f>AND('4to. Bach_A'!#REF!,"AAAAAF////U=")</f>
        <v>#REF!</v>
      </c>
      <c r="IM13" t="e">
        <f>AND('4to. Bach_A'!#REF!,"AAAAAF////Y=")</f>
        <v>#REF!</v>
      </c>
      <c r="IN13" t="e">
        <f>AND('4to. Bach_A'!#REF!,"AAAAAF////c=")</f>
        <v>#REF!</v>
      </c>
      <c r="IO13" t="e">
        <f>AND('4to. Bach_A'!#REF!,"AAAAAF////g=")</f>
        <v>#REF!</v>
      </c>
      <c r="IP13" t="e">
        <f>AND('4to. Bach_A'!#REF!,"AAAAAF////k=")</f>
        <v>#REF!</v>
      </c>
      <c r="IQ13" t="e">
        <f>AND('4to. Bach_A'!#REF!,"AAAAAF////o=")</f>
        <v>#REF!</v>
      </c>
      <c r="IR13" t="e">
        <f>AND('4to. Bach_A'!#REF!,"AAAAAF////s=")</f>
        <v>#REF!</v>
      </c>
      <c r="IS13" t="e">
        <f>AND('4to. Bach_A'!#REF!,"AAAAAF////w=")</f>
        <v>#REF!</v>
      </c>
      <c r="IT13" t="e">
        <f>AND('4to. Bach_A'!#REF!,"AAAAAF////0=")</f>
        <v>#REF!</v>
      </c>
      <c r="IU13" t="e">
        <f>IF('4to. Bach_A'!#REF!,"AAAAAF////4=",0)</f>
        <v>#REF!</v>
      </c>
      <c r="IV13" t="e">
        <f>AND('4to. Bach_A'!#REF!,"AAAAAF////8=")</f>
        <v>#REF!</v>
      </c>
    </row>
    <row r="14" spans="1:256">
      <c r="A14" t="e">
        <f>AND('4to. Bach_A'!#REF!,"AAAAAF9zdwA=")</f>
        <v>#REF!</v>
      </c>
      <c r="B14" t="e">
        <f>AND('4to. Bach_A'!#REF!,"AAAAAF9zdwE=")</f>
        <v>#REF!</v>
      </c>
      <c r="C14" t="e">
        <f>AND('4to. Bach_A'!#REF!,"AAAAAF9zdwI=")</f>
        <v>#REF!</v>
      </c>
      <c r="D14" t="e">
        <f>AND('4to. Bach_A'!#REF!,"AAAAAF9zdwM=")</f>
        <v>#REF!</v>
      </c>
      <c r="E14" t="e">
        <f>AND('4to. Bach_A'!#REF!,"AAAAAF9zdwQ=")</f>
        <v>#REF!</v>
      </c>
      <c r="F14" t="e">
        <f>AND('4to. Bach_A'!#REF!,"AAAAAF9zdwU=")</f>
        <v>#REF!</v>
      </c>
      <c r="G14" t="e">
        <f>AND('4to. Bach_A'!#REF!,"AAAAAF9zdwY=")</f>
        <v>#REF!</v>
      </c>
      <c r="H14" t="e">
        <f>AND('4to. Bach_A'!#REF!,"AAAAAF9zdwc=")</f>
        <v>#REF!</v>
      </c>
      <c r="I14" t="e">
        <f>AND('4to. Bach_A'!#REF!,"AAAAAF9zdwg=")</f>
        <v>#REF!</v>
      </c>
      <c r="J14" t="e">
        <f>AND('4to. Bach_A'!#REF!,"AAAAAF9zdwk=")</f>
        <v>#REF!</v>
      </c>
      <c r="K14" t="e">
        <f>AND('4to. Bach_A'!#REF!,"AAAAAF9zdwo=")</f>
        <v>#REF!</v>
      </c>
      <c r="L14" t="e">
        <f>AND('4to. Bach_A'!#REF!,"AAAAAF9zdws=")</f>
        <v>#REF!</v>
      </c>
      <c r="M14" t="e">
        <f>AND('4to. Bach_A'!#REF!,"AAAAAF9zdww=")</f>
        <v>#REF!</v>
      </c>
      <c r="N14" t="e">
        <f>AND('4to. Bach_A'!#REF!,"AAAAAF9zdw0=")</f>
        <v>#REF!</v>
      </c>
      <c r="O14" t="e">
        <f>AND('4to. Bach_A'!#REF!,"AAAAAF9zdw4=")</f>
        <v>#REF!</v>
      </c>
      <c r="P14" t="e">
        <f>AND('4to. Bach_A'!#REF!,"AAAAAF9zdw8=")</f>
        <v>#REF!</v>
      </c>
      <c r="Q14" t="e">
        <f>AND('4to. Bach_A'!#REF!,"AAAAAF9zdxA=")</f>
        <v>#REF!</v>
      </c>
      <c r="R14" t="e">
        <f>AND('4to. Bach_A'!#REF!,"AAAAAF9zdxE=")</f>
        <v>#REF!</v>
      </c>
      <c r="S14" t="e">
        <f>AND('4to. Bach_A'!#REF!,"AAAAAF9zdxI=")</f>
        <v>#REF!</v>
      </c>
      <c r="T14" t="e">
        <f>AND('4to. Bach_A'!#REF!,"AAAAAF9zdxM=")</f>
        <v>#REF!</v>
      </c>
      <c r="U14" t="e">
        <f>AND('4to. Bach_A'!#REF!,"AAAAAF9zdxQ=")</f>
        <v>#REF!</v>
      </c>
      <c r="V14" t="e">
        <f>AND('4to. Bach_A'!#REF!,"AAAAAF9zdxU=")</f>
        <v>#REF!</v>
      </c>
      <c r="W14" t="e">
        <f>AND('4to. Bach_A'!#REF!,"AAAAAF9zdxY=")</f>
        <v>#REF!</v>
      </c>
      <c r="X14" t="e">
        <f>AND('4to. Bach_A'!#REF!,"AAAAAF9zdxc=")</f>
        <v>#REF!</v>
      </c>
      <c r="Y14" t="e">
        <f>IF('4to. Bach_A'!#REF!,"AAAAAF9zdxg=",0)</f>
        <v>#REF!</v>
      </c>
      <c r="Z14" t="e">
        <f>AND('4to. Bach_A'!#REF!,"AAAAAF9zdxk=")</f>
        <v>#REF!</v>
      </c>
      <c r="AA14" t="e">
        <f>AND('4to. Bach_A'!#REF!,"AAAAAF9zdxo=")</f>
        <v>#REF!</v>
      </c>
      <c r="AB14" t="e">
        <f>AND('4to. Bach_A'!#REF!,"AAAAAF9zdxs=")</f>
        <v>#REF!</v>
      </c>
      <c r="AC14" t="e">
        <f>AND('4to. Bach_A'!#REF!,"AAAAAF9zdxw=")</f>
        <v>#REF!</v>
      </c>
      <c r="AD14" t="e">
        <f>AND('4to. Bach_A'!#REF!,"AAAAAF9zdx0=")</f>
        <v>#REF!</v>
      </c>
      <c r="AE14" t="e">
        <f>AND('4to. Bach_A'!#REF!,"AAAAAF9zdx4=")</f>
        <v>#REF!</v>
      </c>
      <c r="AF14" t="e">
        <f>AND('4to. Bach_A'!#REF!,"AAAAAF9zdx8=")</f>
        <v>#REF!</v>
      </c>
      <c r="AG14" t="e">
        <f>AND('4to. Bach_A'!#REF!,"AAAAAF9zdyA=")</f>
        <v>#REF!</v>
      </c>
      <c r="AH14" t="e">
        <f>AND('4to. Bach_A'!#REF!,"AAAAAF9zdyE=")</f>
        <v>#REF!</v>
      </c>
      <c r="AI14" t="e">
        <f>AND('4to. Bach_A'!#REF!,"AAAAAF9zdyI=")</f>
        <v>#REF!</v>
      </c>
      <c r="AJ14" t="e">
        <f>AND('4to. Bach_A'!#REF!,"AAAAAF9zdyM=")</f>
        <v>#REF!</v>
      </c>
      <c r="AK14" t="e">
        <f>AND('4to. Bach_A'!#REF!,"AAAAAF9zdyQ=")</f>
        <v>#REF!</v>
      </c>
      <c r="AL14" t="e">
        <f>AND('4to. Bach_A'!#REF!,"AAAAAF9zdyU=")</f>
        <v>#REF!</v>
      </c>
      <c r="AM14" t="e">
        <f>AND('4to. Bach_A'!#REF!,"AAAAAF9zdyY=")</f>
        <v>#REF!</v>
      </c>
      <c r="AN14" t="e">
        <f>AND('4to. Bach_A'!#REF!,"AAAAAF9zdyc=")</f>
        <v>#REF!</v>
      </c>
      <c r="AO14" t="e">
        <f>AND('4to. Bach_A'!#REF!,"AAAAAF9zdyg=")</f>
        <v>#REF!</v>
      </c>
      <c r="AP14" t="e">
        <f>AND('4to. Bach_A'!#REF!,"AAAAAF9zdyk=")</f>
        <v>#REF!</v>
      </c>
      <c r="AQ14" t="e">
        <f>AND('4to. Bach_A'!#REF!,"AAAAAF9zdyo=")</f>
        <v>#REF!</v>
      </c>
      <c r="AR14" t="e">
        <f>AND('4to. Bach_A'!#REF!,"AAAAAF9zdys=")</f>
        <v>#REF!</v>
      </c>
      <c r="AS14" t="e">
        <f>AND('4to. Bach_A'!#REF!,"AAAAAF9zdyw=")</f>
        <v>#REF!</v>
      </c>
      <c r="AT14" t="e">
        <f>AND('4to. Bach_A'!#REF!,"AAAAAF9zdy0=")</f>
        <v>#REF!</v>
      </c>
      <c r="AU14" t="e">
        <f>AND('4to. Bach_A'!#REF!,"AAAAAF9zdy4=")</f>
        <v>#REF!</v>
      </c>
      <c r="AV14" t="e">
        <f>AND('4to. Bach_A'!#REF!,"AAAAAF9zdy8=")</f>
        <v>#REF!</v>
      </c>
      <c r="AW14" t="e">
        <f>AND('4to. Bach_A'!#REF!,"AAAAAF9zdzA=")</f>
        <v>#REF!</v>
      </c>
      <c r="AX14" t="e">
        <f>AND('4to. Bach_A'!#REF!,"AAAAAF9zdzE=")</f>
        <v>#REF!</v>
      </c>
      <c r="AY14" t="e">
        <f>IF('4to. Bach_A'!#REF!,"AAAAAF9zdzI=",0)</f>
        <v>#REF!</v>
      </c>
      <c r="AZ14" t="e">
        <f>AND('4to. Bach_A'!#REF!,"AAAAAF9zdzM=")</f>
        <v>#REF!</v>
      </c>
      <c r="BA14" t="e">
        <f>AND('4to. Bach_A'!#REF!,"AAAAAF9zdzQ=")</f>
        <v>#REF!</v>
      </c>
      <c r="BB14" t="e">
        <f>AND('4to. Bach_A'!#REF!,"AAAAAF9zdzU=")</f>
        <v>#REF!</v>
      </c>
      <c r="BC14" t="e">
        <f>AND('4to. Bach_A'!#REF!,"AAAAAF9zdzY=")</f>
        <v>#REF!</v>
      </c>
      <c r="BD14" t="e">
        <f>AND('4to. Bach_A'!#REF!,"AAAAAF9zdzc=")</f>
        <v>#REF!</v>
      </c>
      <c r="BE14" t="e">
        <f>AND('4to. Bach_A'!#REF!,"AAAAAF9zdzg=")</f>
        <v>#REF!</v>
      </c>
      <c r="BF14" t="e">
        <f>AND('4to. Bach_A'!#REF!,"AAAAAF9zdzk=")</f>
        <v>#REF!</v>
      </c>
      <c r="BG14" t="e">
        <f>AND('4to. Bach_A'!#REF!,"AAAAAF9zdzo=")</f>
        <v>#REF!</v>
      </c>
      <c r="BH14" t="e">
        <f>AND('4to. Bach_A'!#REF!,"AAAAAF9zdzs=")</f>
        <v>#REF!</v>
      </c>
      <c r="BI14" t="e">
        <f>AND('4to. Bach_A'!#REF!,"AAAAAF9zdzw=")</f>
        <v>#REF!</v>
      </c>
      <c r="BJ14" t="e">
        <f>AND('4to. Bach_A'!#REF!,"AAAAAF9zdz0=")</f>
        <v>#REF!</v>
      </c>
      <c r="BK14" t="e">
        <f>AND('4to. Bach_A'!#REF!,"AAAAAF9zdz4=")</f>
        <v>#REF!</v>
      </c>
      <c r="BL14" t="e">
        <f>AND('4to. Bach_A'!#REF!,"AAAAAF9zdz8=")</f>
        <v>#REF!</v>
      </c>
      <c r="BM14" t="e">
        <f>AND('4to. Bach_A'!#REF!,"AAAAAF9zd0A=")</f>
        <v>#REF!</v>
      </c>
      <c r="BN14" t="e">
        <f>AND('4to. Bach_A'!#REF!,"AAAAAF9zd0E=")</f>
        <v>#REF!</v>
      </c>
      <c r="BO14" t="e">
        <f>AND('4to. Bach_A'!#REF!,"AAAAAF9zd0I=")</f>
        <v>#REF!</v>
      </c>
      <c r="BP14" t="e">
        <f>AND('4to. Bach_A'!#REF!,"AAAAAF9zd0M=")</f>
        <v>#REF!</v>
      </c>
      <c r="BQ14" t="e">
        <f>AND('4to. Bach_A'!#REF!,"AAAAAF9zd0Q=")</f>
        <v>#REF!</v>
      </c>
      <c r="BR14" t="e">
        <f>AND('4to. Bach_A'!#REF!,"AAAAAF9zd0U=")</f>
        <v>#REF!</v>
      </c>
      <c r="BS14" t="e">
        <f>AND('4to. Bach_A'!#REF!,"AAAAAF9zd0Y=")</f>
        <v>#REF!</v>
      </c>
      <c r="BT14" t="e">
        <f>AND('4to. Bach_A'!#REF!,"AAAAAF9zd0c=")</f>
        <v>#REF!</v>
      </c>
      <c r="BU14" t="e">
        <f>AND('4to. Bach_A'!#REF!,"AAAAAF9zd0g=")</f>
        <v>#REF!</v>
      </c>
      <c r="BV14" t="e">
        <f>AND('4to. Bach_A'!#REF!,"AAAAAF9zd0k=")</f>
        <v>#REF!</v>
      </c>
      <c r="BW14" t="e">
        <f>AND('4to. Bach_A'!#REF!,"AAAAAF9zd0o=")</f>
        <v>#REF!</v>
      </c>
      <c r="BX14" t="e">
        <f>AND('4to. Bach_A'!#REF!,"AAAAAF9zd0s=")</f>
        <v>#REF!</v>
      </c>
      <c r="BY14" t="e">
        <f>IF('4to. Bach_A'!#REF!,"AAAAAF9zd0w=",0)</f>
        <v>#REF!</v>
      </c>
      <c r="BZ14" t="e">
        <f>AND('4to. Bach_A'!#REF!,"AAAAAF9zd00=")</f>
        <v>#REF!</v>
      </c>
      <c r="CA14" t="e">
        <f>AND('4to. Bach_A'!#REF!,"AAAAAF9zd04=")</f>
        <v>#REF!</v>
      </c>
      <c r="CB14" t="e">
        <f>AND('4to. Bach_A'!#REF!,"AAAAAF9zd08=")</f>
        <v>#REF!</v>
      </c>
      <c r="CC14" t="e">
        <f>AND('4to. Bach_A'!#REF!,"AAAAAF9zd1A=")</f>
        <v>#REF!</v>
      </c>
      <c r="CD14" t="e">
        <f>AND('4to. Bach_A'!#REF!,"AAAAAF9zd1E=")</f>
        <v>#REF!</v>
      </c>
      <c r="CE14" t="e">
        <f>AND('4to. Bach_A'!#REF!,"AAAAAF9zd1I=")</f>
        <v>#REF!</v>
      </c>
      <c r="CF14" t="e">
        <f>AND('4to. Bach_A'!#REF!,"AAAAAF9zd1M=")</f>
        <v>#REF!</v>
      </c>
      <c r="CG14" t="e">
        <f>AND('4to. Bach_A'!#REF!,"AAAAAF9zd1Q=")</f>
        <v>#REF!</v>
      </c>
      <c r="CH14" t="e">
        <f>AND('4to. Bach_A'!#REF!,"AAAAAF9zd1U=")</f>
        <v>#REF!</v>
      </c>
      <c r="CI14" t="e">
        <f>AND('4to. Bach_A'!#REF!,"AAAAAF9zd1Y=")</f>
        <v>#REF!</v>
      </c>
      <c r="CJ14" t="e">
        <f>AND('4to. Bach_A'!#REF!,"AAAAAF9zd1c=")</f>
        <v>#REF!</v>
      </c>
      <c r="CK14" t="e">
        <f>AND('4to. Bach_A'!#REF!,"AAAAAF9zd1g=")</f>
        <v>#REF!</v>
      </c>
      <c r="CL14" t="e">
        <f>AND('4to. Bach_A'!#REF!,"AAAAAF9zd1k=")</f>
        <v>#REF!</v>
      </c>
      <c r="CM14" t="e">
        <f>AND('4to. Bach_A'!#REF!,"AAAAAF9zd1o=")</f>
        <v>#REF!</v>
      </c>
      <c r="CN14" t="e">
        <f>AND('4to. Bach_A'!#REF!,"AAAAAF9zd1s=")</f>
        <v>#REF!</v>
      </c>
      <c r="CO14" t="e">
        <f>AND('4to. Bach_A'!#REF!,"AAAAAF9zd1w=")</f>
        <v>#REF!</v>
      </c>
      <c r="CP14" t="e">
        <f>AND('4to. Bach_A'!#REF!,"AAAAAF9zd10=")</f>
        <v>#REF!</v>
      </c>
      <c r="CQ14" t="e">
        <f>AND('4to. Bach_A'!#REF!,"AAAAAF9zd14=")</f>
        <v>#REF!</v>
      </c>
      <c r="CR14" t="e">
        <f>AND('4to. Bach_A'!#REF!,"AAAAAF9zd18=")</f>
        <v>#REF!</v>
      </c>
      <c r="CS14" t="e">
        <f>AND('4to. Bach_A'!#REF!,"AAAAAF9zd2A=")</f>
        <v>#REF!</v>
      </c>
      <c r="CT14" t="e">
        <f>AND('4to. Bach_A'!#REF!,"AAAAAF9zd2E=")</f>
        <v>#REF!</v>
      </c>
      <c r="CU14" t="e">
        <f>AND('4to. Bach_A'!#REF!,"AAAAAF9zd2I=")</f>
        <v>#REF!</v>
      </c>
      <c r="CV14" t="e">
        <f>AND('4to. Bach_A'!#REF!,"AAAAAF9zd2M=")</f>
        <v>#REF!</v>
      </c>
      <c r="CW14" t="e">
        <f>AND('4to. Bach_A'!#REF!,"AAAAAF9zd2Q=")</f>
        <v>#REF!</v>
      </c>
      <c r="CX14" t="e">
        <f>AND('4to. Bach_A'!#REF!,"AAAAAF9zd2U=")</f>
        <v>#REF!</v>
      </c>
      <c r="CY14" t="e">
        <f>IF('4to. Bach_A'!#REF!,"AAAAAF9zd2Y=",0)</f>
        <v>#REF!</v>
      </c>
      <c r="CZ14" t="e">
        <f>AND('4to. Bach_A'!#REF!,"AAAAAF9zd2c=")</f>
        <v>#REF!</v>
      </c>
      <c r="DA14" t="e">
        <f>AND('4to. Bach_A'!#REF!,"AAAAAF9zd2g=")</f>
        <v>#REF!</v>
      </c>
      <c r="DB14" t="e">
        <f>AND('4to. Bach_A'!#REF!,"AAAAAF9zd2k=")</f>
        <v>#REF!</v>
      </c>
      <c r="DC14" t="e">
        <f>AND('4to. Bach_A'!#REF!,"AAAAAF9zd2o=")</f>
        <v>#REF!</v>
      </c>
      <c r="DD14" t="e">
        <f>AND('4to. Bach_A'!#REF!,"AAAAAF9zd2s=")</f>
        <v>#REF!</v>
      </c>
      <c r="DE14" t="e">
        <f>AND('4to. Bach_A'!#REF!,"AAAAAF9zd2w=")</f>
        <v>#REF!</v>
      </c>
      <c r="DF14" t="e">
        <f>AND('4to. Bach_A'!#REF!,"AAAAAF9zd20=")</f>
        <v>#REF!</v>
      </c>
      <c r="DG14" t="e">
        <f>AND('4to. Bach_A'!#REF!,"AAAAAF9zd24=")</f>
        <v>#REF!</v>
      </c>
      <c r="DH14" t="e">
        <f>AND('4to. Bach_A'!#REF!,"AAAAAF9zd28=")</f>
        <v>#REF!</v>
      </c>
      <c r="DI14" t="e">
        <f>AND('4to. Bach_A'!#REF!,"AAAAAF9zd3A=")</f>
        <v>#REF!</v>
      </c>
      <c r="DJ14" t="e">
        <f>AND('4to. Bach_A'!#REF!,"AAAAAF9zd3E=")</f>
        <v>#REF!</v>
      </c>
      <c r="DK14" t="e">
        <f>AND('4to. Bach_A'!#REF!,"AAAAAF9zd3I=")</f>
        <v>#REF!</v>
      </c>
      <c r="DL14" t="e">
        <f>AND('4to. Bach_A'!#REF!,"AAAAAF9zd3M=")</f>
        <v>#REF!</v>
      </c>
      <c r="DM14" t="e">
        <f>AND('4to. Bach_A'!#REF!,"AAAAAF9zd3Q=")</f>
        <v>#REF!</v>
      </c>
      <c r="DN14" t="e">
        <f>AND('4to. Bach_A'!#REF!,"AAAAAF9zd3U=")</f>
        <v>#REF!</v>
      </c>
      <c r="DO14" t="e">
        <f>AND('4to. Bach_A'!#REF!,"AAAAAF9zd3Y=")</f>
        <v>#REF!</v>
      </c>
      <c r="DP14" t="e">
        <f>AND('4to. Bach_A'!#REF!,"AAAAAF9zd3c=")</f>
        <v>#REF!</v>
      </c>
      <c r="DQ14" t="e">
        <f>AND('4to. Bach_A'!#REF!,"AAAAAF9zd3g=")</f>
        <v>#REF!</v>
      </c>
      <c r="DR14" t="e">
        <f>AND('4to. Bach_A'!#REF!,"AAAAAF9zd3k=")</f>
        <v>#REF!</v>
      </c>
      <c r="DS14" t="e">
        <f>AND('4to. Bach_A'!#REF!,"AAAAAF9zd3o=")</f>
        <v>#REF!</v>
      </c>
      <c r="DT14" t="e">
        <f>AND('4to. Bach_A'!#REF!,"AAAAAF9zd3s=")</f>
        <v>#REF!</v>
      </c>
      <c r="DU14" t="e">
        <f>AND('4to. Bach_A'!#REF!,"AAAAAF9zd3w=")</f>
        <v>#REF!</v>
      </c>
      <c r="DV14" t="e">
        <f>AND('4to. Bach_A'!#REF!,"AAAAAF9zd30=")</f>
        <v>#REF!</v>
      </c>
      <c r="DW14" t="e">
        <f>AND('4to. Bach_A'!#REF!,"AAAAAF9zd34=")</f>
        <v>#REF!</v>
      </c>
      <c r="DX14" t="e">
        <f>AND('4to. Bach_A'!#REF!,"AAAAAF9zd38=")</f>
        <v>#REF!</v>
      </c>
      <c r="DY14" t="e">
        <f>IF('4to. Bach_A'!#REF!,"AAAAAF9zd4A=",0)</f>
        <v>#REF!</v>
      </c>
      <c r="DZ14" t="e">
        <f>AND('4to. Bach_A'!#REF!,"AAAAAF9zd4E=")</f>
        <v>#REF!</v>
      </c>
      <c r="EA14" t="e">
        <f>AND('4to. Bach_A'!#REF!,"AAAAAF9zd4I=")</f>
        <v>#REF!</v>
      </c>
      <c r="EB14" t="e">
        <f>AND('4to. Bach_A'!#REF!,"AAAAAF9zd4M=")</f>
        <v>#REF!</v>
      </c>
      <c r="EC14" t="e">
        <f>AND('4to. Bach_A'!#REF!,"AAAAAF9zd4Q=")</f>
        <v>#REF!</v>
      </c>
      <c r="ED14" t="e">
        <f>AND('4to. Bach_A'!#REF!,"AAAAAF9zd4U=")</f>
        <v>#REF!</v>
      </c>
      <c r="EE14" t="e">
        <f>AND('4to. Bach_A'!#REF!,"AAAAAF9zd4Y=")</f>
        <v>#REF!</v>
      </c>
      <c r="EF14" t="e">
        <f>AND('4to. Bach_A'!#REF!,"AAAAAF9zd4c=")</f>
        <v>#REF!</v>
      </c>
      <c r="EG14" t="e">
        <f>AND('4to. Bach_A'!#REF!,"AAAAAF9zd4g=")</f>
        <v>#REF!</v>
      </c>
      <c r="EH14" t="e">
        <f>AND('4to. Bach_A'!#REF!,"AAAAAF9zd4k=")</f>
        <v>#REF!</v>
      </c>
      <c r="EI14" t="e">
        <f>AND('4to. Bach_A'!#REF!,"AAAAAF9zd4o=")</f>
        <v>#REF!</v>
      </c>
      <c r="EJ14" t="e">
        <f>AND('4to. Bach_A'!#REF!,"AAAAAF9zd4s=")</f>
        <v>#REF!</v>
      </c>
      <c r="EK14" t="e">
        <f>AND('4to. Bach_A'!#REF!,"AAAAAF9zd4w=")</f>
        <v>#REF!</v>
      </c>
      <c r="EL14" t="e">
        <f>AND('4to. Bach_A'!#REF!,"AAAAAF9zd40=")</f>
        <v>#REF!</v>
      </c>
      <c r="EM14" t="e">
        <f>AND('4to. Bach_A'!#REF!,"AAAAAF9zd44=")</f>
        <v>#REF!</v>
      </c>
      <c r="EN14" t="e">
        <f>AND('4to. Bach_A'!#REF!,"AAAAAF9zd48=")</f>
        <v>#REF!</v>
      </c>
      <c r="EO14" t="e">
        <f>AND('4to. Bach_A'!#REF!,"AAAAAF9zd5A=")</f>
        <v>#REF!</v>
      </c>
      <c r="EP14" t="e">
        <f>AND('4to. Bach_A'!#REF!,"AAAAAF9zd5E=")</f>
        <v>#REF!</v>
      </c>
      <c r="EQ14" t="e">
        <f>AND('4to. Bach_A'!#REF!,"AAAAAF9zd5I=")</f>
        <v>#REF!</v>
      </c>
      <c r="ER14" t="e">
        <f>AND('4to. Bach_A'!#REF!,"AAAAAF9zd5M=")</f>
        <v>#REF!</v>
      </c>
      <c r="ES14" t="e">
        <f>AND('4to. Bach_A'!#REF!,"AAAAAF9zd5Q=")</f>
        <v>#REF!</v>
      </c>
      <c r="ET14" t="e">
        <f>AND('4to. Bach_A'!#REF!,"AAAAAF9zd5U=")</f>
        <v>#REF!</v>
      </c>
      <c r="EU14" t="e">
        <f>AND('4to. Bach_A'!#REF!,"AAAAAF9zd5Y=")</f>
        <v>#REF!</v>
      </c>
      <c r="EV14" t="e">
        <f>AND('4to. Bach_A'!#REF!,"AAAAAF9zd5c=")</f>
        <v>#REF!</v>
      </c>
      <c r="EW14" t="e">
        <f>AND('4to. Bach_A'!#REF!,"AAAAAF9zd5g=")</f>
        <v>#REF!</v>
      </c>
      <c r="EX14" t="e">
        <f>AND('4to. Bach_A'!#REF!,"AAAAAF9zd5k=")</f>
        <v>#REF!</v>
      </c>
      <c r="EY14" t="e">
        <f>IF('4to. Bach_A'!A:A,"AAAAAF9zd5o=",0)</f>
        <v>#VALUE!</v>
      </c>
      <c r="EZ14" t="e">
        <f>IF('4to. Bach_A'!B:B,"AAAAAF9zd5s=",0)</f>
        <v>#VALUE!</v>
      </c>
      <c r="FA14" t="e">
        <f>IF('4to. Bach_A'!C:C,"AAAAAF9zd5w=",0)</f>
        <v>#VALUE!</v>
      </c>
      <c r="FB14">
        <f>IF('4to. Bach_A'!D:D,"AAAAAF9zd50=",0)</f>
        <v>0</v>
      </c>
      <c r="FC14">
        <f>IF('4to. Bach_A'!E:E,"AAAAAF9zd54=",0)</f>
        <v>0</v>
      </c>
      <c r="FD14">
        <f>IF('4to. Bach_A'!F:F,"AAAAAF9zd58=",0)</f>
        <v>0</v>
      </c>
      <c r="FE14">
        <f>IF('4to. Bach_A'!G:G,"AAAAAF9zd6A=",0)</f>
        <v>0</v>
      </c>
      <c r="FF14">
        <f>IF('4to. Bach_A'!H:H,"AAAAAF9zd6E=",0)</f>
        <v>0</v>
      </c>
      <c r="FG14">
        <f>IF('4to. Bach_A'!I:I,"AAAAAF9zd6I=",0)</f>
        <v>0</v>
      </c>
      <c r="FH14">
        <f>IF('4to. Bach_A'!J:J,"AAAAAF9zd6M=",0)</f>
        <v>0</v>
      </c>
      <c r="FI14">
        <f>IF('4to. Bach_A'!K:K,"AAAAAF9zd6Q=",0)</f>
        <v>0</v>
      </c>
      <c r="FJ14">
        <f>IF('4to. Bach_A'!L:L,"AAAAAF9zd6U=",0)</f>
        <v>0</v>
      </c>
      <c r="FK14">
        <f>IF('4to. Bach_A'!M:M,"AAAAAF9zd6Y=",0)</f>
        <v>0</v>
      </c>
      <c r="FL14">
        <f>IF('4to. Bach_A'!N:N,"AAAAAF9zd6c=",0)</f>
        <v>0</v>
      </c>
      <c r="FM14">
        <f>IF('4to. Bach_A'!O:O,"AAAAAF9zd6g=",0)</f>
        <v>0</v>
      </c>
      <c r="FN14">
        <f>IF('4to. Bach_A'!P:P,"AAAAAF9zd6k=",0)</f>
        <v>0</v>
      </c>
      <c r="FO14">
        <f>IF('4to. Bach_A'!Q:Q,"AAAAAF9zd6o=",0)</f>
        <v>0</v>
      </c>
      <c r="FP14">
        <f>IF('4to. Bach_A'!R:R,"AAAAAF9zd6s=",0)</f>
        <v>0</v>
      </c>
      <c r="FQ14">
        <f>IF('4to. Bach_A'!S:S,"AAAAAF9zd6w=",0)</f>
        <v>0</v>
      </c>
      <c r="FR14">
        <f>IF('4to. Bach_A'!T:T,"AAAAAF9zd60=",0)</f>
        <v>0</v>
      </c>
      <c r="FS14" t="e">
        <f>IF('4to. Bach_A'!#REF!,"AAAAAF9zd64=",0)</f>
        <v>#REF!</v>
      </c>
      <c r="FT14" t="e">
        <f>IF('4to. Bach_A'!#REF!,"AAAAAF9zd68=",0)</f>
        <v>#REF!</v>
      </c>
      <c r="FU14" t="e">
        <f>IF('4to. Bach_A'!#REF!,"AAAAAF9zd7A=",0)</f>
        <v>#REF!</v>
      </c>
      <c r="FV14" t="e">
        <f>IF('4to. Bach_A'!#REF!,"AAAAAF9zd7E=",0)</f>
        <v>#REF!</v>
      </c>
      <c r="FW14" t="e">
        <f>IF('4to. Bach_A'!#REF!,"AAAAAF9zd7I=",0)</f>
        <v>#REF!</v>
      </c>
    </row>
    <row r="15" spans="1:256">
      <c r="A15" t="e">
        <f>IF('4to. Bach_B'!#REF!,"AAAAAF80/wA=",0)</f>
        <v>#REF!</v>
      </c>
      <c r="B15" t="e">
        <f>AND('4to. Bach_B'!#REF!,"AAAAAF80/wE=")</f>
        <v>#REF!</v>
      </c>
      <c r="C15" t="e">
        <f>AND('4to. Bach_B'!#REF!,"AAAAAF80/wI=")</f>
        <v>#REF!</v>
      </c>
      <c r="D15" t="e">
        <f>AND('4to. Bach_B'!#REF!,"AAAAAF80/wM=")</f>
        <v>#REF!</v>
      </c>
      <c r="E15" t="e">
        <f>AND('4to. Bach_B'!#REF!,"AAAAAF80/wQ=")</f>
        <v>#REF!</v>
      </c>
      <c r="F15" t="e">
        <f>AND('4to. Bach_B'!#REF!,"AAAAAF80/wU=")</f>
        <v>#REF!</v>
      </c>
      <c r="G15" t="e">
        <f>AND('4to. Bach_B'!#REF!,"AAAAAF80/wY=")</f>
        <v>#REF!</v>
      </c>
      <c r="H15" t="e">
        <f>AND('4to. Bach_B'!#REF!,"AAAAAF80/wc=")</f>
        <v>#REF!</v>
      </c>
      <c r="I15" t="e">
        <f>AND('4to. Bach_B'!#REF!,"AAAAAF80/wg=")</f>
        <v>#REF!</v>
      </c>
      <c r="J15" t="e">
        <f>AND('4to. Bach_B'!#REF!,"AAAAAF80/wk=")</f>
        <v>#REF!</v>
      </c>
      <c r="K15" t="e">
        <f>AND('4to. Bach_B'!#REF!,"AAAAAF80/wo=")</f>
        <v>#REF!</v>
      </c>
      <c r="L15" t="e">
        <f>AND('4to. Bach_B'!#REF!,"AAAAAF80/ws=")</f>
        <v>#REF!</v>
      </c>
      <c r="M15" t="e">
        <f>AND('4to. Bach_B'!#REF!,"AAAAAF80/ww=")</f>
        <v>#REF!</v>
      </c>
      <c r="N15" t="e">
        <f>AND('4to. Bach_B'!#REF!,"AAAAAF80/w0=")</f>
        <v>#REF!</v>
      </c>
      <c r="O15" t="e">
        <f>AND('4to. Bach_B'!#REF!,"AAAAAF80/w4=")</f>
        <v>#REF!</v>
      </c>
      <c r="P15" t="e">
        <f>AND('4to. Bach_B'!#REF!,"AAAAAF80/w8=")</f>
        <v>#REF!</v>
      </c>
      <c r="Q15" t="e">
        <f>AND('4to. Bach_B'!#REF!,"AAAAAF80/xA=")</f>
        <v>#REF!</v>
      </c>
      <c r="R15" t="e">
        <f>AND('4to. Bach_B'!#REF!,"AAAAAF80/xE=")</f>
        <v>#REF!</v>
      </c>
      <c r="S15" t="e">
        <f>AND('4to. Bach_B'!#REF!,"AAAAAF80/xI=")</f>
        <v>#REF!</v>
      </c>
      <c r="T15" t="e">
        <f>AND('4to. Bach_B'!#REF!,"AAAAAF80/xM=")</f>
        <v>#REF!</v>
      </c>
      <c r="U15" t="e">
        <f>AND('4to. Bach_B'!#REF!,"AAAAAF80/xQ=")</f>
        <v>#REF!</v>
      </c>
      <c r="V15" t="e">
        <f>AND('4to. Bach_B'!#REF!,"AAAAAF80/xU=")</f>
        <v>#REF!</v>
      </c>
      <c r="W15" t="e">
        <f>AND('4to. Bach_B'!#REF!,"AAAAAF80/xY=")</f>
        <v>#REF!</v>
      </c>
      <c r="X15" t="e">
        <f>AND('4to. Bach_B'!#REF!,"AAAAAF80/xc=")</f>
        <v>#REF!</v>
      </c>
      <c r="Y15" t="e">
        <f>AND('4to. Bach_B'!#REF!,"AAAAAF80/xg=")</f>
        <v>#REF!</v>
      </c>
      <c r="Z15" t="e">
        <f>AND('4to. Bach_B'!#REF!,"AAAAAF80/xk=")</f>
        <v>#REF!</v>
      </c>
      <c r="AA15" t="e">
        <f>IF('4to. Bach_B'!#REF!,"AAAAAF80/xo=",0)</f>
        <v>#REF!</v>
      </c>
      <c r="AB15" t="e">
        <f>AND('4to. Bach_B'!#REF!,"AAAAAF80/xs=")</f>
        <v>#REF!</v>
      </c>
      <c r="AC15" t="e">
        <f>AND('4to. Bach_B'!#REF!,"AAAAAF80/xw=")</f>
        <v>#REF!</v>
      </c>
      <c r="AD15" t="e">
        <f>AND('4to. Bach_B'!#REF!,"AAAAAF80/x0=")</f>
        <v>#REF!</v>
      </c>
      <c r="AE15" t="e">
        <f>AND('4to. Bach_B'!#REF!,"AAAAAF80/x4=")</f>
        <v>#REF!</v>
      </c>
      <c r="AF15" t="e">
        <f>AND('4to. Bach_B'!#REF!,"AAAAAF80/x8=")</f>
        <v>#REF!</v>
      </c>
      <c r="AG15" t="e">
        <f>AND('4to. Bach_B'!#REF!,"AAAAAF80/yA=")</f>
        <v>#REF!</v>
      </c>
      <c r="AH15" t="e">
        <f>AND('4to. Bach_B'!#REF!,"AAAAAF80/yE=")</f>
        <v>#REF!</v>
      </c>
      <c r="AI15" t="e">
        <f>AND('4to. Bach_B'!#REF!,"AAAAAF80/yI=")</f>
        <v>#REF!</v>
      </c>
      <c r="AJ15" t="e">
        <f>AND('4to. Bach_B'!#REF!,"AAAAAF80/yM=")</f>
        <v>#REF!</v>
      </c>
      <c r="AK15" t="e">
        <f>AND('4to. Bach_B'!#REF!,"AAAAAF80/yQ=")</f>
        <v>#REF!</v>
      </c>
      <c r="AL15" t="e">
        <f>AND('4to. Bach_B'!#REF!,"AAAAAF80/yU=")</f>
        <v>#REF!</v>
      </c>
      <c r="AM15" t="e">
        <f>AND('4to. Bach_B'!#REF!,"AAAAAF80/yY=")</f>
        <v>#REF!</v>
      </c>
      <c r="AN15" t="e">
        <f>AND('4to. Bach_B'!#REF!,"AAAAAF80/yc=")</f>
        <v>#REF!</v>
      </c>
      <c r="AO15" t="e">
        <f>AND('4to. Bach_B'!#REF!,"AAAAAF80/yg=")</f>
        <v>#REF!</v>
      </c>
      <c r="AP15" t="e">
        <f>AND('4to. Bach_B'!#REF!,"AAAAAF80/yk=")</f>
        <v>#REF!</v>
      </c>
      <c r="AQ15" t="e">
        <f>AND('4to. Bach_B'!#REF!,"AAAAAF80/yo=")</f>
        <v>#REF!</v>
      </c>
      <c r="AR15" t="e">
        <f>AND('4to. Bach_B'!#REF!,"AAAAAF80/ys=")</f>
        <v>#REF!</v>
      </c>
      <c r="AS15" t="e">
        <f>AND('4to. Bach_B'!#REF!,"AAAAAF80/yw=")</f>
        <v>#REF!</v>
      </c>
      <c r="AT15" t="e">
        <f>AND('4to. Bach_B'!#REF!,"AAAAAF80/y0=")</f>
        <v>#REF!</v>
      </c>
      <c r="AU15" t="e">
        <f>AND('4to. Bach_B'!#REF!,"AAAAAF80/y4=")</f>
        <v>#REF!</v>
      </c>
      <c r="AV15" t="e">
        <f>AND('4to. Bach_B'!#REF!,"AAAAAF80/y8=")</f>
        <v>#REF!</v>
      </c>
      <c r="AW15" t="e">
        <f>AND('4to. Bach_B'!#REF!,"AAAAAF80/zA=")</f>
        <v>#REF!</v>
      </c>
      <c r="AX15" t="e">
        <f>AND('4to. Bach_B'!#REF!,"AAAAAF80/zE=")</f>
        <v>#REF!</v>
      </c>
      <c r="AY15" t="e">
        <f>AND('4to. Bach_B'!#REF!,"AAAAAF80/zI=")</f>
        <v>#REF!</v>
      </c>
      <c r="AZ15" t="e">
        <f>AND('4to. Bach_B'!#REF!,"AAAAAF80/zM=")</f>
        <v>#REF!</v>
      </c>
      <c r="BA15" t="e">
        <f>IF('4to. Bach_B'!#REF!,"AAAAAF80/zQ=",0)</f>
        <v>#REF!</v>
      </c>
      <c r="BB15" t="e">
        <f>AND('4to. Bach_B'!#REF!,"AAAAAF80/zU=")</f>
        <v>#REF!</v>
      </c>
      <c r="BC15" t="e">
        <f>AND('4to. Bach_B'!#REF!,"AAAAAF80/zY=")</f>
        <v>#REF!</v>
      </c>
      <c r="BD15" t="e">
        <f>AND('4to. Bach_B'!#REF!,"AAAAAF80/zc=")</f>
        <v>#REF!</v>
      </c>
      <c r="BE15" t="e">
        <f>AND('4to. Bach_B'!#REF!,"AAAAAF80/zg=")</f>
        <v>#REF!</v>
      </c>
      <c r="BF15" t="e">
        <f>AND('4to. Bach_B'!#REF!,"AAAAAF80/zk=")</f>
        <v>#REF!</v>
      </c>
      <c r="BG15" t="e">
        <f>AND('4to. Bach_B'!#REF!,"AAAAAF80/zo=")</f>
        <v>#REF!</v>
      </c>
      <c r="BH15" t="e">
        <f>AND('4to. Bach_B'!#REF!,"AAAAAF80/zs=")</f>
        <v>#REF!</v>
      </c>
      <c r="BI15" t="e">
        <f>AND('4to. Bach_B'!#REF!,"AAAAAF80/zw=")</f>
        <v>#REF!</v>
      </c>
      <c r="BJ15" t="e">
        <f>AND('4to. Bach_B'!#REF!,"AAAAAF80/z0=")</f>
        <v>#REF!</v>
      </c>
      <c r="BK15" t="e">
        <f>AND('4to. Bach_B'!#REF!,"AAAAAF80/z4=")</f>
        <v>#REF!</v>
      </c>
      <c r="BL15" t="e">
        <f>AND('4to. Bach_B'!#REF!,"AAAAAF80/z8=")</f>
        <v>#REF!</v>
      </c>
      <c r="BM15" t="e">
        <f>AND('4to. Bach_B'!#REF!,"AAAAAF80/0A=")</f>
        <v>#REF!</v>
      </c>
      <c r="BN15" t="e">
        <f>AND('4to. Bach_B'!#REF!,"AAAAAF80/0E=")</f>
        <v>#REF!</v>
      </c>
      <c r="BO15" t="e">
        <f>AND('4to. Bach_B'!#REF!,"AAAAAF80/0I=")</f>
        <v>#REF!</v>
      </c>
      <c r="BP15" t="e">
        <f>AND('4to. Bach_B'!#REF!,"AAAAAF80/0M=")</f>
        <v>#REF!</v>
      </c>
      <c r="BQ15" t="e">
        <f>AND('4to. Bach_B'!#REF!,"AAAAAF80/0Q=")</f>
        <v>#REF!</v>
      </c>
      <c r="BR15" t="e">
        <f>AND('4to. Bach_B'!#REF!,"AAAAAF80/0U=")</f>
        <v>#REF!</v>
      </c>
      <c r="BS15" t="e">
        <f>AND('4to. Bach_B'!#REF!,"AAAAAF80/0Y=")</f>
        <v>#REF!</v>
      </c>
      <c r="BT15" t="e">
        <f>AND('4to. Bach_B'!#REF!,"AAAAAF80/0c=")</f>
        <v>#REF!</v>
      </c>
      <c r="BU15" t="e">
        <f>AND('4to. Bach_B'!#REF!,"AAAAAF80/0g=")</f>
        <v>#REF!</v>
      </c>
      <c r="BV15" t="e">
        <f>AND('4to. Bach_B'!#REF!,"AAAAAF80/0k=")</f>
        <v>#REF!</v>
      </c>
      <c r="BW15" t="e">
        <f>AND('4to. Bach_B'!#REF!,"AAAAAF80/0o=")</f>
        <v>#REF!</v>
      </c>
      <c r="BX15" t="e">
        <f>AND('4to. Bach_B'!#REF!,"AAAAAF80/0s=")</f>
        <v>#REF!</v>
      </c>
      <c r="BY15" t="e">
        <f>AND('4to. Bach_B'!#REF!,"AAAAAF80/0w=")</f>
        <v>#REF!</v>
      </c>
      <c r="BZ15" t="e">
        <f>AND('4to. Bach_B'!#REF!,"AAAAAF80/00=")</f>
        <v>#REF!</v>
      </c>
      <c r="CA15" t="e">
        <f>IF('4to. Bach_B'!#REF!,"AAAAAF80/04=",0)</f>
        <v>#REF!</v>
      </c>
      <c r="CB15" t="e">
        <f>AND('4to. Bach_B'!#REF!,"AAAAAF80/08=")</f>
        <v>#REF!</v>
      </c>
      <c r="CC15" t="e">
        <f>AND('4to. Bach_B'!#REF!,"AAAAAF80/1A=")</f>
        <v>#REF!</v>
      </c>
      <c r="CD15" t="e">
        <f>AND('4to. Bach_B'!#REF!,"AAAAAF80/1E=")</f>
        <v>#REF!</v>
      </c>
      <c r="CE15" t="e">
        <f>AND('4to. Bach_B'!#REF!,"AAAAAF80/1I=")</f>
        <v>#REF!</v>
      </c>
      <c r="CF15" t="e">
        <f>AND('4to. Bach_B'!#REF!,"AAAAAF80/1M=")</f>
        <v>#REF!</v>
      </c>
      <c r="CG15" t="e">
        <f>AND('4to. Bach_B'!#REF!,"AAAAAF80/1Q=")</f>
        <v>#REF!</v>
      </c>
      <c r="CH15" t="e">
        <f>AND('4to. Bach_B'!#REF!,"AAAAAF80/1U=")</f>
        <v>#REF!</v>
      </c>
      <c r="CI15" t="e">
        <f>AND('4to. Bach_B'!#REF!,"AAAAAF80/1Y=")</f>
        <v>#REF!</v>
      </c>
      <c r="CJ15" t="e">
        <f>AND('4to. Bach_B'!#REF!,"AAAAAF80/1c=")</f>
        <v>#REF!</v>
      </c>
      <c r="CK15" t="e">
        <f>AND('4to. Bach_B'!#REF!,"AAAAAF80/1g=")</f>
        <v>#REF!</v>
      </c>
      <c r="CL15" t="e">
        <f>AND('4to. Bach_B'!#REF!,"AAAAAF80/1k=")</f>
        <v>#REF!</v>
      </c>
      <c r="CM15" t="e">
        <f>AND('4to. Bach_B'!#REF!,"AAAAAF80/1o=")</f>
        <v>#REF!</v>
      </c>
      <c r="CN15" t="e">
        <f>AND('4to. Bach_B'!#REF!,"AAAAAF80/1s=")</f>
        <v>#REF!</v>
      </c>
      <c r="CO15" t="e">
        <f>AND('4to. Bach_B'!#REF!,"AAAAAF80/1w=")</f>
        <v>#REF!</v>
      </c>
      <c r="CP15" t="e">
        <f>AND('4to. Bach_B'!#REF!,"AAAAAF80/10=")</f>
        <v>#REF!</v>
      </c>
      <c r="CQ15" t="e">
        <f>AND('4to. Bach_B'!#REF!,"AAAAAF80/14=")</f>
        <v>#REF!</v>
      </c>
      <c r="CR15" t="e">
        <f>AND('4to. Bach_B'!#REF!,"AAAAAF80/18=")</f>
        <v>#REF!</v>
      </c>
      <c r="CS15" t="e">
        <f>AND('4to. Bach_B'!#REF!,"AAAAAF80/2A=")</f>
        <v>#REF!</v>
      </c>
      <c r="CT15" t="e">
        <f>AND('4to. Bach_B'!#REF!,"AAAAAF80/2E=")</f>
        <v>#REF!</v>
      </c>
      <c r="CU15" t="e">
        <f>AND('4to. Bach_B'!#REF!,"AAAAAF80/2I=")</f>
        <v>#REF!</v>
      </c>
      <c r="CV15" t="e">
        <f>AND('4to. Bach_B'!#REF!,"AAAAAF80/2M=")</f>
        <v>#REF!</v>
      </c>
      <c r="CW15" t="e">
        <f>AND('4to. Bach_B'!#REF!,"AAAAAF80/2Q=")</f>
        <v>#REF!</v>
      </c>
      <c r="CX15" t="e">
        <f>AND('4to. Bach_B'!#REF!,"AAAAAF80/2U=")</f>
        <v>#REF!</v>
      </c>
      <c r="CY15" t="e">
        <f>AND('4to. Bach_B'!#REF!,"AAAAAF80/2Y=")</f>
        <v>#REF!</v>
      </c>
      <c r="CZ15" t="e">
        <f>AND('4to. Bach_B'!#REF!,"AAAAAF80/2c=")</f>
        <v>#REF!</v>
      </c>
      <c r="DA15">
        <f>IF('4to. Bach_B'!2:2,"AAAAAF80/2g=",0)</f>
        <v>0</v>
      </c>
      <c r="DB15" t="e">
        <f>AND('4to. Bach_B'!A2,"AAAAAF80/2k=")</f>
        <v>#VALUE!</v>
      </c>
      <c r="DC15" t="e">
        <f>AND('4to. Bach_B'!B2,"AAAAAF80/2o=")</f>
        <v>#VALUE!</v>
      </c>
      <c r="DD15" t="e">
        <f>AND('4to. Bach_B'!C2,"AAAAAF80/2s=")</f>
        <v>#VALUE!</v>
      </c>
      <c r="DE15" t="e">
        <f>AND('4to. Bach_B'!D2,"AAAAAF80/2w=")</f>
        <v>#VALUE!</v>
      </c>
      <c r="DF15" t="e">
        <f>AND('4to. Bach_B'!E2,"AAAAAF80/20=")</f>
        <v>#VALUE!</v>
      </c>
      <c r="DG15" t="e">
        <f>AND('4to. Bach_B'!F2,"AAAAAF80/24=")</f>
        <v>#VALUE!</v>
      </c>
      <c r="DH15" t="e">
        <f>AND('4to. Bach_B'!G2,"AAAAAF80/28=")</f>
        <v>#VALUE!</v>
      </c>
      <c r="DI15" t="e">
        <f>AND('4to. Bach_B'!H2,"AAAAAF80/3A=")</f>
        <v>#VALUE!</v>
      </c>
      <c r="DJ15" t="e">
        <f>AND('4to. Bach_B'!I2,"AAAAAF80/3E=")</f>
        <v>#VALUE!</v>
      </c>
      <c r="DK15" t="e">
        <f>AND('4to. Bach_B'!J2,"AAAAAF80/3I=")</f>
        <v>#VALUE!</v>
      </c>
      <c r="DL15" t="e">
        <f>AND('4to. Bach_B'!K2,"AAAAAF80/3M=")</f>
        <v>#VALUE!</v>
      </c>
      <c r="DM15" t="e">
        <f>AND('4to. Bach_B'!L2,"AAAAAF80/3Q=")</f>
        <v>#VALUE!</v>
      </c>
      <c r="DN15" t="e">
        <f>AND('4to. Bach_B'!M2,"AAAAAF80/3U=")</f>
        <v>#VALUE!</v>
      </c>
      <c r="DO15" t="e">
        <f>AND('4to. Bach_B'!N2,"AAAAAF80/3Y=")</f>
        <v>#VALUE!</v>
      </c>
      <c r="DP15" t="e">
        <f>AND('4to. Bach_B'!O2,"AAAAAF80/3c=")</f>
        <v>#VALUE!</v>
      </c>
      <c r="DQ15" t="e">
        <f>AND('4to. Bach_B'!P2,"AAAAAF80/3g=")</f>
        <v>#VALUE!</v>
      </c>
      <c r="DR15" t="e">
        <f>AND('4to. Bach_B'!Q2,"AAAAAF80/3k=")</f>
        <v>#VALUE!</v>
      </c>
      <c r="DS15" t="e">
        <f>AND('4to. Bach_B'!R2,"AAAAAF80/3o=")</f>
        <v>#VALUE!</v>
      </c>
      <c r="DT15" t="e">
        <f>AND('4to. Bach_B'!S2,"AAAAAF80/3s=")</f>
        <v>#VALUE!</v>
      </c>
      <c r="DU15" t="e">
        <f>AND('4to. Bach_B'!T2,"AAAAAF80/3w=")</f>
        <v>#VALUE!</v>
      </c>
      <c r="DV15" t="e">
        <f>AND('4to. Bach_B'!#REF!,"AAAAAF80/30=")</f>
        <v>#REF!</v>
      </c>
      <c r="DW15" t="e">
        <f>AND('4to. Bach_B'!#REF!,"AAAAAF80/34=")</f>
        <v>#REF!</v>
      </c>
      <c r="DX15" t="e">
        <f>AND('4to. Bach_B'!#REF!,"AAAAAF80/38=")</f>
        <v>#REF!</v>
      </c>
      <c r="DY15" t="e">
        <f>AND('4to. Bach_B'!#REF!,"AAAAAF80/4A=")</f>
        <v>#REF!</v>
      </c>
      <c r="DZ15" t="e">
        <f>AND('4to. Bach_B'!#REF!,"AAAAAF80/4E=")</f>
        <v>#REF!</v>
      </c>
      <c r="EA15">
        <f>IF('4to. Bach_B'!3:3,"AAAAAF80/4I=",0)</f>
        <v>0</v>
      </c>
      <c r="EB15" t="e">
        <f>AND('4to. Bach_B'!A3,"AAAAAF80/4M=")</f>
        <v>#VALUE!</v>
      </c>
      <c r="EC15" t="e">
        <f>AND('4to. Bach_B'!B3,"AAAAAF80/4Q=")</f>
        <v>#VALUE!</v>
      </c>
      <c r="ED15" t="e">
        <f>AND('4to. Bach_B'!C3,"AAAAAF80/4U=")</f>
        <v>#VALUE!</v>
      </c>
      <c r="EE15" t="e">
        <f>AND('4to. Bach_B'!D3,"AAAAAF80/4Y=")</f>
        <v>#VALUE!</v>
      </c>
      <c r="EF15" t="e">
        <f>AND('4to. Bach_B'!E3,"AAAAAF80/4c=")</f>
        <v>#VALUE!</v>
      </c>
      <c r="EG15" t="e">
        <f>AND('4to. Bach_B'!F3,"AAAAAF80/4g=")</f>
        <v>#VALUE!</v>
      </c>
      <c r="EH15" t="e">
        <f>AND('4to. Bach_B'!G3,"AAAAAF80/4k=")</f>
        <v>#VALUE!</v>
      </c>
      <c r="EI15" t="e">
        <f>AND('4to. Bach_B'!H3,"AAAAAF80/4o=")</f>
        <v>#VALUE!</v>
      </c>
      <c r="EJ15" t="e">
        <f>AND('4to. Bach_B'!I3,"AAAAAF80/4s=")</f>
        <v>#VALUE!</v>
      </c>
      <c r="EK15" t="e">
        <f>AND('4to. Bach_B'!J3,"AAAAAF80/4w=")</f>
        <v>#VALUE!</v>
      </c>
      <c r="EL15" t="e">
        <f>AND('4to. Bach_B'!K3,"AAAAAF80/40=")</f>
        <v>#VALUE!</v>
      </c>
      <c r="EM15" t="e">
        <f>AND('4to. Bach_B'!L3,"AAAAAF80/44=")</f>
        <v>#VALUE!</v>
      </c>
      <c r="EN15" t="e">
        <f>AND('4to. Bach_B'!M3,"AAAAAF80/48=")</f>
        <v>#VALUE!</v>
      </c>
      <c r="EO15" t="e">
        <f>AND('4to. Bach_B'!N3,"AAAAAF80/5A=")</f>
        <v>#VALUE!</v>
      </c>
      <c r="EP15" t="e">
        <f>AND('4to. Bach_B'!O3,"AAAAAF80/5E=")</f>
        <v>#VALUE!</v>
      </c>
      <c r="EQ15" t="e">
        <f>AND('4to. Bach_B'!P3,"AAAAAF80/5I=")</f>
        <v>#VALUE!</v>
      </c>
      <c r="ER15" t="e">
        <f>AND('4to. Bach_B'!Q3,"AAAAAF80/5M=")</f>
        <v>#VALUE!</v>
      </c>
      <c r="ES15" t="e">
        <f>AND('4to. Bach_B'!R3,"AAAAAF80/5Q=")</f>
        <v>#VALUE!</v>
      </c>
      <c r="ET15" t="e">
        <f>AND('4to. Bach_B'!S3,"AAAAAF80/5U=")</f>
        <v>#VALUE!</v>
      </c>
      <c r="EU15" t="e">
        <f>AND('4to. Bach_B'!T3,"AAAAAF80/5Y=")</f>
        <v>#VALUE!</v>
      </c>
      <c r="EV15" t="e">
        <f>AND('4to. Bach_B'!#REF!,"AAAAAF80/5c=")</f>
        <v>#REF!</v>
      </c>
      <c r="EW15" t="e">
        <f>AND('4to. Bach_B'!#REF!,"AAAAAF80/5g=")</f>
        <v>#REF!</v>
      </c>
      <c r="EX15" t="e">
        <f>AND('4to. Bach_B'!#REF!,"AAAAAF80/5k=")</f>
        <v>#REF!</v>
      </c>
      <c r="EY15" t="e">
        <f>AND('4to. Bach_B'!#REF!,"AAAAAF80/5o=")</f>
        <v>#REF!</v>
      </c>
      <c r="EZ15" t="e">
        <f>AND('4to. Bach_B'!#REF!,"AAAAAF80/5s=")</f>
        <v>#REF!</v>
      </c>
      <c r="FA15">
        <f>IF('4to. Bach_B'!4:4,"AAAAAF80/5w=",0)</f>
        <v>0</v>
      </c>
      <c r="FB15" t="e">
        <f>AND('4to. Bach_B'!A4,"AAAAAF80/50=")</f>
        <v>#VALUE!</v>
      </c>
      <c r="FC15" t="e">
        <f>AND('4to. Bach_B'!B4,"AAAAAF80/54=")</f>
        <v>#VALUE!</v>
      </c>
      <c r="FD15" t="e">
        <f>AND('4to. Bach_B'!C4,"AAAAAF80/58=")</f>
        <v>#VALUE!</v>
      </c>
      <c r="FE15" t="e">
        <f>AND('4to. Bach_B'!D4,"AAAAAF80/6A=")</f>
        <v>#VALUE!</v>
      </c>
      <c r="FF15" t="e">
        <f>AND('4to. Bach_B'!E4,"AAAAAF80/6E=")</f>
        <v>#VALUE!</v>
      </c>
      <c r="FG15" t="e">
        <f>AND('4to. Bach_B'!F4,"AAAAAF80/6I=")</f>
        <v>#VALUE!</v>
      </c>
      <c r="FH15" t="e">
        <f>AND('4to. Bach_B'!G4,"AAAAAF80/6M=")</f>
        <v>#VALUE!</v>
      </c>
      <c r="FI15" t="e">
        <f>AND('4to. Bach_B'!H4,"AAAAAF80/6Q=")</f>
        <v>#VALUE!</v>
      </c>
      <c r="FJ15" t="e">
        <f>AND('4to. Bach_B'!I4,"AAAAAF80/6U=")</f>
        <v>#VALUE!</v>
      </c>
      <c r="FK15" t="e">
        <f>AND('4to. Bach_B'!J4,"AAAAAF80/6Y=")</f>
        <v>#VALUE!</v>
      </c>
      <c r="FL15" t="e">
        <f>AND('4to. Bach_B'!K4,"AAAAAF80/6c=")</f>
        <v>#VALUE!</v>
      </c>
      <c r="FM15" t="e">
        <f>AND('4to. Bach_B'!L4,"AAAAAF80/6g=")</f>
        <v>#VALUE!</v>
      </c>
      <c r="FN15" t="e">
        <f>AND('4to. Bach_B'!M4,"AAAAAF80/6k=")</f>
        <v>#VALUE!</v>
      </c>
      <c r="FO15" t="e">
        <f>AND('4to. Bach_B'!N4,"AAAAAF80/6o=")</f>
        <v>#VALUE!</v>
      </c>
      <c r="FP15" t="e">
        <f>AND('4to. Bach_B'!O4,"AAAAAF80/6s=")</f>
        <v>#VALUE!</v>
      </c>
      <c r="FQ15" t="e">
        <f>AND('4to. Bach_B'!P4,"AAAAAF80/6w=")</f>
        <v>#VALUE!</v>
      </c>
      <c r="FR15" t="e">
        <f>AND('4to. Bach_B'!Q4,"AAAAAF80/60=")</f>
        <v>#VALUE!</v>
      </c>
      <c r="FS15" t="e">
        <f>AND('4to. Bach_B'!R4,"AAAAAF80/64=")</f>
        <v>#VALUE!</v>
      </c>
      <c r="FT15" t="e">
        <f>AND('4to. Bach_B'!S4,"AAAAAF80/68=")</f>
        <v>#VALUE!</v>
      </c>
      <c r="FU15" t="e">
        <f>AND('4to. Bach_B'!T4,"AAAAAF80/7A=")</f>
        <v>#VALUE!</v>
      </c>
      <c r="FV15" t="e">
        <f>AND('4to. Bach_B'!#REF!,"AAAAAF80/7E=")</f>
        <v>#REF!</v>
      </c>
      <c r="FW15" t="e">
        <f>AND('4to. Bach_B'!#REF!,"AAAAAF80/7I=")</f>
        <v>#REF!</v>
      </c>
      <c r="FX15" t="e">
        <f>AND('4to. Bach_B'!#REF!,"AAAAAF80/7M=")</f>
        <v>#REF!</v>
      </c>
      <c r="FY15" t="e">
        <f>AND('4to. Bach_B'!#REF!,"AAAAAF80/7Q=")</f>
        <v>#REF!</v>
      </c>
      <c r="FZ15" t="e">
        <f>AND('4to. Bach_B'!#REF!,"AAAAAF80/7U=")</f>
        <v>#REF!</v>
      </c>
      <c r="GA15">
        <f>IF('4to. Bach_B'!5:5,"AAAAAF80/7Y=",0)</f>
        <v>0</v>
      </c>
      <c r="GB15" t="e">
        <f>AND('4to. Bach_B'!A5,"AAAAAF80/7c=")</f>
        <v>#VALUE!</v>
      </c>
      <c r="GC15" t="e">
        <f>AND('4to. Bach_B'!B5,"AAAAAF80/7g=")</f>
        <v>#VALUE!</v>
      </c>
      <c r="GD15" t="e">
        <f>AND('4to. Bach_B'!C5,"AAAAAF80/7k=")</f>
        <v>#VALUE!</v>
      </c>
      <c r="GE15" t="e">
        <f>AND('4to. Bach_B'!D5,"AAAAAF80/7o=")</f>
        <v>#VALUE!</v>
      </c>
      <c r="GF15" t="e">
        <f>AND('4to. Bach_B'!E5,"AAAAAF80/7s=")</f>
        <v>#VALUE!</v>
      </c>
      <c r="GG15" t="e">
        <f>AND('4to. Bach_B'!F5,"AAAAAF80/7w=")</f>
        <v>#VALUE!</v>
      </c>
      <c r="GH15" t="e">
        <f>AND('4to. Bach_B'!G5,"AAAAAF80/70=")</f>
        <v>#VALUE!</v>
      </c>
      <c r="GI15" t="e">
        <f>AND('4to. Bach_B'!H5,"AAAAAF80/74=")</f>
        <v>#VALUE!</v>
      </c>
      <c r="GJ15" t="e">
        <f>AND('4to. Bach_B'!I5,"AAAAAF80/78=")</f>
        <v>#VALUE!</v>
      </c>
      <c r="GK15" t="e">
        <f>AND('4to. Bach_B'!J5,"AAAAAF80/8A=")</f>
        <v>#VALUE!</v>
      </c>
      <c r="GL15" t="e">
        <f>AND('4to. Bach_B'!K5,"AAAAAF80/8E=")</f>
        <v>#VALUE!</v>
      </c>
      <c r="GM15" t="e">
        <f>AND('4to. Bach_B'!L5,"AAAAAF80/8I=")</f>
        <v>#VALUE!</v>
      </c>
      <c r="GN15" t="e">
        <f>AND('4to. Bach_B'!M5,"AAAAAF80/8M=")</f>
        <v>#VALUE!</v>
      </c>
      <c r="GO15" t="e">
        <f>AND('4to. Bach_B'!N5,"AAAAAF80/8Q=")</f>
        <v>#VALUE!</v>
      </c>
      <c r="GP15" t="e">
        <f>AND('4to. Bach_B'!O5,"AAAAAF80/8U=")</f>
        <v>#VALUE!</v>
      </c>
      <c r="GQ15" t="e">
        <f>AND('4to. Bach_B'!P5,"AAAAAF80/8Y=")</f>
        <v>#VALUE!</v>
      </c>
      <c r="GR15" t="e">
        <f>AND('4to. Bach_B'!Q5,"AAAAAF80/8c=")</f>
        <v>#VALUE!</v>
      </c>
      <c r="GS15" t="e">
        <f>AND('4to. Bach_B'!R5,"AAAAAF80/8g=")</f>
        <v>#VALUE!</v>
      </c>
      <c r="GT15" t="e">
        <f>AND('4to. Bach_B'!S5,"AAAAAF80/8k=")</f>
        <v>#VALUE!</v>
      </c>
      <c r="GU15" t="e">
        <f>AND('4to. Bach_B'!T5,"AAAAAF80/8o=")</f>
        <v>#VALUE!</v>
      </c>
      <c r="GV15" t="e">
        <f>AND('4to. Bach_B'!#REF!,"AAAAAF80/8s=")</f>
        <v>#REF!</v>
      </c>
      <c r="GW15" t="e">
        <f>AND('4to. Bach_B'!#REF!,"AAAAAF80/8w=")</f>
        <v>#REF!</v>
      </c>
      <c r="GX15" t="e">
        <f>AND('4to. Bach_B'!#REF!,"AAAAAF80/80=")</f>
        <v>#REF!</v>
      </c>
      <c r="GY15" t="e">
        <f>AND('4to. Bach_B'!#REF!,"AAAAAF80/84=")</f>
        <v>#REF!</v>
      </c>
      <c r="GZ15" t="e">
        <f>AND('4to. Bach_B'!#REF!,"AAAAAF80/88=")</f>
        <v>#REF!</v>
      </c>
      <c r="HA15">
        <f>IF('4to. Bach_B'!6:6,"AAAAAF80/9A=",0)</f>
        <v>0</v>
      </c>
      <c r="HB15" t="e">
        <f>AND('4to. Bach_B'!A6,"AAAAAF80/9E=")</f>
        <v>#VALUE!</v>
      </c>
      <c r="HC15" t="e">
        <f>AND('4to. Bach_B'!B6,"AAAAAF80/9I=")</f>
        <v>#VALUE!</v>
      </c>
      <c r="HD15" t="e">
        <f>AND('4to. Bach_B'!C6,"AAAAAF80/9M=")</f>
        <v>#VALUE!</v>
      </c>
      <c r="HE15" t="e">
        <f>AND('4to. Bach_B'!D6,"AAAAAF80/9Q=")</f>
        <v>#VALUE!</v>
      </c>
      <c r="HF15" t="e">
        <f>AND('4to. Bach_B'!E6,"AAAAAF80/9U=")</f>
        <v>#VALUE!</v>
      </c>
      <c r="HG15" t="e">
        <f>AND('4to. Bach_B'!F6,"AAAAAF80/9Y=")</f>
        <v>#VALUE!</v>
      </c>
      <c r="HH15" t="e">
        <f>AND('4to. Bach_B'!G6,"AAAAAF80/9c=")</f>
        <v>#VALUE!</v>
      </c>
      <c r="HI15" t="e">
        <f>AND('4to. Bach_B'!H6,"AAAAAF80/9g=")</f>
        <v>#VALUE!</v>
      </c>
      <c r="HJ15" t="e">
        <f>AND('4to. Bach_B'!I6,"AAAAAF80/9k=")</f>
        <v>#VALUE!</v>
      </c>
      <c r="HK15" t="e">
        <f>AND('4to. Bach_B'!J6,"AAAAAF80/9o=")</f>
        <v>#VALUE!</v>
      </c>
      <c r="HL15" t="e">
        <f>AND('4to. Bach_B'!K6,"AAAAAF80/9s=")</f>
        <v>#VALUE!</v>
      </c>
      <c r="HM15" t="e">
        <f>AND('4to. Bach_B'!L6,"AAAAAF80/9w=")</f>
        <v>#VALUE!</v>
      </c>
      <c r="HN15" t="e">
        <f>AND('4to. Bach_B'!M6,"AAAAAF80/90=")</f>
        <v>#VALUE!</v>
      </c>
      <c r="HO15" t="e">
        <f>AND('4to. Bach_B'!N6,"AAAAAF80/94=")</f>
        <v>#VALUE!</v>
      </c>
      <c r="HP15" t="e">
        <f>AND('4to. Bach_B'!O6,"AAAAAF80/98=")</f>
        <v>#VALUE!</v>
      </c>
      <c r="HQ15" t="e">
        <f>AND('4to. Bach_B'!P6,"AAAAAF80/+A=")</f>
        <v>#VALUE!</v>
      </c>
      <c r="HR15" t="e">
        <f>AND('4to. Bach_B'!Q6,"AAAAAF80/+E=")</f>
        <v>#VALUE!</v>
      </c>
      <c r="HS15" t="e">
        <f>AND('4to. Bach_B'!R6,"AAAAAF80/+I=")</f>
        <v>#VALUE!</v>
      </c>
      <c r="HT15" t="e">
        <f>AND('4to. Bach_B'!S6,"AAAAAF80/+M=")</f>
        <v>#VALUE!</v>
      </c>
      <c r="HU15" t="e">
        <f>AND('4to. Bach_B'!T6,"AAAAAF80/+Q=")</f>
        <v>#VALUE!</v>
      </c>
      <c r="HV15" t="e">
        <f>AND('4to. Bach_B'!#REF!,"AAAAAF80/+U=")</f>
        <v>#REF!</v>
      </c>
      <c r="HW15" t="e">
        <f>AND('4to. Bach_B'!#REF!,"AAAAAF80/+Y=")</f>
        <v>#REF!</v>
      </c>
      <c r="HX15" t="e">
        <f>AND('4to. Bach_B'!#REF!,"AAAAAF80/+c=")</f>
        <v>#REF!</v>
      </c>
      <c r="HY15" t="e">
        <f>AND('4to. Bach_B'!#REF!,"AAAAAF80/+g=")</f>
        <v>#REF!</v>
      </c>
      <c r="HZ15" t="e">
        <f>AND('4to. Bach_B'!#REF!,"AAAAAF80/+k=")</f>
        <v>#REF!</v>
      </c>
      <c r="IA15">
        <f>IF('4to. Bach_B'!7:7,"AAAAAF80/+o=",0)</f>
        <v>0</v>
      </c>
      <c r="IB15" t="e">
        <f>AND('4to. Bach_B'!A7,"AAAAAF80/+s=")</f>
        <v>#VALUE!</v>
      </c>
      <c r="IC15" t="e">
        <f>AND('4to. Bach_B'!B7,"AAAAAF80/+w=")</f>
        <v>#VALUE!</v>
      </c>
      <c r="ID15" t="e">
        <f>AND('4to. Bach_B'!C7,"AAAAAF80/+0=")</f>
        <v>#VALUE!</v>
      </c>
      <c r="IE15" t="e">
        <f>AND('4to. Bach_B'!D7,"AAAAAF80/+4=")</f>
        <v>#VALUE!</v>
      </c>
      <c r="IF15" t="e">
        <f>AND('4to. Bach_B'!E7,"AAAAAF80/+8=")</f>
        <v>#VALUE!</v>
      </c>
      <c r="IG15" t="e">
        <f>AND('4to. Bach_B'!F7,"AAAAAF80//A=")</f>
        <v>#VALUE!</v>
      </c>
      <c r="IH15" t="e">
        <f>AND('4to. Bach_B'!G7,"AAAAAF80//E=")</f>
        <v>#VALUE!</v>
      </c>
      <c r="II15" t="e">
        <f>AND('4to. Bach_B'!H7,"AAAAAF80//I=")</f>
        <v>#VALUE!</v>
      </c>
      <c r="IJ15" t="e">
        <f>AND('4to. Bach_B'!I7,"AAAAAF80//M=")</f>
        <v>#VALUE!</v>
      </c>
      <c r="IK15" t="e">
        <f>AND('4to. Bach_B'!J7,"AAAAAF80//Q=")</f>
        <v>#VALUE!</v>
      </c>
      <c r="IL15" t="e">
        <f>AND('4to. Bach_B'!K7,"AAAAAF80//U=")</f>
        <v>#VALUE!</v>
      </c>
      <c r="IM15" t="e">
        <f>AND('4to. Bach_B'!L7,"AAAAAF80//Y=")</f>
        <v>#VALUE!</v>
      </c>
      <c r="IN15" t="e">
        <f>AND('4to. Bach_B'!M7,"AAAAAF80//c=")</f>
        <v>#VALUE!</v>
      </c>
      <c r="IO15" t="e">
        <f>AND('4to. Bach_B'!N7,"AAAAAF80//g=")</f>
        <v>#VALUE!</v>
      </c>
      <c r="IP15" t="e">
        <f>AND('4to. Bach_B'!O7,"AAAAAF80//k=")</f>
        <v>#VALUE!</v>
      </c>
      <c r="IQ15" t="e">
        <f>AND('4to. Bach_B'!P7,"AAAAAF80//o=")</f>
        <v>#VALUE!</v>
      </c>
      <c r="IR15" t="e">
        <f>AND('4to. Bach_B'!Q7,"AAAAAF80//s=")</f>
        <v>#VALUE!</v>
      </c>
      <c r="IS15" t="e">
        <f>AND('4to. Bach_B'!R7,"AAAAAF80//w=")</f>
        <v>#VALUE!</v>
      </c>
      <c r="IT15" t="e">
        <f>AND('4to. Bach_B'!S7,"AAAAAF80//0=")</f>
        <v>#VALUE!</v>
      </c>
      <c r="IU15" t="e">
        <f>AND('4to. Bach_B'!T7,"AAAAAF80//4=")</f>
        <v>#VALUE!</v>
      </c>
      <c r="IV15" t="e">
        <f>AND('4to. Bach_B'!#REF!,"AAAAAF80//8=")</f>
        <v>#REF!</v>
      </c>
    </row>
    <row r="16" spans="1:256">
      <c r="A16" t="e">
        <f>AND('4to. Bach_B'!#REF!,"AAAAADM/3wA=")</f>
        <v>#REF!</v>
      </c>
      <c r="B16" t="e">
        <f>AND('4to. Bach_B'!#REF!,"AAAAADM/3wE=")</f>
        <v>#REF!</v>
      </c>
      <c r="C16" t="e">
        <f>AND('4to. Bach_B'!#REF!,"AAAAADM/3wI=")</f>
        <v>#REF!</v>
      </c>
      <c r="D16" t="e">
        <f>AND('4to. Bach_B'!#REF!,"AAAAADM/3wM=")</f>
        <v>#REF!</v>
      </c>
      <c r="E16">
        <f>IF('4to. Bach_B'!8:8,"AAAAADM/3wQ=",0)</f>
        <v>0</v>
      </c>
      <c r="F16" t="e">
        <f>AND('4to. Bach_B'!A8,"AAAAADM/3wU=")</f>
        <v>#VALUE!</v>
      </c>
      <c r="G16" t="e">
        <f>AND('4to. Bach_B'!B8,"AAAAADM/3wY=")</f>
        <v>#VALUE!</v>
      </c>
      <c r="H16" t="e">
        <f>AND('4to. Bach_B'!C8,"AAAAADM/3wc=")</f>
        <v>#VALUE!</v>
      </c>
      <c r="I16" t="e">
        <f>AND('4to. Bach_B'!D8,"AAAAADM/3wg=")</f>
        <v>#VALUE!</v>
      </c>
      <c r="J16" t="e">
        <f>AND('4to. Bach_B'!E8,"AAAAADM/3wk=")</f>
        <v>#VALUE!</v>
      </c>
      <c r="K16" t="e">
        <f>AND('4to. Bach_B'!F8,"AAAAADM/3wo=")</f>
        <v>#VALUE!</v>
      </c>
      <c r="L16" t="e">
        <f>AND('4to. Bach_B'!G8,"AAAAADM/3ws=")</f>
        <v>#VALUE!</v>
      </c>
      <c r="M16" t="e">
        <f>AND('4to. Bach_B'!H8,"AAAAADM/3ww=")</f>
        <v>#VALUE!</v>
      </c>
      <c r="N16" t="e">
        <f>AND('4to. Bach_B'!I8,"AAAAADM/3w0=")</f>
        <v>#VALUE!</v>
      </c>
      <c r="O16" t="e">
        <f>AND('4to. Bach_B'!J8,"AAAAADM/3w4=")</f>
        <v>#VALUE!</v>
      </c>
      <c r="P16" t="e">
        <f>AND('4to. Bach_B'!K8,"AAAAADM/3w8=")</f>
        <v>#VALUE!</v>
      </c>
      <c r="Q16" t="e">
        <f>AND('4to. Bach_B'!L8,"AAAAADM/3xA=")</f>
        <v>#VALUE!</v>
      </c>
      <c r="R16" t="e">
        <f>AND('4to. Bach_B'!M8,"AAAAADM/3xE=")</f>
        <v>#VALUE!</v>
      </c>
      <c r="S16" t="e">
        <f>AND('4to. Bach_B'!N8,"AAAAADM/3xI=")</f>
        <v>#VALUE!</v>
      </c>
      <c r="T16" t="e">
        <f>AND('4to. Bach_B'!O8,"AAAAADM/3xM=")</f>
        <v>#VALUE!</v>
      </c>
      <c r="U16" t="e">
        <f>AND('4to. Bach_B'!P8,"AAAAADM/3xQ=")</f>
        <v>#VALUE!</v>
      </c>
      <c r="V16" t="e">
        <f>AND('4to. Bach_B'!Q8,"AAAAADM/3xU=")</f>
        <v>#VALUE!</v>
      </c>
      <c r="W16" t="e">
        <f>AND('4to. Bach_B'!R8,"AAAAADM/3xY=")</f>
        <v>#VALUE!</v>
      </c>
      <c r="X16" t="e">
        <f>AND('4to. Bach_B'!S8,"AAAAADM/3xc=")</f>
        <v>#VALUE!</v>
      </c>
      <c r="Y16" t="e">
        <f>AND('4to. Bach_B'!T8,"AAAAADM/3xg=")</f>
        <v>#VALUE!</v>
      </c>
      <c r="Z16" t="e">
        <f>AND('4to. Bach_B'!#REF!,"AAAAADM/3xk=")</f>
        <v>#REF!</v>
      </c>
      <c r="AA16" t="e">
        <f>AND('4to. Bach_B'!#REF!,"AAAAADM/3xo=")</f>
        <v>#REF!</v>
      </c>
      <c r="AB16" t="e">
        <f>AND('4to. Bach_B'!#REF!,"AAAAADM/3xs=")</f>
        <v>#REF!</v>
      </c>
      <c r="AC16" t="e">
        <f>AND('4to. Bach_B'!#REF!,"AAAAADM/3xw=")</f>
        <v>#REF!</v>
      </c>
      <c r="AD16" t="e">
        <f>AND('4to. Bach_B'!#REF!,"AAAAADM/3x0=")</f>
        <v>#REF!</v>
      </c>
      <c r="AE16">
        <f>IF('4to. Bach_B'!9:9,"AAAAADM/3x4=",0)</f>
        <v>0</v>
      </c>
      <c r="AF16" t="e">
        <f>AND('4to. Bach_B'!A9,"AAAAADM/3x8=")</f>
        <v>#VALUE!</v>
      </c>
      <c r="AG16" t="e">
        <f>AND('4to. Bach_B'!B9,"AAAAADM/3yA=")</f>
        <v>#VALUE!</v>
      </c>
      <c r="AH16" t="e">
        <f>AND('4to. Bach_B'!C9,"AAAAADM/3yE=")</f>
        <v>#VALUE!</v>
      </c>
      <c r="AI16" t="e">
        <f>AND('4to. Bach_B'!D9,"AAAAADM/3yI=")</f>
        <v>#VALUE!</v>
      </c>
      <c r="AJ16" t="e">
        <f>AND('4to. Bach_B'!E9,"AAAAADM/3yM=")</f>
        <v>#VALUE!</v>
      </c>
      <c r="AK16" t="e">
        <f>AND('4to. Bach_B'!F9,"AAAAADM/3yQ=")</f>
        <v>#VALUE!</v>
      </c>
      <c r="AL16" t="e">
        <f>AND('4to. Bach_B'!G9,"AAAAADM/3yU=")</f>
        <v>#VALUE!</v>
      </c>
      <c r="AM16" t="e">
        <f>AND('4to. Bach_B'!H9,"AAAAADM/3yY=")</f>
        <v>#VALUE!</v>
      </c>
      <c r="AN16" t="e">
        <f>AND('4to. Bach_B'!I9,"AAAAADM/3yc=")</f>
        <v>#VALUE!</v>
      </c>
      <c r="AO16" t="e">
        <f>AND('4to. Bach_B'!J9,"AAAAADM/3yg=")</f>
        <v>#VALUE!</v>
      </c>
      <c r="AP16" t="e">
        <f>AND('4to. Bach_B'!K9,"AAAAADM/3yk=")</f>
        <v>#VALUE!</v>
      </c>
      <c r="AQ16" t="e">
        <f>AND('4to. Bach_B'!L9,"AAAAADM/3yo=")</f>
        <v>#VALUE!</v>
      </c>
      <c r="AR16" t="e">
        <f>AND('4to. Bach_B'!M9,"AAAAADM/3ys=")</f>
        <v>#VALUE!</v>
      </c>
      <c r="AS16" t="e">
        <f>AND('4to. Bach_B'!N9,"AAAAADM/3yw=")</f>
        <v>#VALUE!</v>
      </c>
      <c r="AT16" t="e">
        <f>AND('4to. Bach_B'!O9,"AAAAADM/3y0=")</f>
        <v>#VALUE!</v>
      </c>
      <c r="AU16" t="e">
        <f>AND('4to. Bach_B'!P9,"AAAAADM/3y4=")</f>
        <v>#VALUE!</v>
      </c>
      <c r="AV16" t="e">
        <f>AND('4to. Bach_B'!Q9,"AAAAADM/3y8=")</f>
        <v>#VALUE!</v>
      </c>
      <c r="AW16" t="e">
        <f>AND('4to. Bach_B'!R9,"AAAAADM/3zA=")</f>
        <v>#VALUE!</v>
      </c>
      <c r="AX16" t="e">
        <f>AND('4to. Bach_B'!S9,"AAAAADM/3zE=")</f>
        <v>#VALUE!</v>
      </c>
      <c r="AY16" t="e">
        <f>AND('4to. Bach_B'!T9,"AAAAADM/3zI=")</f>
        <v>#VALUE!</v>
      </c>
      <c r="AZ16" t="e">
        <f>AND('4to. Bach_B'!#REF!,"AAAAADM/3zM=")</f>
        <v>#REF!</v>
      </c>
      <c r="BA16" t="e">
        <f>AND('4to. Bach_B'!#REF!,"AAAAADM/3zQ=")</f>
        <v>#REF!</v>
      </c>
      <c r="BB16" t="e">
        <f>AND('4to. Bach_B'!#REF!,"AAAAADM/3zU=")</f>
        <v>#REF!</v>
      </c>
      <c r="BC16" t="e">
        <f>AND('4to. Bach_B'!#REF!,"AAAAADM/3zY=")</f>
        <v>#REF!</v>
      </c>
      <c r="BD16" t="e">
        <f>AND('4to. Bach_B'!#REF!,"AAAAADM/3zc=")</f>
        <v>#REF!</v>
      </c>
      <c r="BE16">
        <f>IF('4to. Bach_B'!10:10,"AAAAADM/3zg=",0)</f>
        <v>0</v>
      </c>
      <c r="BF16" t="e">
        <f>AND('4to. Bach_B'!A10,"AAAAADM/3zk=")</f>
        <v>#VALUE!</v>
      </c>
      <c r="BG16" t="e">
        <f>AND('4to. Bach_B'!B10,"AAAAADM/3zo=")</f>
        <v>#VALUE!</v>
      </c>
      <c r="BH16" t="e">
        <f>AND('4to. Bach_B'!C10,"AAAAADM/3zs=")</f>
        <v>#VALUE!</v>
      </c>
      <c r="BI16" t="e">
        <f>AND('4to. Bach_B'!D10,"AAAAADM/3zw=")</f>
        <v>#VALUE!</v>
      </c>
      <c r="BJ16" t="e">
        <f>AND('4to. Bach_B'!E10,"AAAAADM/3z0=")</f>
        <v>#VALUE!</v>
      </c>
      <c r="BK16" t="e">
        <f>AND('4to. Bach_B'!F10,"AAAAADM/3z4=")</f>
        <v>#VALUE!</v>
      </c>
      <c r="BL16" t="e">
        <f>AND('4to. Bach_B'!G10,"AAAAADM/3z8=")</f>
        <v>#VALUE!</v>
      </c>
      <c r="BM16" t="e">
        <f>AND('4to. Bach_B'!H10,"AAAAADM/30A=")</f>
        <v>#VALUE!</v>
      </c>
      <c r="BN16" t="e">
        <f>AND('4to. Bach_B'!I10,"AAAAADM/30E=")</f>
        <v>#VALUE!</v>
      </c>
      <c r="BO16" t="e">
        <f>AND('4to. Bach_B'!J10,"AAAAADM/30I=")</f>
        <v>#VALUE!</v>
      </c>
      <c r="BP16" t="e">
        <f>AND('4to. Bach_B'!K10,"AAAAADM/30M=")</f>
        <v>#VALUE!</v>
      </c>
      <c r="BQ16" t="e">
        <f>AND('4to. Bach_B'!L10,"AAAAADM/30Q=")</f>
        <v>#VALUE!</v>
      </c>
      <c r="BR16" t="e">
        <f>AND('4to. Bach_B'!M10,"AAAAADM/30U=")</f>
        <v>#VALUE!</v>
      </c>
      <c r="BS16" t="e">
        <f>AND('4to. Bach_B'!N10,"AAAAADM/30Y=")</f>
        <v>#VALUE!</v>
      </c>
      <c r="BT16" t="e">
        <f>AND('4to. Bach_B'!O10,"AAAAADM/30c=")</f>
        <v>#VALUE!</v>
      </c>
      <c r="BU16" t="e">
        <f>AND('4to. Bach_B'!P10,"AAAAADM/30g=")</f>
        <v>#VALUE!</v>
      </c>
      <c r="BV16" t="e">
        <f>AND('4to. Bach_B'!Q10,"AAAAADM/30k=")</f>
        <v>#VALUE!</v>
      </c>
      <c r="BW16" t="e">
        <f>AND('4to. Bach_B'!R10,"AAAAADM/30o=")</f>
        <v>#VALUE!</v>
      </c>
      <c r="BX16" t="e">
        <f>AND('4to. Bach_B'!S10,"AAAAADM/30s=")</f>
        <v>#VALUE!</v>
      </c>
      <c r="BY16" t="e">
        <f>AND('4to. Bach_B'!T10,"AAAAADM/30w=")</f>
        <v>#VALUE!</v>
      </c>
      <c r="BZ16" t="e">
        <f>AND('4to. Bach_B'!#REF!,"AAAAADM/300=")</f>
        <v>#REF!</v>
      </c>
      <c r="CA16" t="e">
        <f>AND('4to. Bach_B'!#REF!,"AAAAADM/304=")</f>
        <v>#REF!</v>
      </c>
      <c r="CB16" t="e">
        <f>AND('4to. Bach_B'!#REF!,"AAAAADM/308=")</f>
        <v>#REF!</v>
      </c>
      <c r="CC16" t="e">
        <f>AND('4to. Bach_B'!#REF!,"AAAAADM/31A=")</f>
        <v>#REF!</v>
      </c>
      <c r="CD16" t="e">
        <f>AND('4to. Bach_B'!#REF!,"AAAAADM/31E=")</f>
        <v>#REF!</v>
      </c>
      <c r="CE16">
        <f>IF('4to. Bach_B'!11:11,"AAAAADM/31I=",0)</f>
        <v>0</v>
      </c>
      <c r="CF16" t="e">
        <f>AND('4to. Bach_B'!A11,"AAAAADM/31M=")</f>
        <v>#VALUE!</v>
      </c>
      <c r="CG16" t="e">
        <f>AND('4to. Bach_B'!B11,"AAAAADM/31Q=")</f>
        <v>#VALUE!</v>
      </c>
      <c r="CH16" t="e">
        <f>AND('4to. Bach_B'!C11,"AAAAADM/31U=")</f>
        <v>#VALUE!</v>
      </c>
      <c r="CI16" t="e">
        <f>AND('4to. Bach_B'!D11,"AAAAADM/31Y=")</f>
        <v>#VALUE!</v>
      </c>
      <c r="CJ16" t="e">
        <f>AND('4to. Bach_B'!E11,"AAAAADM/31c=")</f>
        <v>#VALUE!</v>
      </c>
      <c r="CK16" t="e">
        <f>AND('4to. Bach_B'!F11,"AAAAADM/31g=")</f>
        <v>#VALUE!</v>
      </c>
      <c r="CL16" t="e">
        <f>AND('4to. Bach_B'!G11,"AAAAADM/31k=")</f>
        <v>#VALUE!</v>
      </c>
      <c r="CM16" t="e">
        <f>AND('4to. Bach_B'!H11,"AAAAADM/31o=")</f>
        <v>#VALUE!</v>
      </c>
      <c r="CN16" t="e">
        <f>AND('4to. Bach_B'!I11,"AAAAADM/31s=")</f>
        <v>#VALUE!</v>
      </c>
      <c r="CO16" t="e">
        <f>AND('4to. Bach_B'!J11,"AAAAADM/31w=")</f>
        <v>#VALUE!</v>
      </c>
      <c r="CP16" t="e">
        <f>AND('4to. Bach_B'!K11,"AAAAADM/310=")</f>
        <v>#VALUE!</v>
      </c>
      <c r="CQ16" t="e">
        <f>AND('4to. Bach_B'!L11,"AAAAADM/314=")</f>
        <v>#VALUE!</v>
      </c>
      <c r="CR16" t="e">
        <f>AND('4to. Bach_B'!M11,"AAAAADM/318=")</f>
        <v>#VALUE!</v>
      </c>
      <c r="CS16" t="e">
        <f>AND('4to. Bach_B'!N11,"AAAAADM/32A=")</f>
        <v>#VALUE!</v>
      </c>
      <c r="CT16" t="e">
        <f>AND('4to. Bach_B'!O11,"AAAAADM/32E=")</f>
        <v>#VALUE!</v>
      </c>
      <c r="CU16" t="e">
        <f>AND('4to. Bach_B'!P11,"AAAAADM/32I=")</f>
        <v>#VALUE!</v>
      </c>
      <c r="CV16" t="e">
        <f>AND('4to. Bach_B'!Q11,"AAAAADM/32M=")</f>
        <v>#VALUE!</v>
      </c>
      <c r="CW16" t="e">
        <f>AND('4to. Bach_B'!R11,"AAAAADM/32Q=")</f>
        <v>#VALUE!</v>
      </c>
      <c r="CX16" t="e">
        <f>AND('4to. Bach_B'!S11,"AAAAADM/32U=")</f>
        <v>#VALUE!</v>
      </c>
      <c r="CY16" t="e">
        <f>AND('4to. Bach_B'!T11,"AAAAADM/32Y=")</f>
        <v>#VALUE!</v>
      </c>
      <c r="CZ16" t="e">
        <f>AND('4to. Bach_B'!#REF!,"AAAAADM/32c=")</f>
        <v>#REF!</v>
      </c>
      <c r="DA16" t="e">
        <f>AND('4to. Bach_B'!#REF!,"AAAAADM/32g=")</f>
        <v>#REF!</v>
      </c>
      <c r="DB16" t="e">
        <f>AND('4to. Bach_B'!#REF!,"AAAAADM/32k=")</f>
        <v>#REF!</v>
      </c>
      <c r="DC16" t="e">
        <f>AND('4to. Bach_B'!#REF!,"AAAAADM/32o=")</f>
        <v>#REF!</v>
      </c>
      <c r="DD16" t="e">
        <f>AND('4to. Bach_B'!#REF!,"AAAAADM/32s=")</f>
        <v>#REF!</v>
      </c>
      <c r="DE16">
        <f>IF('4to. Bach_B'!12:12,"AAAAADM/32w=",0)</f>
        <v>0</v>
      </c>
      <c r="DF16" t="e">
        <f>AND('4to. Bach_B'!A12,"AAAAADM/320=")</f>
        <v>#VALUE!</v>
      </c>
      <c r="DG16" t="e">
        <f>AND('4to. Bach_B'!B12,"AAAAADM/324=")</f>
        <v>#VALUE!</v>
      </c>
      <c r="DH16" t="e">
        <f>AND('4to. Bach_B'!C12,"AAAAADM/328=")</f>
        <v>#VALUE!</v>
      </c>
      <c r="DI16" t="e">
        <f>AND('4to. Bach_B'!D12,"AAAAADM/33A=")</f>
        <v>#VALUE!</v>
      </c>
      <c r="DJ16" t="e">
        <f>AND('4to. Bach_B'!E12,"AAAAADM/33E=")</f>
        <v>#VALUE!</v>
      </c>
      <c r="DK16" t="e">
        <f>AND('4to. Bach_B'!F12,"AAAAADM/33I=")</f>
        <v>#VALUE!</v>
      </c>
      <c r="DL16" t="e">
        <f>AND('4to. Bach_B'!G12,"AAAAADM/33M=")</f>
        <v>#VALUE!</v>
      </c>
      <c r="DM16" t="e">
        <f>AND('4to. Bach_B'!H12,"AAAAADM/33Q=")</f>
        <v>#VALUE!</v>
      </c>
      <c r="DN16" t="e">
        <f>AND('4to. Bach_B'!I12,"AAAAADM/33U=")</f>
        <v>#VALUE!</v>
      </c>
      <c r="DO16" t="e">
        <f>AND('4to. Bach_B'!J12,"AAAAADM/33Y=")</f>
        <v>#VALUE!</v>
      </c>
      <c r="DP16" t="e">
        <f>AND('4to. Bach_B'!K12,"AAAAADM/33c=")</f>
        <v>#VALUE!</v>
      </c>
      <c r="DQ16" t="e">
        <f>AND('4to. Bach_B'!L12,"AAAAADM/33g=")</f>
        <v>#VALUE!</v>
      </c>
      <c r="DR16" t="e">
        <f>AND('4to. Bach_B'!M12,"AAAAADM/33k=")</f>
        <v>#VALUE!</v>
      </c>
      <c r="DS16" t="e">
        <f>AND('4to. Bach_B'!N12,"AAAAADM/33o=")</f>
        <v>#VALUE!</v>
      </c>
      <c r="DT16" t="e">
        <f>AND('4to. Bach_B'!O12,"AAAAADM/33s=")</f>
        <v>#VALUE!</v>
      </c>
      <c r="DU16" t="e">
        <f>AND('4to. Bach_B'!P12,"AAAAADM/33w=")</f>
        <v>#VALUE!</v>
      </c>
      <c r="DV16" t="e">
        <f>AND('4to. Bach_B'!Q12,"AAAAADM/330=")</f>
        <v>#VALUE!</v>
      </c>
      <c r="DW16" t="e">
        <f>AND('4to. Bach_B'!R12,"AAAAADM/334=")</f>
        <v>#VALUE!</v>
      </c>
      <c r="DX16" t="e">
        <f>AND('4to. Bach_B'!S12,"AAAAADM/338=")</f>
        <v>#VALUE!</v>
      </c>
      <c r="DY16" t="e">
        <f>AND('4to. Bach_B'!T12,"AAAAADM/34A=")</f>
        <v>#VALUE!</v>
      </c>
      <c r="DZ16" t="e">
        <f>AND('4to. Bach_B'!#REF!,"AAAAADM/34E=")</f>
        <v>#REF!</v>
      </c>
      <c r="EA16" t="e">
        <f>AND('4to. Bach_B'!#REF!,"AAAAADM/34I=")</f>
        <v>#REF!</v>
      </c>
      <c r="EB16" t="e">
        <f>AND('4to. Bach_B'!#REF!,"AAAAADM/34M=")</f>
        <v>#REF!</v>
      </c>
      <c r="EC16" t="e">
        <f>AND('4to. Bach_B'!#REF!,"AAAAADM/34Q=")</f>
        <v>#REF!</v>
      </c>
      <c r="ED16" t="e">
        <f>AND('4to. Bach_B'!#REF!,"AAAAADM/34U=")</f>
        <v>#REF!</v>
      </c>
      <c r="EE16">
        <f>IF('4to. Bach_B'!13:13,"AAAAADM/34Y=",0)</f>
        <v>0</v>
      </c>
      <c r="EF16" t="e">
        <f>AND('4to. Bach_B'!A13,"AAAAADM/34c=")</f>
        <v>#VALUE!</v>
      </c>
      <c r="EG16" t="e">
        <f>AND('4to. Bach_B'!B13,"AAAAADM/34g=")</f>
        <v>#VALUE!</v>
      </c>
      <c r="EH16" t="e">
        <f>AND('4to. Bach_B'!C13,"AAAAADM/34k=")</f>
        <v>#VALUE!</v>
      </c>
      <c r="EI16" t="e">
        <f>AND('4to. Bach_B'!D13,"AAAAADM/34o=")</f>
        <v>#VALUE!</v>
      </c>
      <c r="EJ16" t="e">
        <f>AND('4to. Bach_B'!E13,"AAAAADM/34s=")</f>
        <v>#VALUE!</v>
      </c>
      <c r="EK16" t="e">
        <f>AND('4to. Bach_B'!F13,"AAAAADM/34w=")</f>
        <v>#VALUE!</v>
      </c>
      <c r="EL16" t="e">
        <f>AND('4to. Bach_B'!G13,"AAAAADM/340=")</f>
        <v>#VALUE!</v>
      </c>
      <c r="EM16" t="e">
        <f>AND('4to. Bach_B'!H13,"AAAAADM/344=")</f>
        <v>#VALUE!</v>
      </c>
      <c r="EN16" t="e">
        <f>AND('4to. Bach_B'!I13,"AAAAADM/348=")</f>
        <v>#VALUE!</v>
      </c>
      <c r="EO16" t="e">
        <f>AND('4to. Bach_B'!J13,"AAAAADM/35A=")</f>
        <v>#VALUE!</v>
      </c>
      <c r="EP16" t="e">
        <f>AND('4to. Bach_B'!K13,"AAAAADM/35E=")</f>
        <v>#VALUE!</v>
      </c>
      <c r="EQ16" t="e">
        <f>AND('4to. Bach_B'!L13,"AAAAADM/35I=")</f>
        <v>#VALUE!</v>
      </c>
      <c r="ER16" t="e">
        <f>AND('4to. Bach_B'!M13,"AAAAADM/35M=")</f>
        <v>#VALUE!</v>
      </c>
      <c r="ES16" t="e">
        <f>AND('4to. Bach_B'!N13,"AAAAADM/35Q=")</f>
        <v>#VALUE!</v>
      </c>
      <c r="ET16" t="e">
        <f>AND('4to. Bach_B'!O13,"AAAAADM/35U=")</f>
        <v>#VALUE!</v>
      </c>
      <c r="EU16" t="e">
        <f>AND('4to. Bach_B'!P13,"AAAAADM/35Y=")</f>
        <v>#VALUE!</v>
      </c>
      <c r="EV16" t="e">
        <f>AND('4to. Bach_B'!Q13,"AAAAADM/35c=")</f>
        <v>#VALUE!</v>
      </c>
      <c r="EW16" t="e">
        <f>AND('4to. Bach_B'!R13,"AAAAADM/35g=")</f>
        <v>#VALUE!</v>
      </c>
      <c r="EX16" t="e">
        <f>AND('4to. Bach_B'!S13,"AAAAADM/35k=")</f>
        <v>#VALUE!</v>
      </c>
      <c r="EY16" t="e">
        <f>AND('4to. Bach_B'!T13,"AAAAADM/35o=")</f>
        <v>#VALUE!</v>
      </c>
      <c r="EZ16" t="e">
        <f>AND('4to. Bach_B'!#REF!,"AAAAADM/35s=")</f>
        <v>#REF!</v>
      </c>
      <c r="FA16" t="e">
        <f>AND('4to. Bach_B'!#REF!,"AAAAADM/35w=")</f>
        <v>#REF!</v>
      </c>
      <c r="FB16" t="e">
        <f>AND('4to. Bach_B'!#REF!,"AAAAADM/350=")</f>
        <v>#REF!</v>
      </c>
      <c r="FC16" t="e">
        <f>AND('4to. Bach_B'!#REF!,"AAAAADM/354=")</f>
        <v>#REF!</v>
      </c>
      <c r="FD16" t="e">
        <f>AND('4to. Bach_B'!#REF!,"AAAAADM/358=")</f>
        <v>#REF!</v>
      </c>
      <c r="FE16">
        <f>IF('4to. Bach_B'!14:14,"AAAAADM/36A=",0)</f>
        <v>0</v>
      </c>
      <c r="FF16" t="e">
        <f>AND('4to. Bach_B'!A14,"AAAAADM/36E=")</f>
        <v>#VALUE!</v>
      </c>
      <c r="FG16" t="e">
        <f>AND('4to. Bach_B'!B14,"AAAAADM/36I=")</f>
        <v>#VALUE!</v>
      </c>
      <c r="FH16" t="e">
        <f>AND('4to. Bach_B'!C14,"AAAAADM/36M=")</f>
        <v>#VALUE!</v>
      </c>
      <c r="FI16" t="e">
        <f>AND('4to. Bach_B'!D14,"AAAAADM/36Q=")</f>
        <v>#VALUE!</v>
      </c>
      <c r="FJ16" t="e">
        <f>AND('4to. Bach_B'!E14,"AAAAADM/36U=")</f>
        <v>#VALUE!</v>
      </c>
      <c r="FK16" t="e">
        <f>AND('4to. Bach_B'!F14,"AAAAADM/36Y=")</f>
        <v>#VALUE!</v>
      </c>
      <c r="FL16" t="e">
        <f>AND('4to. Bach_B'!G14,"AAAAADM/36c=")</f>
        <v>#VALUE!</v>
      </c>
      <c r="FM16" t="e">
        <f>AND('4to. Bach_B'!H14,"AAAAADM/36g=")</f>
        <v>#VALUE!</v>
      </c>
      <c r="FN16" t="e">
        <f>AND('4to. Bach_B'!I14,"AAAAADM/36k=")</f>
        <v>#VALUE!</v>
      </c>
      <c r="FO16" t="e">
        <f>AND('4to. Bach_B'!J14,"AAAAADM/36o=")</f>
        <v>#VALUE!</v>
      </c>
      <c r="FP16" t="e">
        <f>AND('4to. Bach_B'!K14,"AAAAADM/36s=")</f>
        <v>#VALUE!</v>
      </c>
      <c r="FQ16" t="e">
        <f>AND('4to. Bach_B'!L14,"AAAAADM/36w=")</f>
        <v>#VALUE!</v>
      </c>
      <c r="FR16" t="e">
        <f>AND('4to. Bach_B'!M14,"AAAAADM/360=")</f>
        <v>#VALUE!</v>
      </c>
      <c r="FS16" t="e">
        <f>AND('4to. Bach_B'!N14,"AAAAADM/364=")</f>
        <v>#VALUE!</v>
      </c>
      <c r="FT16" t="e">
        <f>AND('4to. Bach_B'!O14,"AAAAADM/368=")</f>
        <v>#VALUE!</v>
      </c>
      <c r="FU16" t="e">
        <f>AND('4to. Bach_B'!P14,"AAAAADM/37A=")</f>
        <v>#VALUE!</v>
      </c>
      <c r="FV16" t="e">
        <f>AND('4to. Bach_B'!Q14,"AAAAADM/37E=")</f>
        <v>#VALUE!</v>
      </c>
      <c r="FW16" t="e">
        <f>AND('4to. Bach_B'!R14,"AAAAADM/37I=")</f>
        <v>#VALUE!</v>
      </c>
      <c r="FX16" t="e">
        <f>AND('4to. Bach_B'!S14,"AAAAADM/37M=")</f>
        <v>#VALUE!</v>
      </c>
      <c r="FY16" t="e">
        <f>AND('4to. Bach_B'!T14,"AAAAADM/37Q=")</f>
        <v>#VALUE!</v>
      </c>
      <c r="FZ16" t="e">
        <f>AND('4to. Bach_B'!#REF!,"AAAAADM/37U=")</f>
        <v>#REF!</v>
      </c>
      <c r="GA16" t="e">
        <f>AND('4to. Bach_B'!#REF!,"AAAAADM/37Y=")</f>
        <v>#REF!</v>
      </c>
      <c r="GB16" t="e">
        <f>AND('4to. Bach_B'!#REF!,"AAAAADM/37c=")</f>
        <v>#REF!</v>
      </c>
      <c r="GC16" t="e">
        <f>AND('4to. Bach_B'!#REF!,"AAAAADM/37g=")</f>
        <v>#REF!</v>
      </c>
      <c r="GD16" t="e">
        <f>AND('4to. Bach_B'!#REF!,"AAAAADM/37k=")</f>
        <v>#REF!</v>
      </c>
      <c r="GE16">
        <f>IF('4to. Bach_B'!15:15,"AAAAADM/37o=",0)</f>
        <v>0</v>
      </c>
      <c r="GF16" t="e">
        <f>AND('4to. Bach_B'!A15,"AAAAADM/37s=")</f>
        <v>#VALUE!</v>
      </c>
      <c r="GG16" t="e">
        <f>AND('4to. Bach_B'!B15,"AAAAADM/37w=")</f>
        <v>#VALUE!</v>
      </c>
      <c r="GH16" t="e">
        <f>AND('4to. Bach_B'!C15,"AAAAADM/370=")</f>
        <v>#VALUE!</v>
      </c>
      <c r="GI16" t="e">
        <f>AND('4to. Bach_B'!D15,"AAAAADM/374=")</f>
        <v>#VALUE!</v>
      </c>
      <c r="GJ16" t="e">
        <f>AND('4to. Bach_B'!E15,"AAAAADM/378=")</f>
        <v>#VALUE!</v>
      </c>
      <c r="GK16" t="e">
        <f>AND('4to. Bach_B'!F15,"AAAAADM/38A=")</f>
        <v>#VALUE!</v>
      </c>
      <c r="GL16" t="e">
        <f>AND('4to. Bach_B'!G15,"AAAAADM/38E=")</f>
        <v>#VALUE!</v>
      </c>
      <c r="GM16" t="e">
        <f>AND('4to. Bach_B'!H15,"AAAAADM/38I=")</f>
        <v>#VALUE!</v>
      </c>
      <c r="GN16" t="e">
        <f>AND('4to. Bach_B'!I15,"AAAAADM/38M=")</f>
        <v>#VALUE!</v>
      </c>
      <c r="GO16" t="e">
        <f>AND('4to. Bach_B'!J15,"AAAAADM/38Q=")</f>
        <v>#VALUE!</v>
      </c>
      <c r="GP16" t="e">
        <f>AND('4to. Bach_B'!K15,"AAAAADM/38U=")</f>
        <v>#VALUE!</v>
      </c>
      <c r="GQ16" t="e">
        <f>AND('4to. Bach_B'!L15,"AAAAADM/38Y=")</f>
        <v>#VALUE!</v>
      </c>
      <c r="GR16" t="e">
        <f>AND('4to. Bach_B'!M15,"AAAAADM/38c=")</f>
        <v>#VALUE!</v>
      </c>
      <c r="GS16" t="e">
        <f>AND('4to. Bach_B'!N15,"AAAAADM/38g=")</f>
        <v>#VALUE!</v>
      </c>
      <c r="GT16" t="e">
        <f>AND('4to. Bach_B'!O15,"AAAAADM/38k=")</f>
        <v>#VALUE!</v>
      </c>
      <c r="GU16" t="e">
        <f>AND('4to. Bach_B'!P15,"AAAAADM/38o=")</f>
        <v>#VALUE!</v>
      </c>
      <c r="GV16" t="e">
        <f>AND('4to. Bach_B'!Q15,"AAAAADM/38s=")</f>
        <v>#VALUE!</v>
      </c>
      <c r="GW16" t="e">
        <f>AND('4to. Bach_B'!R15,"AAAAADM/38w=")</f>
        <v>#VALUE!</v>
      </c>
      <c r="GX16" t="e">
        <f>AND('4to. Bach_B'!S15,"AAAAADM/380=")</f>
        <v>#VALUE!</v>
      </c>
      <c r="GY16" t="e">
        <f>AND('4to. Bach_B'!T15,"AAAAADM/384=")</f>
        <v>#VALUE!</v>
      </c>
      <c r="GZ16" t="e">
        <f>AND('4to. Bach_B'!#REF!,"AAAAADM/388=")</f>
        <v>#REF!</v>
      </c>
      <c r="HA16" t="e">
        <f>AND('4to. Bach_B'!#REF!,"AAAAADM/39A=")</f>
        <v>#REF!</v>
      </c>
      <c r="HB16" t="e">
        <f>AND('4to. Bach_B'!#REF!,"AAAAADM/39E=")</f>
        <v>#REF!</v>
      </c>
      <c r="HC16" t="e">
        <f>AND('4to. Bach_B'!#REF!,"AAAAADM/39I=")</f>
        <v>#REF!</v>
      </c>
      <c r="HD16" t="e">
        <f>AND('4to. Bach_B'!#REF!,"AAAAADM/39M=")</f>
        <v>#REF!</v>
      </c>
      <c r="HE16">
        <f>IF('4to. Bach_B'!16:16,"AAAAADM/39Q=",0)</f>
        <v>0</v>
      </c>
      <c r="HF16" t="e">
        <f>AND('4to. Bach_B'!A16,"AAAAADM/39U=")</f>
        <v>#VALUE!</v>
      </c>
      <c r="HG16" t="e">
        <f>AND('4to. Bach_B'!B16,"AAAAADM/39Y=")</f>
        <v>#VALUE!</v>
      </c>
      <c r="HH16" t="e">
        <f>AND('4to. Bach_B'!C16,"AAAAADM/39c=")</f>
        <v>#VALUE!</v>
      </c>
      <c r="HI16" t="e">
        <f>AND('4to. Bach_B'!D16,"AAAAADM/39g=")</f>
        <v>#VALUE!</v>
      </c>
      <c r="HJ16" t="e">
        <f>AND('4to. Bach_B'!E16,"AAAAADM/39k=")</f>
        <v>#VALUE!</v>
      </c>
      <c r="HK16" t="e">
        <f>AND('4to. Bach_B'!F16,"AAAAADM/39o=")</f>
        <v>#VALUE!</v>
      </c>
      <c r="HL16" t="e">
        <f>AND('4to. Bach_B'!G16,"AAAAADM/39s=")</f>
        <v>#VALUE!</v>
      </c>
      <c r="HM16" t="e">
        <f>AND('4to. Bach_B'!H16,"AAAAADM/39w=")</f>
        <v>#VALUE!</v>
      </c>
      <c r="HN16" t="e">
        <f>AND('4to. Bach_B'!I16,"AAAAADM/390=")</f>
        <v>#VALUE!</v>
      </c>
      <c r="HO16" t="e">
        <f>AND('4to. Bach_B'!J16,"AAAAADM/394=")</f>
        <v>#VALUE!</v>
      </c>
      <c r="HP16" t="e">
        <f>AND('4to. Bach_B'!K16,"AAAAADM/398=")</f>
        <v>#VALUE!</v>
      </c>
      <c r="HQ16" t="e">
        <f>AND('4to. Bach_B'!L16,"AAAAADM/3+A=")</f>
        <v>#VALUE!</v>
      </c>
      <c r="HR16" t="e">
        <f>AND('4to. Bach_B'!M16,"AAAAADM/3+E=")</f>
        <v>#VALUE!</v>
      </c>
      <c r="HS16" t="e">
        <f>AND('4to. Bach_B'!N16,"AAAAADM/3+I=")</f>
        <v>#VALUE!</v>
      </c>
      <c r="HT16" t="e">
        <f>AND('4to. Bach_B'!O16,"AAAAADM/3+M=")</f>
        <v>#VALUE!</v>
      </c>
      <c r="HU16" t="e">
        <f>AND('4to. Bach_B'!P16,"AAAAADM/3+Q=")</f>
        <v>#VALUE!</v>
      </c>
      <c r="HV16" t="e">
        <f>AND('4to. Bach_B'!Q16,"AAAAADM/3+U=")</f>
        <v>#VALUE!</v>
      </c>
      <c r="HW16" t="e">
        <f>AND('4to. Bach_B'!R16,"AAAAADM/3+Y=")</f>
        <v>#VALUE!</v>
      </c>
      <c r="HX16" t="e">
        <f>AND('4to. Bach_B'!S16,"AAAAADM/3+c=")</f>
        <v>#VALUE!</v>
      </c>
      <c r="HY16" t="e">
        <f>AND('4to. Bach_B'!T16,"AAAAADM/3+g=")</f>
        <v>#VALUE!</v>
      </c>
      <c r="HZ16" t="e">
        <f>AND('4to. Bach_B'!#REF!,"AAAAADM/3+k=")</f>
        <v>#REF!</v>
      </c>
      <c r="IA16" t="e">
        <f>AND('4to. Bach_B'!#REF!,"AAAAADM/3+o=")</f>
        <v>#REF!</v>
      </c>
      <c r="IB16" t="e">
        <f>AND('4to. Bach_B'!#REF!,"AAAAADM/3+s=")</f>
        <v>#REF!</v>
      </c>
      <c r="IC16" t="e">
        <f>AND('4to. Bach_B'!#REF!,"AAAAADM/3+w=")</f>
        <v>#REF!</v>
      </c>
      <c r="ID16" t="e">
        <f>AND('4to. Bach_B'!#REF!,"AAAAADM/3+0=")</f>
        <v>#REF!</v>
      </c>
      <c r="IE16">
        <f>IF('4to. Bach_B'!17:17,"AAAAADM/3+4=",0)</f>
        <v>0</v>
      </c>
      <c r="IF16" t="e">
        <f>AND('4to. Bach_B'!A17,"AAAAADM/3+8=")</f>
        <v>#VALUE!</v>
      </c>
      <c r="IG16" t="e">
        <f>AND('4to. Bach_B'!B17,"AAAAADM/3/A=")</f>
        <v>#VALUE!</v>
      </c>
      <c r="IH16" t="e">
        <f>AND('4to. Bach_B'!C17,"AAAAADM/3/E=")</f>
        <v>#VALUE!</v>
      </c>
      <c r="II16" t="e">
        <f>AND('4to. Bach_B'!D17,"AAAAADM/3/I=")</f>
        <v>#VALUE!</v>
      </c>
      <c r="IJ16" t="e">
        <f>AND('4to. Bach_B'!E17,"AAAAADM/3/M=")</f>
        <v>#VALUE!</v>
      </c>
      <c r="IK16" t="e">
        <f>AND('4to. Bach_B'!F17,"AAAAADM/3/Q=")</f>
        <v>#VALUE!</v>
      </c>
      <c r="IL16" t="e">
        <f>AND('4to. Bach_B'!G17,"AAAAADM/3/U=")</f>
        <v>#VALUE!</v>
      </c>
      <c r="IM16" t="e">
        <f>AND('4to. Bach_B'!H17,"AAAAADM/3/Y=")</f>
        <v>#VALUE!</v>
      </c>
      <c r="IN16" t="e">
        <f>AND('4to. Bach_B'!I17,"AAAAADM/3/c=")</f>
        <v>#VALUE!</v>
      </c>
      <c r="IO16" t="e">
        <f>AND('4to. Bach_B'!J17,"AAAAADM/3/g=")</f>
        <v>#VALUE!</v>
      </c>
      <c r="IP16" t="e">
        <f>AND('4to. Bach_B'!K17,"AAAAADM/3/k=")</f>
        <v>#VALUE!</v>
      </c>
      <c r="IQ16" t="e">
        <f>AND('4to. Bach_B'!L17,"AAAAADM/3/o=")</f>
        <v>#VALUE!</v>
      </c>
      <c r="IR16" t="e">
        <f>AND('4to. Bach_B'!M17,"AAAAADM/3/s=")</f>
        <v>#VALUE!</v>
      </c>
      <c r="IS16" t="e">
        <f>AND('4to. Bach_B'!N17,"AAAAADM/3/w=")</f>
        <v>#VALUE!</v>
      </c>
      <c r="IT16" t="e">
        <f>AND('4to. Bach_B'!O17,"AAAAADM/3/0=")</f>
        <v>#VALUE!</v>
      </c>
      <c r="IU16" t="e">
        <f>AND('4to. Bach_B'!P17,"AAAAADM/3/4=")</f>
        <v>#VALUE!</v>
      </c>
      <c r="IV16" t="e">
        <f>AND('4to. Bach_B'!Q17,"AAAAADM/3/8=")</f>
        <v>#VALUE!</v>
      </c>
    </row>
    <row r="17" spans="1:256">
      <c r="A17" t="e">
        <f>AND('4to. Bach_B'!R17,"AAAAAG3WPgA=")</f>
        <v>#VALUE!</v>
      </c>
      <c r="B17" t="e">
        <f>AND('4to. Bach_B'!S17,"AAAAAG3WPgE=")</f>
        <v>#VALUE!</v>
      </c>
      <c r="C17" t="e">
        <f>AND('4to. Bach_B'!T17,"AAAAAG3WPgI=")</f>
        <v>#VALUE!</v>
      </c>
      <c r="D17" t="e">
        <f>AND('4to. Bach_B'!#REF!,"AAAAAG3WPgM=")</f>
        <v>#REF!</v>
      </c>
      <c r="E17" t="e">
        <f>AND('4to. Bach_B'!#REF!,"AAAAAG3WPgQ=")</f>
        <v>#REF!</v>
      </c>
      <c r="F17" t="e">
        <f>AND('4to. Bach_B'!#REF!,"AAAAAG3WPgU=")</f>
        <v>#REF!</v>
      </c>
      <c r="G17" t="e">
        <f>AND('4to. Bach_B'!#REF!,"AAAAAG3WPgY=")</f>
        <v>#REF!</v>
      </c>
      <c r="H17" t="e">
        <f>AND('4to. Bach_B'!#REF!,"AAAAAG3WPgc=")</f>
        <v>#REF!</v>
      </c>
      <c r="I17">
        <f>IF('4to. Bach_B'!18:18,"AAAAAG3WPgg=",0)</f>
        <v>0</v>
      </c>
      <c r="J17" t="e">
        <f>AND('4to. Bach_B'!A18,"AAAAAG3WPgk=")</f>
        <v>#VALUE!</v>
      </c>
      <c r="K17" t="e">
        <f>AND('4to. Bach_B'!B18,"AAAAAG3WPgo=")</f>
        <v>#VALUE!</v>
      </c>
      <c r="L17" t="e">
        <f>AND('4to. Bach_B'!C18,"AAAAAG3WPgs=")</f>
        <v>#VALUE!</v>
      </c>
      <c r="M17" t="e">
        <f>AND('4to. Bach_B'!D18,"AAAAAG3WPgw=")</f>
        <v>#VALUE!</v>
      </c>
      <c r="N17" t="e">
        <f>AND('4to. Bach_B'!E18,"AAAAAG3WPg0=")</f>
        <v>#VALUE!</v>
      </c>
      <c r="O17" t="e">
        <f>AND('4to. Bach_B'!F18,"AAAAAG3WPg4=")</f>
        <v>#VALUE!</v>
      </c>
      <c r="P17" t="e">
        <f>AND('4to. Bach_B'!G18,"AAAAAG3WPg8=")</f>
        <v>#VALUE!</v>
      </c>
      <c r="Q17" t="e">
        <f>AND('4to. Bach_B'!H18,"AAAAAG3WPhA=")</f>
        <v>#VALUE!</v>
      </c>
      <c r="R17" t="e">
        <f>AND('4to. Bach_B'!I18,"AAAAAG3WPhE=")</f>
        <v>#VALUE!</v>
      </c>
      <c r="S17" t="e">
        <f>AND('4to. Bach_B'!J18,"AAAAAG3WPhI=")</f>
        <v>#VALUE!</v>
      </c>
      <c r="T17" t="e">
        <f>AND('4to. Bach_B'!K18,"AAAAAG3WPhM=")</f>
        <v>#VALUE!</v>
      </c>
      <c r="U17" t="e">
        <f>AND('4to. Bach_B'!L18,"AAAAAG3WPhQ=")</f>
        <v>#VALUE!</v>
      </c>
      <c r="V17" t="e">
        <f>AND('4to. Bach_B'!M18,"AAAAAG3WPhU=")</f>
        <v>#VALUE!</v>
      </c>
      <c r="W17" t="e">
        <f>AND('4to. Bach_B'!N18,"AAAAAG3WPhY=")</f>
        <v>#VALUE!</v>
      </c>
      <c r="X17" t="e">
        <f>AND('4to. Bach_B'!O18,"AAAAAG3WPhc=")</f>
        <v>#VALUE!</v>
      </c>
      <c r="Y17" t="e">
        <f>AND('4to. Bach_B'!P18,"AAAAAG3WPhg=")</f>
        <v>#VALUE!</v>
      </c>
      <c r="Z17" t="e">
        <f>AND('4to. Bach_B'!Q18,"AAAAAG3WPhk=")</f>
        <v>#VALUE!</v>
      </c>
      <c r="AA17" t="e">
        <f>AND('4to. Bach_B'!R18,"AAAAAG3WPho=")</f>
        <v>#VALUE!</v>
      </c>
      <c r="AB17" t="e">
        <f>AND('4to. Bach_B'!S18,"AAAAAG3WPhs=")</f>
        <v>#VALUE!</v>
      </c>
      <c r="AC17" t="e">
        <f>AND('4to. Bach_B'!T18,"AAAAAG3WPhw=")</f>
        <v>#VALUE!</v>
      </c>
      <c r="AD17" t="e">
        <f>AND('4to. Bach_B'!#REF!,"AAAAAG3WPh0=")</f>
        <v>#REF!</v>
      </c>
      <c r="AE17" t="e">
        <f>AND('4to. Bach_B'!#REF!,"AAAAAG3WPh4=")</f>
        <v>#REF!</v>
      </c>
      <c r="AF17" t="e">
        <f>AND('4to. Bach_B'!#REF!,"AAAAAG3WPh8=")</f>
        <v>#REF!</v>
      </c>
      <c r="AG17" t="e">
        <f>AND('4to. Bach_B'!#REF!,"AAAAAG3WPiA=")</f>
        <v>#REF!</v>
      </c>
      <c r="AH17" t="e">
        <f>AND('4to. Bach_B'!#REF!,"AAAAAG3WPiE=")</f>
        <v>#REF!</v>
      </c>
      <c r="AI17">
        <f>IF('4to. Bach_B'!19:19,"AAAAAG3WPiI=",0)</f>
        <v>0</v>
      </c>
      <c r="AJ17" t="e">
        <f>AND('4to. Bach_B'!A19,"AAAAAG3WPiM=")</f>
        <v>#VALUE!</v>
      </c>
      <c r="AK17" t="e">
        <f>AND('4to. Bach_B'!B19,"AAAAAG3WPiQ=")</f>
        <v>#VALUE!</v>
      </c>
      <c r="AL17" t="e">
        <f>AND('4to. Bach_B'!C19,"AAAAAG3WPiU=")</f>
        <v>#VALUE!</v>
      </c>
      <c r="AM17" t="e">
        <f>AND('4to. Bach_B'!D19,"AAAAAG3WPiY=")</f>
        <v>#VALUE!</v>
      </c>
      <c r="AN17" t="e">
        <f>AND('4to. Bach_B'!E19,"AAAAAG3WPic=")</f>
        <v>#VALUE!</v>
      </c>
      <c r="AO17" t="e">
        <f>AND('4to. Bach_B'!F19,"AAAAAG3WPig=")</f>
        <v>#VALUE!</v>
      </c>
      <c r="AP17" t="e">
        <f>AND('4to. Bach_B'!G19,"AAAAAG3WPik=")</f>
        <v>#VALUE!</v>
      </c>
      <c r="AQ17" t="e">
        <f>AND('4to. Bach_B'!H19,"AAAAAG3WPio=")</f>
        <v>#VALUE!</v>
      </c>
      <c r="AR17" t="e">
        <f>AND('4to. Bach_B'!I19,"AAAAAG3WPis=")</f>
        <v>#VALUE!</v>
      </c>
      <c r="AS17" t="e">
        <f>AND('4to. Bach_B'!J19,"AAAAAG3WPiw=")</f>
        <v>#VALUE!</v>
      </c>
      <c r="AT17" t="e">
        <f>AND('4to. Bach_B'!K19,"AAAAAG3WPi0=")</f>
        <v>#VALUE!</v>
      </c>
      <c r="AU17" t="e">
        <f>AND('4to. Bach_B'!L19,"AAAAAG3WPi4=")</f>
        <v>#VALUE!</v>
      </c>
      <c r="AV17" t="e">
        <f>AND('4to. Bach_B'!M19,"AAAAAG3WPi8=")</f>
        <v>#VALUE!</v>
      </c>
      <c r="AW17" t="e">
        <f>AND('4to. Bach_B'!N19,"AAAAAG3WPjA=")</f>
        <v>#VALUE!</v>
      </c>
      <c r="AX17" t="e">
        <f>AND('4to. Bach_B'!O19,"AAAAAG3WPjE=")</f>
        <v>#VALUE!</v>
      </c>
      <c r="AY17" t="e">
        <f>AND('4to. Bach_B'!P19,"AAAAAG3WPjI=")</f>
        <v>#VALUE!</v>
      </c>
      <c r="AZ17" t="e">
        <f>AND('4to. Bach_B'!Q19,"AAAAAG3WPjM=")</f>
        <v>#VALUE!</v>
      </c>
      <c r="BA17" t="e">
        <f>AND('4to. Bach_B'!R19,"AAAAAG3WPjQ=")</f>
        <v>#VALUE!</v>
      </c>
      <c r="BB17" t="e">
        <f>AND('4to. Bach_B'!S19,"AAAAAG3WPjU=")</f>
        <v>#VALUE!</v>
      </c>
      <c r="BC17" t="e">
        <f>AND('4to. Bach_B'!T19,"AAAAAG3WPjY=")</f>
        <v>#VALUE!</v>
      </c>
      <c r="BD17" t="e">
        <f>AND('4to. Bach_B'!#REF!,"AAAAAG3WPjc=")</f>
        <v>#REF!</v>
      </c>
      <c r="BE17" t="e">
        <f>AND('4to. Bach_B'!#REF!,"AAAAAG3WPjg=")</f>
        <v>#REF!</v>
      </c>
      <c r="BF17" t="e">
        <f>AND('4to. Bach_B'!#REF!,"AAAAAG3WPjk=")</f>
        <v>#REF!</v>
      </c>
      <c r="BG17" t="e">
        <f>AND('4to. Bach_B'!#REF!,"AAAAAG3WPjo=")</f>
        <v>#REF!</v>
      </c>
      <c r="BH17" t="e">
        <f>AND('4to. Bach_B'!#REF!,"AAAAAG3WPjs=")</f>
        <v>#REF!</v>
      </c>
      <c r="BI17">
        <f>IF('4to. Bach_B'!20:20,"AAAAAG3WPjw=",0)</f>
        <v>0</v>
      </c>
      <c r="BJ17" t="e">
        <f>AND('4to. Bach_B'!A20,"AAAAAG3WPj0=")</f>
        <v>#VALUE!</v>
      </c>
      <c r="BK17" t="e">
        <f>AND('4to. Bach_B'!B20,"AAAAAG3WPj4=")</f>
        <v>#VALUE!</v>
      </c>
      <c r="BL17" t="e">
        <f>AND('4to. Bach_B'!C20,"AAAAAG3WPj8=")</f>
        <v>#VALUE!</v>
      </c>
      <c r="BM17" t="e">
        <f>AND('4to. Bach_B'!D20,"AAAAAG3WPkA=")</f>
        <v>#VALUE!</v>
      </c>
      <c r="BN17" t="e">
        <f>AND('4to. Bach_B'!E20,"AAAAAG3WPkE=")</f>
        <v>#VALUE!</v>
      </c>
      <c r="BO17" t="e">
        <f>AND('4to. Bach_B'!F20,"AAAAAG3WPkI=")</f>
        <v>#VALUE!</v>
      </c>
      <c r="BP17" t="e">
        <f>AND('4to. Bach_B'!G20,"AAAAAG3WPkM=")</f>
        <v>#VALUE!</v>
      </c>
      <c r="BQ17" t="e">
        <f>AND('4to. Bach_B'!H20,"AAAAAG3WPkQ=")</f>
        <v>#VALUE!</v>
      </c>
      <c r="BR17" t="e">
        <f>AND('4to. Bach_B'!I20,"AAAAAG3WPkU=")</f>
        <v>#VALUE!</v>
      </c>
      <c r="BS17" t="e">
        <f>AND('4to. Bach_B'!J20,"AAAAAG3WPkY=")</f>
        <v>#VALUE!</v>
      </c>
      <c r="BT17" t="e">
        <f>AND('4to. Bach_B'!K20,"AAAAAG3WPkc=")</f>
        <v>#VALUE!</v>
      </c>
      <c r="BU17" t="e">
        <f>AND('4to. Bach_B'!L20,"AAAAAG3WPkg=")</f>
        <v>#VALUE!</v>
      </c>
      <c r="BV17" t="e">
        <f>AND('4to. Bach_B'!M20,"AAAAAG3WPkk=")</f>
        <v>#VALUE!</v>
      </c>
      <c r="BW17" t="e">
        <f>AND('4to. Bach_B'!N20,"AAAAAG3WPko=")</f>
        <v>#VALUE!</v>
      </c>
      <c r="BX17" t="e">
        <f>AND('4to. Bach_B'!O20,"AAAAAG3WPks=")</f>
        <v>#VALUE!</v>
      </c>
      <c r="BY17" t="e">
        <f>AND('4to. Bach_B'!P20,"AAAAAG3WPkw=")</f>
        <v>#VALUE!</v>
      </c>
      <c r="BZ17" t="e">
        <f>AND('4to. Bach_B'!Q20,"AAAAAG3WPk0=")</f>
        <v>#VALUE!</v>
      </c>
      <c r="CA17" t="e">
        <f>AND('4to. Bach_B'!R20,"AAAAAG3WPk4=")</f>
        <v>#VALUE!</v>
      </c>
      <c r="CB17" t="e">
        <f>AND('4to. Bach_B'!S20,"AAAAAG3WPk8=")</f>
        <v>#VALUE!</v>
      </c>
      <c r="CC17" t="e">
        <f>AND('4to. Bach_B'!T20,"AAAAAG3WPlA=")</f>
        <v>#VALUE!</v>
      </c>
      <c r="CD17" t="e">
        <f>AND('4to. Bach_B'!#REF!,"AAAAAG3WPlE=")</f>
        <v>#REF!</v>
      </c>
      <c r="CE17" t="e">
        <f>AND('4to. Bach_B'!#REF!,"AAAAAG3WPlI=")</f>
        <v>#REF!</v>
      </c>
      <c r="CF17" t="e">
        <f>AND('4to. Bach_B'!#REF!,"AAAAAG3WPlM=")</f>
        <v>#REF!</v>
      </c>
      <c r="CG17" t="e">
        <f>AND('4to. Bach_B'!#REF!,"AAAAAG3WPlQ=")</f>
        <v>#REF!</v>
      </c>
      <c r="CH17" t="e">
        <f>AND('4to. Bach_B'!#REF!,"AAAAAG3WPlU=")</f>
        <v>#REF!</v>
      </c>
      <c r="CI17">
        <f>IF('4to. Bach_B'!21:21,"AAAAAG3WPlY=",0)</f>
        <v>0</v>
      </c>
      <c r="CJ17" t="e">
        <f>AND('4to. Bach_B'!A21,"AAAAAG3WPlc=")</f>
        <v>#VALUE!</v>
      </c>
      <c r="CK17" t="e">
        <f>AND('4to. Bach_B'!B21,"AAAAAG3WPlg=")</f>
        <v>#VALUE!</v>
      </c>
      <c r="CL17" t="e">
        <f>AND('4to. Bach_B'!C21,"AAAAAG3WPlk=")</f>
        <v>#VALUE!</v>
      </c>
      <c r="CM17" t="e">
        <f>AND('4to. Bach_B'!D21,"AAAAAG3WPlo=")</f>
        <v>#VALUE!</v>
      </c>
      <c r="CN17" t="e">
        <f>AND('4to. Bach_B'!E21,"AAAAAG3WPls=")</f>
        <v>#VALUE!</v>
      </c>
      <c r="CO17" t="e">
        <f>AND('4to. Bach_B'!F21,"AAAAAG3WPlw=")</f>
        <v>#VALUE!</v>
      </c>
      <c r="CP17" t="e">
        <f>AND('4to. Bach_B'!G21,"AAAAAG3WPl0=")</f>
        <v>#VALUE!</v>
      </c>
      <c r="CQ17" t="e">
        <f>AND('4to. Bach_B'!H21,"AAAAAG3WPl4=")</f>
        <v>#VALUE!</v>
      </c>
      <c r="CR17" t="e">
        <f>AND('4to. Bach_B'!I21,"AAAAAG3WPl8=")</f>
        <v>#VALUE!</v>
      </c>
      <c r="CS17" t="e">
        <f>AND('4to. Bach_B'!J21,"AAAAAG3WPmA=")</f>
        <v>#VALUE!</v>
      </c>
      <c r="CT17" t="e">
        <f>AND('4to. Bach_B'!K21,"AAAAAG3WPmE=")</f>
        <v>#VALUE!</v>
      </c>
      <c r="CU17" t="e">
        <f>AND('4to. Bach_B'!L21,"AAAAAG3WPmI=")</f>
        <v>#VALUE!</v>
      </c>
      <c r="CV17" t="e">
        <f>AND('4to. Bach_B'!M21,"AAAAAG3WPmM=")</f>
        <v>#VALUE!</v>
      </c>
      <c r="CW17" t="e">
        <f>AND('4to. Bach_B'!N21,"AAAAAG3WPmQ=")</f>
        <v>#VALUE!</v>
      </c>
      <c r="CX17" t="e">
        <f>AND('4to. Bach_B'!O21,"AAAAAG3WPmU=")</f>
        <v>#VALUE!</v>
      </c>
      <c r="CY17" t="e">
        <f>AND('4to. Bach_B'!P21,"AAAAAG3WPmY=")</f>
        <v>#VALUE!</v>
      </c>
      <c r="CZ17" t="e">
        <f>AND('4to. Bach_B'!Q21,"AAAAAG3WPmc=")</f>
        <v>#VALUE!</v>
      </c>
      <c r="DA17" t="e">
        <f>AND('4to. Bach_B'!R21,"AAAAAG3WPmg=")</f>
        <v>#VALUE!</v>
      </c>
      <c r="DB17" t="e">
        <f>AND('4to. Bach_B'!S21,"AAAAAG3WPmk=")</f>
        <v>#VALUE!</v>
      </c>
      <c r="DC17" t="e">
        <f>AND('4to. Bach_B'!T21,"AAAAAG3WPmo=")</f>
        <v>#VALUE!</v>
      </c>
      <c r="DD17" t="e">
        <f>AND('4to. Bach_B'!#REF!,"AAAAAG3WPms=")</f>
        <v>#REF!</v>
      </c>
      <c r="DE17" t="e">
        <f>AND('4to. Bach_B'!#REF!,"AAAAAG3WPmw=")</f>
        <v>#REF!</v>
      </c>
      <c r="DF17" t="e">
        <f>AND('4to. Bach_B'!#REF!,"AAAAAG3WPm0=")</f>
        <v>#REF!</v>
      </c>
      <c r="DG17" t="e">
        <f>AND('4to. Bach_B'!#REF!,"AAAAAG3WPm4=")</f>
        <v>#REF!</v>
      </c>
      <c r="DH17" t="e">
        <f>AND('4to. Bach_B'!#REF!,"AAAAAG3WPm8=")</f>
        <v>#REF!</v>
      </c>
      <c r="DI17">
        <f>IF('4to. Bach_B'!22:22,"AAAAAG3WPnA=",0)</f>
        <v>0</v>
      </c>
      <c r="DJ17" t="e">
        <f>AND('4to. Bach_B'!A22,"AAAAAG3WPnE=")</f>
        <v>#VALUE!</v>
      </c>
      <c r="DK17" t="e">
        <f>AND('4to. Bach_B'!B22,"AAAAAG3WPnI=")</f>
        <v>#VALUE!</v>
      </c>
      <c r="DL17" t="e">
        <f>AND('4to. Bach_B'!C22,"AAAAAG3WPnM=")</f>
        <v>#VALUE!</v>
      </c>
      <c r="DM17" t="e">
        <f>AND('4to. Bach_B'!D22,"AAAAAG3WPnQ=")</f>
        <v>#VALUE!</v>
      </c>
      <c r="DN17" t="e">
        <f>AND('4to. Bach_B'!E22,"AAAAAG3WPnU=")</f>
        <v>#VALUE!</v>
      </c>
      <c r="DO17" t="e">
        <f>AND('4to. Bach_B'!F22,"AAAAAG3WPnY=")</f>
        <v>#VALUE!</v>
      </c>
      <c r="DP17" t="e">
        <f>AND('4to. Bach_B'!G22,"AAAAAG3WPnc=")</f>
        <v>#VALUE!</v>
      </c>
      <c r="DQ17" t="e">
        <f>AND('4to. Bach_B'!H22,"AAAAAG3WPng=")</f>
        <v>#VALUE!</v>
      </c>
      <c r="DR17" t="e">
        <f>AND('4to. Bach_B'!I22,"AAAAAG3WPnk=")</f>
        <v>#VALUE!</v>
      </c>
      <c r="DS17" t="e">
        <f>AND('4to. Bach_B'!J22,"AAAAAG3WPno=")</f>
        <v>#VALUE!</v>
      </c>
      <c r="DT17" t="e">
        <f>AND('4to. Bach_B'!K22,"AAAAAG3WPns=")</f>
        <v>#VALUE!</v>
      </c>
      <c r="DU17" t="e">
        <f>AND('4to. Bach_B'!L22,"AAAAAG3WPnw=")</f>
        <v>#VALUE!</v>
      </c>
      <c r="DV17" t="e">
        <f>AND('4to. Bach_B'!M22,"AAAAAG3WPn0=")</f>
        <v>#VALUE!</v>
      </c>
      <c r="DW17" t="e">
        <f>AND('4to. Bach_B'!N22,"AAAAAG3WPn4=")</f>
        <v>#VALUE!</v>
      </c>
      <c r="DX17" t="e">
        <f>AND('4to. Bach_B'!O22,"AAAAAG3WPn8=")</f>
        <v>#VALUE!</v>
      </c>
      <c r="DY17" t="e">
        <f>AND('4to. Bach_B'!P22,"AAAAAG3WPoA=")</f>
        <v>#VALUE!</v>
      </c>
      <c r="DZ17" t="e">
        <f>AND('4to. Bach_B'!Q22,"AAAAAG3WPoE=")</f>
        <v>#VALUE!</v>
      </c>
      <c r="EA17" t="e">
        <f>AND('4to. Bach_B'!R22,"AAAAAG3WPoI=")</f>
        <v>#VALUE!</v>
      </c>
      <c r="EB17" t="e">
        <f>AND('4to. Bach_B'!S22,"AAAAAG3WPoM=")</f>
        <v>#VALUE!</v>
      </c>
      <c r="EC17" t="e">
        <f>AND('4to. Bach_B'!T22,"AAAAAG3WPoQ=")</f>
        <v>#VALUE!</v>
      </c>
      <c r="ED17" t="e">
        <f>AND('4to. Bach_B'!#REF!,"AAAAAG3WPoU=")</f>
        <v>#REF!</v>
      </c>
      <c r="EE17" t="e">
        <f>AND('4to. Bach_B'!#REF!,"AAAAAG3WPoY=")</f>
        <v>#REF!</v>
      </c>
      <c r="EF17" t="e">
        <f>AND('4to. Bach_B'!#REF!,"AAAAAG3WPoc=")</f>
        <v>#REF!</v>
      </c>
      <c r="EG17" t="e">
        <f>AND('4to. Bach_B'!#REF!,"AAAAAG3WPog=")</f>
        <v>#REF!</v>
      </c>
      <c r="EH17" t="e">
        <f>AND('4to. Bach_B'!#REF!,"AAAAAG3WPok=")</f>
        <v>#REF!</v>
      </c>
      <c r="EI17">
        <f>IF('4to. Bach_B'!23:23,"AAAAAG3WPoo=",0)</f>
        <v>0</v>
      </c>
      <c r="EJ17" t="e">
        <f>AND('4to. Bach_B'!A23,"AAAAAG3WPos=")</f>
        <v>#VALUE!</v>
      </c>
      <c r="EK17" t="e">
        <f>AND('4to. Bach_B'!B23,"AAAAAG3WPow=")</f>
        <v>#VALUE!</v>
      </c>
      <c r="EL17" t="e">
        <f>AND('4to. Bach_B'!C23,"AAAAAG3WPo0=")</f>
        <v>#VALUE!</v>
      </c>
      <c r="EM17" t="e">
        <f>AND('4to. Bach_B'!D23,"AAAAAG3WPo4=")</f>
        <v>#VALUE!</v>
      </c>
      <c r="EN17" t="e">
        <f>AND('4to. Bach_B'!E23,"AAAAAG3WPo8=")</f>
        <v>#VALUE!</v>
      </c>
      <c r="EO17" t="e">
        <f>AND('4to. Bach_B'!F23,"AAAAAG3WPpA=")</f>
        <v>#VALUE!</v>
      </c>
      <c r="EP17" t="e">
        <f>AND('4to. Bach_B'!G23,"AAAAAG3WPpE=")</f>
        <v>#VALUE!</v>
      </c>
      <c r="EQ17" t="e">
        <f>AND('4to. Bach_B'!H23,"AAAAAG3WPpI=")</f>
        <v>#VALUE!</v>
      </c>
      <c r="ER17" t="e">
        <f>AND('4to. Bach_B'!I23,"AAAAAG3WPpM=")</f>
        <v>#VALUE!</v>
      </c>
      <c r="ES17" t="e">
        <f>AND('4to. Bach_B'!J23,"AAAAAG3WPpQ=")</f>
        <v>#VALUE!</v>
      </c>
      <c r="ET17" t="e">
        <f>AND('4to. Bach_B'!K23,"AAAAAG3WPpU=")</f>
        <v>#VALUE!</v>
      </c>
      <c r="EU17" t="e">
        <f>AND('4to. Bach_B'!L23,"AAAAAG3WPpY=")</f>
        <v>#VALUE!</v>
      </c>
      <c r="EV17" t="e">
        <f>AND('4to. Bach_B'!M23,"AAAAAG3WPpc=")</f>
        <v>#VALUE!</v>
      </c>
      <c r="EW17" t="e">
        <f>AND('4to. Bach_B'!N23,"AAAAAG3WPpg=")</f>
        <v>#VALUE!</v>
      </c>
      <c r="EX17" t="e">
        <f>AND('4to. Bach_B'!O23,"AAAAAG3WPpk=")</f>
        <v>#VALUE!</v>
      </c>
      <c r="EY17" t="e">
        <f>AND('4to. Bach_B'!P23,"AAAAAG3WPpo=")</f>
        <v>#VALUE!</v>
      </c>
      <c r="EZ17" t="e">
        <f>AND('4to. Bach_B'!Q23,"AAAAAG3WPps=")</f>
        <v>#VALUE!</v>
      </c>
      <c r="FA17" t="e">
        <f>AND('4to. Bach_B'!R23,"AAAAAG3WPpw=")</f>
        <v>#VALUE!</v>
      </c>
      <c r="FB17" t="e">
        <f>AND('4to. Bach_B'!S23,"AAAAAG3WPp0=")</f>
        <v>#VALUE!</v>
      </c>
      <c r="FC17" t="e">
        <f>AND('4to. Bach_B'!T23,"AAAAAG3WPp4=")</f>
        <v>#VALUE!</v>
      </c>
      <c r="FD17" t="e">
        <f>AND('4to. Bach_B'!#REF!,"AAAAAG3WPp8=")</f>
        <v>#REF!</v>
      </c>
      <c r="FE17" t="e">
        <f>AND('4to. Bach_B'!#REF!,"AAAAAG3WPqA=")</f>
        <v>#REF!</v>
      </c>
      <c r="FF17" t="e">
        <f>AND('4to. Bach_B'!#REF!,"AAAAAG3WPqE=")</f>
        <v>#REF!</v>
      </c>
      <c r="FG17" t="e">
        <f>AND('4to. Bach_B'!#REF!,"AAAAAG3WPqI=")</f>
        <v>#REF!</v>
      </c>
      <c r="FH17" t="e">
        <f>AND('4to. Bach_B'!#REF!,"AAAAAG3WPqM=")</f>
        <v>#REF!</v>
      </c>
      <c r="FI17">
        <f>IF('4to. Bach_B'!24:24,"AAAAAG3WPqQ=",0)</f>
        <v>0</v>
      </c>
      <c r="FJ17" t="e">
        <f>AND('4to. Bach_B'!A24,"AAAAAG3WPqU=")</f>
        <v>#VALUE!</v>
      </c>
      <c r="FK17" t="e">
        <f>AND('4to. Bach_B'!B24,"AAAAAG3WPqY=")</f>
        <v>#VALUE!</v>
      </c>
      <c r="FL17" t="e">
        <f>AND('4to. Bach_B'!C24,"AAAAAG3WPqc=")</f>
        <v>#VALUE!</v>
      </c>
      <c r="FM17" t="e">
        <f>AND('4to. Bach_B'!D24,"AAAAAG3WPqg=")</f>
        <v>#VALUE!</v>
      </c>
      <c r="FN17" t="e">
        <f>AND('4to. Bach_B'!E24,"AAAAAG3WPqk=")</f>
        <v>#VALUE!</v>
      </c>
      <c r="FO17" t="e">
        <f>AND('4to. Bach_B'!F24,"AAAAAG3WPqo=")</f>
        <v>#VALUE!</v>
      </c>
      <c r="FP17" t="e">
        <f>AND('4to. Bach_B'!G24,"AAAAAG3WPqs=")</f>
        <v>#VALUE!</v>
      </c>
      <c r="FQ17" t="e">
        <f>AND('4to. Bach_B'!H24,"AAAAAG3WPqw=")</f>
        <v>#VALUE!</v>
      </c>
      <c r="FR17" t="e">
        <f>AND('4to. Bach_B'!I24,"AAAAAG3WPq0=")</f>
        <v>#VALUE!</v>
      </c>
      <c r="FS17" t="e">
        <f>AND('4to. Bach_B'!J24,"AAAAAG3WPq4=")</f>
        <v>#VALUE!</v>
      </c>
      <c r="FT17" t="e">
        <f>AND('4to. Bach_B'!K24,"AAAAAG3WPq8=")</f>
        <v>#VALUE!</v>
      </c>
      <c r="FU17" t="e">
        <f>AND('4to. Bach_B'!L24,"AAAAAG3WPrA=")</f>
        <v>#VALUE!</v>
      </c>
      <c r="FV17" t="e">
        <f>AND('4to. Bach_B'!M24,"AAAAAG3WPrE=")</f>
        <v>#VALUE!</v>
      </c>
      <c r="FW17" t="e">
        <f>AND('4to. Bach_B'!N24,"AAAAAG3WPrI=")</f>
        <v>#VALUE!</v>
      </c>
      <c r="FX17" t="e">
        <f>AND('4to. Bach_B'!O24,"AAAAAG3WPrM=")</f>
        <v>#VALUE!</v>
      </c>
      <c r="FY17" t="e">
        <f>AND('4to. Bach_B'!P24,"AAAAAG3WPrQ=")</f>
        <v>#VALUE!</v>
      </c>
      <c r="FZ17" t="e">
        <f>AND('4to. Bach_B'!Q24,"AAAAAG3WPrU=")</f>
        <v>#VALUE!</v>
      </c>
      <c r="GA17" t="e">
        <f>AND('4to. Bach_B'!R24,"AAAAAG3WPrY=")</f>
        <v>#VALUE!</v>
      </c>
      <c r="GB17" t="e">
        <f>AND('4to. Bach_B'!S24,"AAAAAG3WPrc=")</f>
        <v>#VALUE!</v>
      </c>
      <c r="GC17" t="e">
        <f>AND('4to. Bach_B'!T24,"AAAAAG3WPrg=")</f>
        <v>#VALUE!</v>
      </c>
      <c r="GD17" t="e">
        <f>AND('4to. Bach_B'!#REF!,"AAAAAG3WPrk=")</f>
        <v>#REF!</v>
      </c>
      <c r="GE17" t="e">
        <f>AND('4to. Bach_B'!#REF!,"AAAAAG3WPro=")</f>
        <v>#REF!</v>
      </c>
      <c r="GF17" t="e">
        <f>AND('4to. Bach_B'!#REF!,"AAAAAG3WPrs=")</f>
        <v>#REF!</v>
      </c>
      <c r="GG17" t="e">
        <f>AND('4to. Bach_B'!#REF!,"AAAAAG3WPrw=")</f>
        <v>#REF!</v>
      </c>
      <c r="GH17" t="e">
        <f>AND('4to. Bach_B'!#REF!,"AAAAAG3WPr0=")</f>
        <v>#REF!</v>
      </c>
      <c r="GI17">
        <f>IF('4to. Bach_B'!25:25,"AAAAAG3WPr4=",0)</f>
        <v>0</v>
      </c>
      <c r="GJ17" t="e">
        <f>AND('4to. Bach_B'!A25,"AAAAAG3WPr8=")</f>
        <v>#VALUE!</v>
      </c>
      <c r="GK17" t="e">
        <f>AND('4to. Bach_B'!B25,"AAAAAG3WPsA=")</f>
        <v>#VALUE!</v>
      </c>
      <c r="GL17" t="e">
        <f>AND('4to. Bach_B'!C25,"AAAAAG3WPsE=")</f>
        <v>#VALUE!</v>
      </c>
      <c r="GM17" t="e">
        <f>AND('4to. Bach_B'!D25,"AAAAAG3WPsI=")</f>
        <v>#VALUE!</v>
      </c>
      <c r="GN17" t="e">
        <f>AND('4to. Bach_B'!E25,"AAAAAG3WPsM=")</f>
        <v>#VALUE!</v>
      </c>
      <c r="GO17" t="e">
        <f>AND('4to. Bach_B'!F25,"AAAAAG3WPsQ=")</f>
        <v>#VALUE!</v>
      </c>
      <c r="GP17" t="e">
        <f>AND('4to. Bach_B'!G25,"AAAAAG3WPsU=")</f>
        <v>#VALUE!</v>
      </c>
      <c r="GQ17" t="e">
        <f>AND('4to. Bach_B'!H25,"AAAAAG3WPsY=")</f>
        <v>#VALUE!</v>
      </c>
      <c r="GR17" t="e">
        <f>AND('4to. Bach_B'!I25,"AAAAAG3WPsc=")</f>
        <v>#VALUE!</v>
      </c>
      <c r="GS17" t="e">
        <f>AND('4to. Bach_B'!J25,"AAAAAG3WPsg=")</f>
        <v>#VALUE!</v>
      </c>
      <c r="GT17" t="e">
        <f>AND('4to. Bach_B'!K25,"AAAAAG3WPsk=")</f>
        <v>#VALUE!</v>
      </c>
      <c r="GU17" t="e">
        <f>AND('4to. Bach_B'!L25,"AAAAAG3WPso=")</f>
        <v>#VALUE!</v>
      </c>
      <c r="GV17" t="e">
        <f>AND('4to. Bach_B'!M25,"AAAAAG3WPss=")</f>
        <v>#VALUE!</v>
      </c>
      <c r="GW17" t="e">
        <f>AND('4to. Bach_B'!N25,"AAAAAG3WPsw=")</f>
        <v>#VALUE!</v>
      </c>
      <c r="GX17" t="e">
        <f>AND('4to. Bach_B'!O25,"AAAAAG3WPs0=")</f>
        <v>#VALUE!</v>
      </c>
      <c r="GY17" t="e">
        <f>AND('4to. Bach_B'!P25,"AAAAAG3WPs4=")</f>
        <v>#VALUE!</v>
      </c>
      <c r="GZ17" t="e">
        <f>AND('4to. Bach_B'!Q25,"AAAAAG3WPs8=")</f>
        <v>#VALUE!</v>
      </c>
      <c r="HA17" t="e">
        <f>AND('4to. Bach_B'!R25,"AAAAAG3WPtA=")</f>
        <v>#VALUE!</v>
      </c>
      <c r="HB17" t="e">
        <f>AND('4to. Bach_B'!S25,"AAAAAG3WPtE=")</f>
        <v>#VALUE!</v>
      </c>
      <c r="HC17" t="e">
        <f>AND('4to. Bach_B'!T25,"AAAAAG3WPtI=")</f>
        <v>#VALUE!</v>
      </c>
      <c r="HD17" t="e">
        <f>AND('4to. Bach_B'!#REF!,"AAAAAG3WPtM=")</f>
        <v>#REF!</v>
      </c>
      <c r="HE17" t="e">
        <f>AND('4to. Bach_B'!#REF!,"AAAAAG3WPtQ=")</f>
        <v>#REF!</v>
      </c>
      <c r="HF17" t="e">
        <f>AND('4to. Bach_B'!#REF!,"AAAAAG3WPtU=")</f>
        <v>#REF!</v>
      </c>
      <c r="HG17" t="e">
        <f>AND('4to. Bach_B'!#REF!,"AAAAAG3WPtY=")</f>
        <v>#REF!</v>
      </c>
      <c r="HH17" t="e">
        <f>AND('4to. Bach_B'!#REF!,"AAAAAG3WPtc=")</f>
        <v>#REF!</v>
      </c>
      <c r="HI17">
        <f>IF('4to. Bach_B'!26:26,"AAAAAG3WPtg=",0)</f>
        <v>0</v>
      </c>
      <c r="HJ17" t="e">
        <f>AND('4to. Bach_B'!A26,"AAAAAG3WPtk=")</f>
        <v>#VALUE!</v>
      </c>
      <c r="HK17" t="e">
        <f>AND('4to. Bach_B'!B26,"AAAAAG3WPto=")</f>
        <v>#VALUE!</v>
      </c>
      <c r="HL17" t="e">
        <f>AND('4to. Bach_B'!C26,"AAAAAG3WPts=")</f>
        <v>#VALUE!</v>
      </c>
      <c r="HM17" t="e">
        <f>AND('4to. Bach_B'!D26,"AAAAAG3WPtw=")</f>
        <v>#VALUE!</v>
      </c>
      <c r="HN17" t="e">
        <f>AND('4to. Bach_B'!E26,"AAAAAG3WPt0=")</f>
        <v>#VALUE!</v>
      </c>
      <c r="HO17" t="e">
        <f>AND('4to. Bach_B'!F26,"AAAAAG3WPt4=")</f>
        <v>#VALUE!</v>
      </c>
      <c r="HP17" t="e">
        <f>AND('4to. Bach_B'!G26,"AAAAAG3WPt8=")</f>
        <v>#VALUE!</v>
      </c>
      <c r="HQ17" t="e">
        <f>AND('4to. Bach_B'!H26,"AAAAAG3WPuA=")</f>
        <v>#VALUE!</v>
      </c>
      <c r="HR17" t="e">
        <f>AND('4to. Bach_B'!I26,"AAAAAG3WPuE=")</f>
        <v>#VALUE!</v>
      </c>
      <c r="HS17" t="e">
        <f>AND('4to. Bach_B'!J26,"AAAAAG3WPuI=")</f>
        <v>#VALUE!</v>
      </c>
      <c r="HT17" t="e">
        <f>AND('4to. Bach_B'!K26,"AAAAAG3WPuM=")</f>
        <v>#VALUE!</v>
      </c>
      <c r="HU17" t="e">
        <f>AND('4to. Bach_B'!L26,"AAAAAG3WPuQ=")</f>
        <v>#VALUE!</v>
      </c>
      <c r="HV17" t="e">
        <f>AND('4to. Bach_B'!M26,"AAAAAG3WPuU=")</f>
        <v>#VALUE!</v>
      </c>
      <c r="HW17" t="e">
        <f>AND('4to. Bach_B'!N26,"AAAAAG3WPuY=")</f>
        <v>#VALUE!</v>
      </c>
      <c r="HX17" t="e">
        <f>AND('4to. Bach_B'!O26,"AAAAAG3WPuc=")</f>
        <v>#VALUE!</v>
      </c>
      <c r="HY17" t="e">
        <f>AND('4to. Bach_B'!P26,"AAAAAG3WPug=")</f>
        <v>#VALUE!</v>
      </c>
      <c r="HZ17" t="e">
        <f>AND('4to. Bach_B'!Q26,"AAAAAG3WPuk=")</f>
        <v>#VALUE!</v>
      </c>
      <c r="IA17" t="e">
        <f>AND('4to. Bach_B'!R26,"AAAAAG3WPuo=")</f>
        <v>#VALUE!</v>
      </c>
      <c r="IB17" t="e">
        <f>AND('4to. Bach_B'!S26,"AAAAAG3WPus=")</f>
        <v>#VALUE!</v>
      </c>
      <c r="IC17" t="e">
        <f>AND('4to. Bach_B'!T26,"AAAAAG3WPuw=")</f>
        <v>#VALUE!</v>
      </c>
      <c r="ID17" t="e">
        <f>AND('4to. Bach_B'!#REF!,"AAAAAG3WPu0=")</f>
        <v>#REF!</v>
      </c>
      <c r="IE17" t="e">
        <f>AND('4to. Bach_B'!#REF!,"AAAAAG3WPu4=")</f>
        <v>#REF!</v>
      </c>
      <c r="IF17" t="e">
        <f>AND('4to. Bach_B'!#REF!,"AAAAAG3WPu8=")</f>
        <v>#REF!</v>
      </c>
      <c r="IG17" t="e">
        <f>AND('4to. Bach_B'!#REF!,"AAAAAG3WPvA=")</f>
        <v>#REF!</v>
      </c>
      <c r="IH17" t="e">
        <f>AND('4to. Bach_B'!#REF!,"AAAAAG3WPvE=")</f>
        <v>#REF!</v>
      </c>
      <c r="II17">
        <f>IF('4to. Bach_B'!27:27,"AAAAAG3WPvI=",0)</f>
        <v>0</v>
      </c>
      <c r="IJ17" t="e">
        <f>AND('4to. Bach_B'!A27,"AAAAAG3WPvM=")</f>
        <v>#VALUE!</v>
      </c>
      <c r="IK17" t="e">
        <f>AND('4to. Bach_B'!B27,"AAAAAG3WPvQ=")</f>
        <v>#VALUE!</v>
      </c>
      <c r="IL17" t="e">
        <f>AND('4to. Bach_B'!C27,"AAAAAG3WPvU=")</f>
        <v>#VALUE!</v>
      </c>
      <c r="IM17" t="e">
        <f>AND('4to. Bach_B'!D27,"AAAAAG3WPvY=")</f>
        <v>#VALUE!</v>
      </c>
      <c r="IN17" t="e">
        <f>AND('4to. Bach_B'!E27,"AAAAAG3WPvc=")</f>
        <v>#VALUE!</v>
      </c>
      <c r="IO17" t="e">
        <f>AND('4to. Bach_B'!F27,"AAAAAG3WPvg=")</f>
        <v>#VALUE!</v>
      </c>
      <c r="IP17" t="e">
        <f>AND('4to. Bach_B'!G27,"AAAAAG3WPvk=")</f>
        <v>#VALUE!</v>
      </c>
      <c r="IQ17" t="e">
        <f>AND('4to. Bach_B'!H27,"AAAAAG3WPvo=")</f>
        <v>#VALUE!</v>
      </c>
      <c r="IR17" t="e">
        <f>AND('4to. Bach_B'!I27,"AAAAAG3WPvs=")</f>
        <v>#VALUE!</v>
      </c>
      <c r="IS17" t="e">
        <f>AND('4to. Bach_B'!J27,"AAAAAG3WPvw=")</f>
        <v>#VALUE!</v>
      </c>
      <c r="IT17" t="e">
        <f>AND('4to. Bach_B'!K27,"AAAAAG3WPv0=")</f>
        <v>#VALUE!</v>
      </c>
      <c r="IU17" t="e">
        <f>AND('4to. Bach_B'!L27,"AAAAAG3WPv4=")</f>
        <v>#VALUE!</v>
      </c>
      <c r="IV17" t="e">
        <f>AND('4to. Bach_B'!M27,"AAAAAG3WPv8=")</f>
        <v>#VALUE!</v>
      </c>
    </row>
    <row r="18" spans="1:256">
      <c r="A18" t="e">
        <f>AND('4to. Bach_B'!N27,"AAAAABJ/vQA=")</f>
        <v>#VALUE!</v>
      </c>
      <c r="B18" t="e">
        <f>AND('4to. Bach_B'!O27,"AAAAABJ/vQE=")</f>
        <v>#VALUE!</v>
      </c>
      <c r="C18" t="e">
        <f>AND('4to. Bach_B'!P27,"AAAAABJ/vQI=")</f>
        <v>#VALUE!</v>
      </c>
      <c r="D18" t="e">
        <f>AND('4to. Bach_B'!Q27,"AAAAABJ/vQM=")</f>
        <v>#VALUE!</v>
      </c>
      <c r="E18" t="e">
        <f>AND('4to. Bach_B'!R27,"AAAAABJ/vQQ=")</f>
        <v>#VALUE!</v>
      </c>
      <c r="F18" t="e">
        <f>AND('4to. Bach_B'!S27,"AAAAABJ/vQU=")</f>
        <v>#VALUE!</v>
      </c>
      <c r="G18" t="e">
        <f>AND('4to. Bach_B'!T27,"AAAAABJ/vQY=")</f>
        <v>#VALUE!</v>
      </c>
      <c r="H18" t="e">
        <f>AND('4to. Bach_B'!#REF!,"AAAAABJ/vQc=")</f>
        <v>#REF!</v>
      </c>
      <c r="I18" t="e">
        <f>AND('4to. Bach_B'!#REF!,"AAAAABJ/vQg=")</f>
        <v>#REF!</v>
      </c>
      <c r="J18" t="e">
        <f>AND('4to. Bach_B'!#REF!,"AAAAABJ/vQk=")</f>
        <v>#REF!</v>
      </c>
      <c r="K18" t="e">
        <f>AND('4to. Bach_B'!#REF!,"AAAAABJ/vQo=")</f>
        <v>#REF!</v>
      </c>
      <c r="L18" t="e">
        <f>AND('4to. Bach_B'!#REF!,"AAAAABJ/vQs=")</f>
        <v>#REF!</v>
      </c>
      <c r="M18">
        <f>IF('4to. Bach_B'!28:28,"AAAAABJ/vQw=",0)</f>
        <v>0</v>
      </c>
      <c r="N18" t="e">
        <f>AND('4to. Bach_B'!A28,"AAAAABJ/vQ0=")</f>
        <v>#VALUE!</v>
      </c>
      <c r="O18" t="e">
        <f>AND('4to. Bach_B'!B28,"AAAAABJ/vQ4=")</f>
        <v>#VALUE!</v>
      </c>
      <c r="P18" t="e">
        <f>AND('4to. Bach_B'!C28,"AAAAABJ/vQ8=")</f>
        <v>#VALUE!</v>
      </c>
      <c r="Q18" t="e">
        <f>AND('4to. Bach_B'!D28,"AAAAABJ/vRA=")</f>
        <v>#VALUE!</v>
      </c>
      <c r="R18" t="e">
        <f>AND('4to. Bach_B'!E28,"AAAAABJ/vRE=")</f>
        <v>#VALUE!</v>
      </c>
      <c r="S18" t="e">
        <f>AND('4to. Bach_B'!F28,"AAAAABJ/vRI=")</f>
        <v>#VALUE!</v>
      </c>
      <c r="T18" t="e">
        <f>AND('4to. Bach_B'!G28,"AAAAABJ/vRM=")</f>
        <v>#VALUE!</v>
      </c>
      <c r="U18" t="e">
        <f>AND('4to. Bach_B'!H28,"AAAAABJ/vRQ=")</f>
        <v>#VALUE!</v>
      </c>
      <c r="V18" t="e">
        <f>AND('4to. Bach_B'!I28,"AAAAABJ/vRU=")</f>
        <v>#VALUE!</v>
      </c>
      <c r="W18" t="e">
        <f>AND('4to. Bach_B'!J28,"AAAAABJ/vRY=")</f>
        <v>#VALUE!</v>
      </c>
      <c r="X18" t="e">
        <f>AND('4to. Bach_B'!K28,"AAAAABJ/vRc=")</f>
        <v>#VALUE!</v>
      </c>
      <c r="Y18" t="e">
        <f>AND('4to. Bach_B'!L28,"AAAAABJ/vRg=")</f>
        <v>#VALUE!</v>
      </c>
      <c r="Z18" t="e">
        <f>AND('4to. Bach_B'!M28,"AAAAABJ/vRk=")</f>
        <v>#VALUE!</v>
      </c>
      <c r="AA18" t="e">
        <f>AND('4to. Bach_B'!N28,"AAAAABJ/vRo=")</f>
        <v>#VALUE!</v>
      </c>
      <c r="AB18" t="e">
        <f>AND('4to. Bach_B'!O28,"AAAAABJ/vRs=")</f>
        <v>#VALUE!</v>
      </c>
      <c r="AC18" t="e">
        <f>AND('4to. Bach_B'!P28,"AAAAABJ/vRw=")</f>
        <v>#VALUE!</v>
      </c>
      <c r="AD18" t="e">
        <f>AND('4to. Bach_B'!Q28,"AAAAABJ/vR0=")</f>
        <v>#VALUE!</v>
      </c>
      <c r="AE18" t="e">
        <f>AND('4to. Bach_B'!R28,"AAAAABJ/vR4=")</f>
        <v>#VALUE!</v>
      </c>
      <c r="AF18" t="e">
        <f>AND('4to. Bach_B'!S28,"AAAAABJ/vR8=")</f>
        <v>#VALUE!</v>
      </c>
      <c r="AG18" t="e">
        <f>AND('4to. Bach_B'!T28,"AAAAABJ/vSA=")</f>
        <v>#VALUE!</v>
      </c>
      <c r="AH18" t="e">
        <f>AND('4to. Bach_B'!#REF!,"AAAAABJ/vSE=")</f>
        <v>#REF!</v>
      </c>
      <c r="AI18" t="e">
        <f>AND('4to. Bach_B'!#REF!,"AAAAABJ/vSI=")</f>
        <v>#REF!</v>
      </c>
      <c r="AJ18" t="e">
        <f>AND('4to. Bach_B'!#REF!,"AAAAABJ/vSM=")</f>
        <v>#REF!</v>
      </c>
      <c r="AK18" t="e">
        <f>AND('4to. Bach_B'!#REF!,"AAAAABJ/vSQ=")</f>
        <v>#REF!</v>
      </c>
      <c r="AL18" t="e">
        <f>AND('4to. Bach_B'!#REF!,"AAAAABJ/vSU=")</f>
        <v>#REF!</v>
      </c>
      <c r="AM18">
        <f>IF('4to. Bach_B'!29:29,"AAAAABJ/vSY=",0)</f>
        <v>0</v>
      </c>
      <c r="AN18" t="e">
        <f>AND('4to. Bach_B'!A29,"AAAAABJ/vSc=")</f>
        <v>#VALUE!</v>
      </c>
      <c r="AO18" t="e">
        <f>AND('4to. Bach_B'!B29,"AAAAABJ/vSg=")</f>
        <v>#VALUE!</v>
      </c>
      <c r="AP18" t="e">
        <f>AND('4to. Bach_B'!C29,"AAAAABJ/vSk=")</f>
        <v>#VALUE!</v>
      </c>
      <c r="AQ18" t="e">
        <f>AND('4to. Bach_B'!D29,"AAAAABJ/vSo=")</f>
        <v>#VALUE!</v>
      </c>
      <c r="AR18" t="e">
        <f>AND('4to. Bach_B'!E29,"AAAAABJ/vSs=")</f>
        <v>#VALUE!</v>
      </c>
      <c r="AS18" t="e">
        <f>AND('4to. Bach_B'!F29,"AAAAABJ/vSw=")</f>
        <v>#VALUE!</v>
      </c>
      <c r="AT18" t="e">
        <f>AND('4to. Bach_B'!G29,"AAAAABJ/vS0=")</f>
        <v>#VALUE!</v>
      </c>
      <c r="AU18" t="e">
        <f>AND('4to. Bach_B'!H29,"AAAAABJ/vS4=")</f>
        <v>#VALUE!</v>
      </c>
      <c r="AV18" t="e">
        <f>AND('4to. Bach_B'!I29,"AAAAABJ/vS8=")</f>
        <v>#VALUE!</v>
      </c>
      <c r="AW18" t="e">
        <f>AND('4to. Bach_B'!J29,"AAAAABJ/vTA=")</f>
        <v>#VALUE!</v>
      </c>
      <c r="AX18" t="e">
        <f>AND('4to. Bach_B'!K29,"AAAAABJ/vTE=")</f>
        <v>#VALUE!</v>
      </c>
      <c r="AY18" t="e">
        <f>AND('4to. Bach_B'!L29,"AAAAABJ/vTI=")</f>
        <v>#VALUE!</v>
      </c>
      <c r="AZ18" t="e">
        <f>AND('4to. Bach_B'!M29,"AAAAABJ/vTM=")</f>
        <v>#VALUE!</v>
      </c>
      <c r="BA18" t="e">
        <f>AND('4to. Bach_B'!N29,"AAAAABJ/vTQ=")</f>
        <v>#VALUE!</v>
      </c>
      <c r="BB18" t="e">
        <f>AND('4to. Bach_B'!O29,"AAAAABJ/vTU=")</f>
        <v>#VALUE!</v>
      </c>
      <c r="BC18" t="e">
        <f>AND('4to. Bach_B'!P29,"AAAAABJ/vTY=")</f>
        <v>#VALUE!</v>
      </c>
      <c r="BD18" t="e">
        <f>AND('4to. Bach_B'!Q29,"AAAAABJ/vTc=")</f>
        <v>#VALUE!</v>
      </c>
      <c r="BE18" t="e">
        <f>AND('4to. Bach_B'!R29,"AAAAABJ/vTg=")</f>
        <v>#VALUE!</v>
      </c>
      <c r="BF18" t="e">
        <f>AND('4to. Bach_B'!S29,"AAAAABJ/vTk=")</f>
        <v>#VALUE!</v>
      </c>
      <c r="BG18" t="e">
        <f>AND('4to. Bach_B'!T29,"AAAAABJ/vTo=")</f>
        <v>#VALUE!</v>
      </c>
      <c r="BH18" t="e">
        <f>AND('4to. Bach_B'!#REF!,"AAAAABJ/vTs=")</f>
        <v>#REF!</v>
      </c>
      <c r="BI18" t="e">
        <f>AND('4to. Bach_B'!#REF!,"AAAAABJ/vTw=")</f>
        <v>#REF!</v>
      </c>
      <c r="BJ18" t="e">
        <f>AND('4to. Bach_B'!#REF!,"AAAAABJ/vT0=")</f>
        <v>#REF!</v>
      </c>
      <c r="BK18" t="e">
        <f>AND('4to. Bach_B'!#REF!,"AAAAABJ/vT4=")</f>
        <v>#REF!</v>
      </c>
      <c r="BL18" t="e">
        <f>AND('4to. Bach_B'!#REF!,"AAAAABJ/vT8=")</f>
        <v>#REF!</v>
      </c>
      <c r="BM18">
        <f>IF('4to. Bach_B'!30:30,"AAAAABJ/vUA=",0)</f>
        <v>0</v>
      </c>
      <c r="BN18" t="e">
        <f>AND('4to. Bach_B'!A30,"AAAAABJ/vUE=")</f>
        <v>#VALUE!</v>
      </c>
      <c r="BO18" t="e">
        <f>AND('4to. Bach_B'!B30,"AAAAABJ/vUI=")</f>
        <v>#VALUE!</v>
      </c>
      <c r="BP18" t="e">
        <f>AND('4to. Bach_B'!C30,"AAAAABJ/vUM=")</f>
        <v>#VALUE!</v>
      </c>
      <c r="BQ18" t="e">
        <f>AND('4to. Bach_B'!D30,"AAAAABJ/vUQ=")</f>
        <v>#VALUE!</v>
      </c>
      <c r="BR18" t="e">
        <f>AND('4to. Bach_B'!E30,"AAAAABJ/vUU=")</f>
        <v>#VALUE!</v>
      </c>
      <c r="BS18" t="e">
        <f>AND('4to. Bach_B'!F30,"AAAAABJ/vUY=")</f>
        <v>#VALUE!</v>
      </c>
      <c r="BT18" t="e">
        <f>AND('4to. Bach_B'!G30,"AAAAABJ/vUc=")</f>
        <v>#VALUE!</v>
      </c>
      <c r="BU18" t="e">
        <f>AND('4to. Bach_B'!H30,"AAAAABJ/vUg=")</f>
        <v>#VALUE!</v>
      </c>
      <c r="BV18" t="e">
        <f>AND('4to. Bach_B'!I30,"AAAAABJ/vUk=")</f>
        <v>#VALUE!</v>
      </c>
      <c r="BW18" t="e">
        <f>AND('4to. Bach_B'!J30,"AAAAABJ/vUo=")</f>
        <v>#VALUE!</v>
      </c>
      <c r="BX18" t="e">
        <f>AND('4to. Bach_B'!K30,"AAAAABJ/vUs=")</f>
        <v>#VALUE!</v>
      </c>
      <c r="BY18" t="e">
        <f>AND('4to. Bach_B'!L30,"AAAAABJ/vUw=")</f>
        <v>#VALUE!</v>
      </c>
      <c r="BZ18" t="e">
        <f>AND('4to. Bach_B'!M30,"AAAAABJ/vU0=")</f>
        <v>#VALUE!</v>
      </c>
      <c r="CA18" t="e">
        <f>AND('4to. Bach_B'!N30,"AAAAABJ/vU4=")</f>
        <v>#VALUE!</v>
      </c>
      <c r="CB18" t="e">
        <f>AND('4to. Bach_B'!O30,"AAAAABJ/vU8=")</f>
        <v>#VALUE!</v>
      </c>
      <c r="CC18" t="e">
        <f>AND('4to. Bach_B'!P30,"AAAAABJ/vVA=")</f>
        <v>#VALUE!</v>
      </c>
      <c r="CD18" t="e">
        <f>AND('4to. Bach_B'!Q30,"AAAAABJ/vVE=")</f>
        <v>#VALUE!</v>
      </c>
      <c r="CE18" t="e">
        <f>AND('4to. Bach_B'!R30,"AAAAABJ/vVI=")</f>
        <v>#VALUE!</v>
      </c>
      <c r="CF18" t="e">
        <f>AND('4to. Bach_B'!S30,"AAAAABJ/vVM=")</f>
        <v>#VALUE!</v>
      </c>
      <c r="CG18" t="e">
        <f>AND('4to. Bach_B'!T30,"AAAAABJ/vVQ=")</f>
        <v>#VALUE!</v>
      </c>
      <c r="CH18" t="e">
        <f>AND('4to. Bach_B'!#REF!,"AAAAABJ/vVU=")</f>
        <v>#REF!</v>
      </c>
      <c r="CI18" t="e">
        <f>AND('4to. Bach_B'!#REF!,"AAAAABJ/vVY=")</f>
        <v>#REF!</v>
      </c>
      <c r="CJ18" t="e">
        <f>AND('4to. Bach_B'!#REF!,"AAAAABJ/vVc=")</f>
        <v>#REF!</v>
      </c>
      <c r="CK18" t="e">
        <f>AND('4to. Bach_B'!#REF!,"AAAAABJ/vVg=")</f>
        <v>#REF!</v>
      </c>
      <c r="CL18" t="e">
        <f>AND('4to. Bach_B'!#REF!,"AAAAABJ/vVk=")</f>
        <v>#REF!</v>
      </c>
      <c r="CM18">
        <f>IF('4to. Bach_B'!31:31,"AAAAABJ/vVo=",0)</f>
        <v>0</v>
      </c>
      <c r="CN18" t="e">
        <f>AND('4to. Bach_B'!A31,"AAAAABJ/vVs=")</f>
        <v>#VALUE!</v>
      </c>
      <c r="CO18" t="e">
        <f>AND('4to. Bach_B'!B31,"AAAAABJ/vVw=")</f>
        <v>#VALUE!</v>
      </c>
      <c r="CP18" t="e">
        <f>AND('4to. Bach_B'!C31,"AAAAABJ/vV0=")</f>
        <v>#VALUE!</v>
      </c>
      <c r="CQ18" t="e">
        <f>AND('4to. Bach_B'!D31,"AAAAABJ/vV4=")</f>
        <v>#VALUE!</v>
      </c>
      <c r="CR18" t="e">
        <f>AND('4to. Bach_B'!E31,"AAAAABJ/vV8=")</f>
        <v>#VALUE!</v>
      </c>
      <c r="CS18" t="e">
        <f>AND('4to. Bach_B'!F31,"AAAAABJ/vWA=")</f>
        <v>#VALUE!</v>
      </c>
      <c r="CT18" t="e">
        <f>AND('4to. Bach_B'!G31,"AAAAABJ/vWE=")</f>
        <v>#VALUE!</v>
      </c>
      <c r="CU18" t="e">
        <f>AND('4to. Bach_B'!H31,"AAAAABJ/vWI=")</f>
        <v>#VALUE!</v>
      </c>
      <c r="CV18" t="e">
        <f>AND('4to. Bach_B'!I31,"AAAAABJ/vWM=")</f>
        <v>#VALUE!</v>
      </c>
      <c r="CW18" t="e">
        <f>AND('4to. Bach_B'!J31,"AAAAABJ/vWQ=")</f>
        <v>#VALUE!</v>
      </c>
      <c r="CX18" t="e">
        <f>AND('4to. Bach_B'!K31,"AAAAABJ/vWU=")</f>
        <v>#VALUE!</v>
      </c>
      <c r="CY18" t="e">
        <f>AND('4to. Bach_B'!L31,"AAAAABJ/vWY=")</f>
        <v>#VALUE!</v>
      </c>
      <c r="CZ18" t="e">
        <f>AND('4to. Bach_B'!M31,"AAAAABJ/vWc=")</f>
        <v>#VALUE!</v>
      </c>
      <c r="DA18" t="e">
        <f>AND('4to. Bach_B'!N31,"AAAAABJ/vWg=")</f>
        <v>#VALUE!</v>
      </c>
      <c r="DB18" t="e">
        <f>AND('4to. Bach_B'!O31,"AAAAABJ/vWk=")</f>
        <v>#VALUE!</v>
      </c>
      <c r="DC18" t="e">
        <f>AND('4to. Bach_B'!P31,"AAAAABJ/vWo=")</f>
        <v>#VALUE!</v>
      </c>
      <c r="DD18" t="e">
        <f>AND('4to. Bach_B'!Q31,"AAAAABJ/vWs=")</f>
        <v>#VALUE!</v>
      </c>
      <c r="DE18" t="e">
        <f>AND('4to. Bach_B'!R31,"AAAAABJ/vWw=")</f>
        <v>#VALUE!</v>
      </c>
      <c r="DF18" t="e">
        <f>AND('4to. Bach_B'!S31,"AAAAABJ/vW0=")</f>
        <v>#VALUE!</v>
      </c>
      <c r="DG18" t="e">
        <f>AND('4to. Bach_B'!T31,"AAAAABJ/vW4=")</f>
        <v>#VALUE!</v>
      </c>
      <c r="DH18" t="e">
        <f>AND('4to. Bach_B'!#REF!,"AAAAABJ/vW8=")</f>
        <v>#REF!</v>
      </c>
      <c r="DI18" t="e">
        <f>AND('4to. Bach_B'!#REF!,"AAAAABJ/vXA=")</f>
        <v>#REF!</v>
      </c>
      <c r="DJ18" t="e">
        <f>AND('4to. Bach_B'!#REF!,"AAAAABJ/vXE=")</f>
        <v>#REF!</v>
      </c>
      <c r="DK18" t="e">
        <f>AND('4to. Bach_B'!#REF!,"AAAAABJ/vXI=")</f>
        <v>#REF!</v>
      </c>
      <c r="DL18" t="e">
        <f>AND('4to. Bach_B'!#REF!,"AAAAABJ/vXM=")</f>
        <v>#REF!</v>
      </c>
      <c r="DM18">
        <f>IF('4to. Bach_B'!32:32,"AAAAABJ/vXQ=",0)</f>
        <v>0</v>
      </c>
      <c r="DN18" t="e">
        <f>AND('4to. Bach_B'!A32,"AAAAABJ/vXU=")</f>
        <v>#VALUE!</v>
      </c>
      <c r="DO18" t="e">
        <f>AND('4to. Bach_B'!B32,"AAAAABJ/vXY=")</f>
        <v>#VALUE!</v>
      </c>
      <c r="DP18" t="e">
        <f>AND('4to. Bach_B'!C32,"AAAAABJ/vXc=")</f>
        <v>#VALUE!</v>
      </c>
      <c r="DQ18" t="e">
        <f>AND('4to. Bach_B'!D32,"AAAAABJ/vXg=")</f>
        <v>#VALUE!</v>
      </c>
      <c r="DR18" t="e">
        <f>AND('4to. Bach_B'!E32,"AAAAABJ/vXk=")</f>
        <v>#VALUE!</v>
      </c>
      <c r="DS18" t="e">
        <f>AND('4to. Bach_B'!F32,"AAAAABJ/vXo=")</f>
        <v>#VALUE!</v>
      </c>
      <c r="DT18" t="e">
        <f>AND('4to. Bach_B'!G32,"AAAAABJ/vXs=")</f>
        <v>#VALUE!</v>
      </c>
      <c r="DU18" t="e">
        <f>AND('4to. Bach_B'!H32,"AAAAABJ/vXw=")</f>
        <v>#VALUE!</v>
      </c>
      <c r="DV18" t="e">
        <f>AND('4to. Bach_B'!I32,"AAAAABJ/vX0=")</f>
        <v>#VALUE!</v>
      </c>
      <c r="DW18" t="e">
        <f>AND('4to. Bach_B'!J32,"AAAAABJ/vX4=")</f>
        <v>#VALUE!</v>
      </c>
      <c r="DX18" t="e">
        <f>AND('4to. Bach_B'!K32,"AAAAABJ/vX8=")</f>
        <v>#VALUE!</v>
      </c>
      <c r="DY18" t="e">
        <f>AND('4to. Bach_B'!L32,"AAAAABJ/vYA=")</f>
        <v>#VALUE!</v>
      </c>
      <c r="DZ18" t="e">
        <f>AND('4to. Bach_B'!M32,"AAAAABJ/vYE=")</f>
        <v>#VALUE!</v>
      </c>
      <c r="EA18" t="e">
        <f>AND('4to. Bach_B'!N32,"AAAAABJ/vYI=")</f>
        <v>#VALUE!</v>
      </c>
      <c r="EB18" t="e">
        <f>AND('4to. Bach_B'!O32,"AAAAABJ/vYM=")</f>
        <v>#VALUE!</v>
      </c>
      <c r="EC18" t="e">
        <f>AND('4to. Bach_B'!P32,"AAAAABJ/vYQ=")</f>
        <v>#VALUE!</v>
      </c>
      <c r="ED18" t="e">
        <f>AND('4to. Bach_B'!Q32,"AAAAABJ/vYU=")</f>
        <v>#VALUE!</v>
      </c>
      <c r="EE18" t="e">
        <f>AND('4to. Bach_B'!R32,"AAAAABJ/vYY=")</f>
        <v>#VALUE!</v>
      </c>
      <c r="EF18" t="e">
        <f>AND('4to. Bach_B'!S32,"AAAAABJ/vYc=")</f>
        <v>#VALUE!</v>
      </c>
      <c r="EG18" t="e">
        <f>AND('4to. Bach_B'!T32,"AAAAABJ/vYg=")</f>
        <v>#VALUE!</v>
      </c>
      <c r="EH18" t="e">
        <f>AND('4to. Bach_B'!#REF!,"AAAAABJ/vYk=")</f>
        <v>#REF!</v>
      </c>
      <c r="EI18" t="e">
        <f>AND('4to. Bach_B'!#REF!,"AAAAABJ/vYo=")</f>
        <v>#REF!</v>
      </c>
      <c r="EJ18" t="e">
        <f>AND('4to. Bach_B'!#REF!,"AAAAABJ/vYs=")</f>
        <v>#REF!</v>
      </c>
      <c r="EK18" t="e">
        <f>AND('4to. Bach_B'!#REF!,"AAAAABJ/vYw=")</f>
        <v>#REF!</v>
      </c>
      <c r="EL18" t="e">
        <f>AND('4to. Bach_B'!#REF!,"AAAAABJ/vY0=")</f>
        <v>#REF!</v>
      </c>
      <c r="EM18">
        <f>IF('4to. Bach_B'!33:33,"AAAAABJ/vY4=",0)</f>
        <v>0</v>
      </c>
      <c r="EN18" t="e">
        <f>AND('4to. Bach_B'!A33,"AAAAABJ/vY8=")</f>
        <v>#VALUE!</v>
      </c>
      <c r="EO18" t="e">
        <f>AND('4to. Bach_B'!B33,"AAAAABJ/vZA=")</f>
        <v>#VALUE!</v>
      </c>
      <c r="EP18" t="e">
        <f>AND('4to. Bach_B'!C33,"AAAAABJ/vZE=")</f>
        <v>#VALUE!</v>
      </c>
      <c r="EQ18" t="e">
        <f>AND('4to. Bach_B'!D33,"AAAAABJ/vZI=")</f>
        <v>#VALUE!</v>
      </c>
      <c r="ER18" t="e">
        <f>AND('4to. Bach_B'!E33,"AAAAABJ/vZM=")</f>
        <v>#VALUE!</v>
      </c>
      <c r="ES18" t="e">
        <f>AND('4to. Bach_B'!F33,"AAAAABJ/vZQ=")</f>
        <v>#VALUE!</v>
      </c>
      <c r="ET18" t="e">
        <f>AND('4to. Bach_B'!G33,"AAAAABJ/vZU=")</f>
        <v>#VALUE!</v>
      </c>
      <c r="EU18" t="e">
        <f>AND('4to. Bach_B'!H33,"AAAAABJ/vZY=")</f>
        <v>#VALUE!</v>
      </c>
      <c r="EV18" t="e">
        <f>AND('4to. Bach_B'!I33,"AAAAABJ/vZc=")</f>
        <v>#VALUE!</v>
      </c>
      <c r="EW18" t="e">
        <f>AND('4to. Bach_B'!J33,"AAAAABJ/vZg=")</f>
        <v>#VALUE!</v>
      </c>
      <c r="EX18" t="e">
        <f>AND('4to. Bach_B'!K33,"AAAAABJ/vZk=")</f>
        <v>#VALUE!</v>
      </c>
      <c r="EY18" t="e">
        <f>AND('4to. Bach_B'!L33,"AAAAABJ/vZo=")</f>
        <v>#VALUE!</v>
      </c>
      <c r="EZ18" t="e">
        <f>AND('4to. Bach_B'!M33,"AAAAABJ/vZs=")</f>
        <v>#VALUE!</v>
      </c>
      <c r="FA18" t="e">
        <f>AND('4to. Bach_B'!N33,"AAAAABJ/vZw=")</f>
        <v>#VALUE!</v>
      </c>
      <c r="FB18" t="e">
        <f>AND('4to. Bach_B'!O33,"AAAAABJ/vZ0=")</f>
        <v>#VALUE!</v>
      </c>
      <c r="FC18" t="e">
        <f>AND('4to. Bach_B'!P33,"AAAAABJ/vZ4=")</f>
        <v>#VALUE!</v>
      </c>
      <c r="FD18" t="e">
        <f>AND('4to. Bach_B'!Q33,"AAAAABJ/vZ8=")</f>
        <v>#VALUE!</v>
      </c>
      <c r="FE18" t="e">
        <f>AND('4to. Bach_B'!R33,"AAAAABJ/vaA=")</f>
        <v>#VALUE!</v>
      </c>
      <c r="FF18" t="e">
        <f>AND('4to. Bach_B'!S33,"AAAAABJ/vaE=")</f>
        <v>#VALUE!</v>
      </c>
      <c r="FG18" t="e">
        <f>AND('4to. Bach_B'!T33,"AAAAABJ/vaI=")</f>
        <v>#VALUE!</v>
      </c>
      <c r="FH18" t="e">
        <f>AND('4to. Bach_B'!#REF!,"AAAAABJ/vaM=")</f>
        <v>#REF!</v>
      </c>
      <c r="FI18" t="e">
        <f>AND('4to. Bach_B'!#REF!,"AAAAABJ/vaQ=")</f>
        <v>#REF!</v>
      </c>
      <c r="FJ18" t="e">
        <f>AND('4to. Bach_B'!#REF!,"AAAAABJ/vaU=")</f>
        <v>#REF!</v>
      </c>
      <c r="FK18" t="e">
        <f>AND('4to. Bach_B'!#REF!,"AAAAABJ/vaY=")</f>
        <v>#REF!</v>
      </c>
      <c r="FL18" t="e">
        <f>AND('4to. Bach_B'!#REF!,"AAAAABJ/vac=")</f>
        <v>#REF!</v>
      </c>
      <c r="FM18">
        <f>IF('4to. Bach_B'!34:34,"AAAAABJ/vag=",0)</f>
        <v>0</v>
      </c>
      <c r="FN18" t="e">
        <f>AND('4to. Bach_B'!A34,"AAAAABJ/vak=")</f>
        <v>#VALUE!</v>
      </c>
      <c r="FO18" t="e">
        <f>AND('4to. Bach_B'!B34,"AAAAABJ/vao=")</f>
        <v>#VALUE!</v>
      </c>
      <c r="FP18" t="e">
        <f>AND('4to. Bach_B'!C34,"AAAAABJ/vas=")</f>
        <v>#VALUE!</v>
      </c>
      <c r="FQ18" t="e">
        <f>AND('4to. Bach_B'!D34,"AAAAABJ/vaw=")</f>
        <v>#VALUE!</v>
      </c>
      <c r="FR18" t="e">
        <f>AND('4to. Bach_B'!E34,"AAAAABJ/va0=")</f>
        <v>#VALUE!</v>
      </c>
      <c r="FS18" t="e">
        <f>AND('4to. Bach_B'!F34,"AAAAABJ/va4=")</f>
        <v>#VALUE!</v>
      </c>
      <c r="FT18" t="e">
        <f>AND('4to. Bach_B'!G34,"AAAAABJ/va8=")</f>
        <v>#VALUE!</v>
      </c>
      <c r="FU18" t="e">
        <f>AND('4to. Bach_B'!H34,"AAAAABJ/vbA=")</f>
        <v>#VALUE!</v>
      </c>
      <c r="FV18" t="e">
        <f>AND('4to. Bach_B'!I34,"AAAAABJ/vbE=")</f>
        <v>#VALUE!</v>
      </c>
      <c r="FW18" t="e">
        <f>AND('4to. Bach_B'!J34,"AAAAABJ/vbI=")</f>
        <v>#VALUE!</v>
      </c>
      <c r="FX18" t="e">
        <f>AND('4to. Bach_B'!K34,"AAAAABJ/vbM=")</f>
        <v>#VALUE!</v>
      </c>
      <c r="FY18" t="e">
        <f>AND('4to. Bach_B'!L34,"AAAAABJ/vbQ=")</f>
        <v>#VALUE!</v>
      </c>
      <c r="FZ18" t="e">
        <f>AND('4to. Bach_B'!M34,"AAAAABJ/vbU=")</f>
        <v>#VALUE!</v>
      </c>
      <c r="GA18" t="e">
        <f>AND('4to. Bach_B'!N34,"AAAAABJ/vbY=")</f>
        <v>#VALUE!</v>
      </c>
      <c r="GB18" t="e">
        <f>AND('4to. Bach_B'!O34,"AAAAABJ/vbc=")</f>
        <v>#VALUE!</v>
      </c>
      <c r="GC18" t="e">
        <f>AND('4to. Bach_B'!P34,"AAAAABJ/vbg=")</f>
        <v>#VALUE!</v>
      </c>
      <c r="GD18" t="e">
        <f>AND('4to. Bach_B'!Q34,"AAAAABJ/vbk=")</f>
        <v>#VALUE!</v>
      </c>
      <c r="GE18" t="e">
        <f>AND('4to. Bach_B'!R34,"AAAAABJ/vbo=")</f>
        <v>#VALUE!</v>
      </c>
      <c r="GF18" t="e">
        <f>AND('4to. Bach_B'!S34,"AAAAABJ/vbs=")</f>
        <v>#VALUE!</v>
      </c>
      <c r="GG18" t="e">
        <f>AND('4to. Bach_B'!T34,"AAAAABJ/vbw=")</f>
        <v>#VALUE!</v>
      </c>
      <c r="GH18" t="e">
        <f>AND('4to. Bach_B'!#REF!,"AAAAABJ/vb0=")</f>
        <v>#REF!</v>
      </c>
      <c r="GI18" t="e">
        <f>AND('4to. Bach_B'!#REF!,"AAAAABJ/vb4=")</f>
        <v>#REF!</v>
      </c>
      <c r="GJ18" t="e">
        <f>AND('4to. Bach_B'!#REF!,"AAAAABJ/vb8=")</f>
        <v>#REF!</v>
      </c>
      <c r="GK18" t="e">
        <f>AND('4to. Bach_B'!#REF!,"AAAAABJ/vcA=")</f>
        <v>#REF!</v>
      </c>
      <c r="GL18" t="e">
        <f>AND('4to. Bach_B'!#REF!,"AAAAABJ/vcE=")</f>
        <v>#REF!</v>
      </c>
      <c r="GM18">
        <f>IF('4to. Bach_B'!35:35,"AAAAABJ/vcI=",0)</f>
        <v>0</v>
      </c>
      <c r="GN18" t="e">
        <f>AND('4to. Bach_B'!A35,"AAAAABJ/vcM=")</f>
        <v>#VALUE!</v>
      </c>
      <c r="GO18" t="e">
        <f>AND('4to. Bach_B'!B35,"AAAAABJ/vcQ=")</f>
        <v>#VALUE!</v>
      </c>
      <c r="GP18" t="e">
        <f>AND('4to. Bach_B'!C35,"AAAAABJ/vcU=")</f>
        <v>#VALUE!</v>
      </c>
      <c r="GQ18" t="e">
        <f>AND('4to. Bach_B'!D35,"AAAAABJ/vcY=")</f>
        <v>#VALUE!</v>
      </c>
      <c r="GR18" t="e">
        <f>AND('4to. Bach_B'!E35,"AAAAABJ/vcc=")</f>
        <v>#VALUE!</v>
      </c>
      <c r="GS18" t="e">
        <f>AND('4to. Bach_B'!F35,"AAAAABJ/vcg=")</f>
        <v>#VALUE!</v>
      </c>
      <c r="GT18" t="e">
        <f>AND('4to. Bach_B'!G35,"AAAAABJ/vck=")</f>
        <v>#VALUE!</v>
      </c>
      <c r="GU18" t="e">
        <f>AND('4to. Bach_B'!H35,"AAAAABJ/vco=")</f>
        <v>#VALUE!</v>
      </c>
      <c r="GV18" t="e">
        <f>AND('4to. Bach_B'!I35,"AAAAABJ/vcs=")</f>
        <v>#VALUE!</v>
      </c>
      <c r="GW18" t="e">
        <f>AND('4to. Bach_B'!J35,"AAAAABJ/vcw=")</f>
        <v>#VALUE!</v>
      </c>
      <c r="GX18" t="e">
        <f>AND('4to. Bach_B'!K35,"AAAAABJ/vc0=")</f>
        <v>#VALUE!</v>
      </c>
      <c r="GY18" t="e">
        <f>AND('4to. Bach_B'!L35,"AAAAABJ/vc4=")</f>
        <v>#VALUE!</v>
      </c>
      <c r="GZ18" t="e">
        <f>AND('4to. Bach_B'!M35,"AAAAABJ/vc8=")</f>
        <v>#VALUE!</v>
      </c>
      <c r="HA18" t="e">
        <f>AND('4to. Bach_B'!N35,"AAAAABJ/vdA=")</f>
        <v>#VALUE!</v>
      </c>
      <c r="HB18" t="e">
        <f>AND('4to. Bach_B'!O35,"AAAAABJ/vdE=")</f>
        <v>#VALUE!</v>
      </c>
      <c r="HC18" t="e">
        <f>AND('4to. Bach_B'!P35,"AAAAABJ/vdI=")</f>
        <v>#VALUE!</v>
      </c>
      <c r="HD18" t="e">
        <f>AND('4to. Bach_B'!Q35,"AAAAABJ/vdM=")</f>
        <v>#VALUE!</v>
      </c>
      <c r="HE18" t="e">
        <f>AND('4to. Bach_B'!R35,"AAAAABJ/vdQ=")</f>
        <v>#VALUE!</v>
      </c>
      <c r="HF18" t="e">
        <f>AND('4to. Bach_B'!S35,"AAAAABJ/vdU=")</f>
        <v>#VALUE!</v>
      </c>
      <c r="HG18" t="e">
        <f>AND('4to. Bach_B'!T35,"AAAAABJ/vdY=")</f>
        <v>#VALUE!</v>
      </c>
      <c r="HH18" t="e">
        <f>AND('4to. Bach_B'!#REF!,"AAAAABJ/vdc=")</f>
        <v>#REF!</v>
      </c>
      <c r="HI18" t="e">
        <f>AND('4to. Bach_B'!#REF!,"AAAAABJ/vdg=")</f>
        <v>#REF!</v>
      </c>
      <c r="HJ18" t="e">
        <f>AND('4to. Bach_B'!#REF!,"AAAAABJ/vdk=")</f>
        <v>#REF!</v>
      </c>
      <c r="HK18" t="e">
        <f>AND('4to. Bach_B'!#REF!,"AAAAABJ/vdo=")</f>
        <v>#REF!</v>
      </c>
      <c r="HL18" t="e">
        <f>AND('4to. Bach_B'!#REF!,"AAAAABJ/vds=")</f>
        <v>#REF!</v>
      </c>
      <c r="HM18">
        <f>IF('4to. Bach_B'!36:36,"AAAAABJ/vdw=",0)</f>
        <v>0</v>
      </c>
      <c r="HN18" t="e">
        <f>AND('4to. Bach_B'!A36,"AAAAABJ/vd0=")</f>
        <v>#VALUE!</v>
      </c>
      <c r="HO18" t="e">
        <f>AND('4to. Bach_B'!B36,"AAAAABJ/vd4=")</f>
        <v>#VALUE!</v>
      </c>
      <c r="HP18" t="e">
        <f>AND('4to. Bach_B'!C36,"AAAAABJ/vd8=")</f>
        <v>#VALUE!</v>
      </c>
      <c r="HQ18" t="e">
        <f>AND('4to. Bach_B'!D36,"AAAAABJ/veA=")</f>
        <v>#VALUE!</v>
      </c>
      <c r="HR18" t="e">
        <f>AND('4to. Bach_B'!E36,"AAAAABJ/veE=")</f>
        <v>#VALUE!</v>
      </c>
      <c r="HS18" t="e">
        <f>AND('4to. Bach_B'!F36,"AAAAABJ/veI=")</f>
        <v>#VALUE!</v>
      </c>
      <c r="HT18" t="e">
        <f>AND('4to. Bach_B'!G36,"AAAAABJ/veM=")</f>
        <v>#VALUE!</v>
      </c>
      <c r="HU18" t="e">
        <f>AND('4to. Bach_B'!H36,"AAAAABJ/veQ=")</f>
        <v>#VALUE!</v>
      </c>
      <c r="HV18" t="e">
        <f>AND('4to. Bach_B'!I36,"AAAAABJ/veU=")</f>
        <v>#VALUE!</v>
      </c>
      <c r="HW18" t="e">
        <f>AND('4to. Bach_B'!J36,"AAAAABJ/veY=")</f>
        <v>#VALUE!</v>
      </c>
      <c r="HX18" t="e">
        <f>AND('4to. Bach_B'!K36,"AAAAABJ/vec=")</f>
        <v>#VALUE!</v>
      </c>
      <c r="HY18" t="e">
        <f>AND('4to. Bach_B'!L36,"AAAAABJ/veg=")</f>
        <v>#VALUE!</v>
      </c>
      <c r="HZ18" t="e">
        <f>AND('4to. Bach_B'!M36,"AAAAABJ/vek=")</f>
        <v>#VALUE!</v>
      </c>
      <c r="IA18" t="e">
        <f>AND('4to. Bach_B'!N36,"AAAAABJ/veo=")</f>
        <v>#VALUE!</v>
      </c>
      <c r="IB18" t="e">
        <f>AND('4to. Bach_B'!O36,"AAAAABJ/ves=")</f>
        <v>#VALUE!</v>
      </c>
      <c r="IC18" t="e">
        <f>AND('4to. Bach_B'!P36,"AAAAABJ/vew=")</f>
        <v>#VALUE!</v>
      </c>
      <c r="ID18" t="e">
        <f>AND('4to. Bach_B'!Q36,"AAAAABJ/ve0=")</f>
        <v>#VALUE!</v>
      </c>
      <c r="IE18" t="e">
        <f>AND('4to. Bach_B'!R36,"AAAAABJ/ve4=")</f>
        <v>#VALUE!</v>
      </c>
      <c r="IF18" t="e">
        <f>AND('4to. Bach_B'!S36,"AAAAABJ/ve8=")</f>
        <v>#VALUE!</v>
      </c>
      <c r="IG18" t="e">
        <f>AND('4to. Bach_B'!T36,"AAAAABJ/vfA=")</f>
        <v>#VALUE!</v>
      </c>
      <c r="IH18" t="e">
        <f>AND('4to. Bach_B'!#REF!,"AAAAABJ/vfE=")</f>
        <v>#REF!</v>
      </c>
      <c r="II18" t="e">
        <f>AND('4to. Bach_B'!#REF!,"AAAAABJ/vfI=")</f>
        <v>#REF!</v>
      </c>
      <c r="IJ18" t="e">
        <f>AND('4to. Bach_B'!#REF!,"AAAAABJ/vfM=")</f>
        <v>#REF!</v>
      </c>
      <c r="IK18" t="e">
        <f>AND('4to. Bach_B'!#REF!,"AAAAABJ/vfQ=")</f>
        <v>#REF!</v>
      </c>
      <c r="IL18" t="e">
        <f>AND('4to. Bach_B'!#REF!,"AAAAABJ/vfU=")</f>
        <v>#REF!</v>
      </c>
      <c r="IM18">
        <f>IF('4to. Bach_B'!37:37,"AAAAABJ/vfY=",0)</f>
        <v>0</v>
      </c>
      <c r="IN18" t="e">
        <f>AND('4to. Bach_B'!A37,"AAAAABJ/vfc=")</f>
        <v>#VALUE!</v>
      </c>
      <c r="IO18" t="e">
        <f>AND('4to. Bach_B'!B37,"AAAAABJ/vfg=")</f>
        <v>#VALUE!</v>
      </c>
      <c r="IP18" t="e">
        <f>AND('4to. Bach_B'!C37,"AAAAABJ/vfk=")</f>
        <v>#VALUE!</v>
      </c>
      <c r="IQ18" t="e">
        <f>AND('4to. Bach_B'!D37,"AAAAABJ/vfo=")</f>
        <v>#VALUE!</v>
      </c>
      <c r="IR18" t="e">
        <f>AND('4to. Bach_B'!E37,"AAAAABJ/vfs=")</f>
        <v>#VALUE!</v>
      </c>
      <c r="IS18" t="e">
        <f>AND('4to. Bach_B'!F37,"AAAAABJ/vfw=")</f>
        <v>#VALUE!</v>
      </c>
      <c r="IT18" t="e">
        <f>AND('4to. Bach_B'!G37,"AAAAABJ/vf0=")</f>
        <v>#VALUE!</v>
      </c>
      <c r="IU18" t="e">
        <f>AND('4to. Bach_B'!H37,"AAAAABJ/vf4=")</f>
        <v>#VALUE!</v>
      </c>
      <c r="IV18" t="e">
        <f>AND('4to. Bach_B'!I37,"AAAAABJ/vf8=")</f>
        <v>#VALUE!</v>
      </c>
    </row>
    <row r="19" spans="1:256">
      <c r="A19" t="e">
        <f>AND('4to. Bach_B'!J37,"AAAAAF+a9gA=")</f>
        <v>#VALUE!</v>
      </c>
      <c r="B19" t="e">
        <f>AND('4to. Bach_B'!K37,"AAAAAF+a9gE=")</f>
        <v>#VALUE!</v>
      </c>
      <c r="C19" t="e">
        <f>AND('4to. Bach_B'!L37,"AAAAAF+a9gI=")</f>
        <v>#VALUE!</v>
      </c>
      <c r="D19" t="e">
        <f>AND('4to. Bach_B'!M37,"AAAAAF+a9gM=")</f>
        <v>#VALUE!</v>
      </c>
      <c r="E19" t="e">
        <f>AND('4to. Bach_B'!N37,"AAAAAF+a9gQ=")</f>
        <v>#VALUE!</v>
      </c>
      <c r="F19" t="e">
        <f>AND('4to. Bach_B'!O37,"AAAAAF+a9gU=")</f>
        <v>#VALUE!</v>
      </c>
      <c r="G19" t="e">
        <f>AND('4to. Bach_B'!P37,"AAAAAF+a9gY=")</f>
        <v>#VALUE!</v>
      </c>
      <c r="H19" t="e">
        <f>AND('4to. Bach_B'!Q37,"AAAAAF+a9gc=")</f>
        <v>#VALUE!</v>
      </c>
      <c r="I19" t="e">
        <f>AND('4to. Bach_B'!R37,"AAAAAF+a9gg=")</f>
        <v>#VALUE!</v>
      </c>
      <c r="J19" t="e">
        <f>AND('4to. Bach_B'!S37,"AAAAAF+a9gk=")</f>
        <v>#VALUE!</v>
      </c>
      <c r="K19" t="e">
        <f>AND('4to. Bach_B'!T37,"AAAAAF+a9go=")</f>
        <v>#VALUE!</v>
      </c>
      <c r="L19" t="e">
        <f>AND('4to. Bach_B'!#REF!,"AAAAAF+a9gs=")</f>
        <v>#REF!</v>
      </c>
      <c r="M19" t="e">
        <f>AND('4to. Bach_B'!#REF!,"AAAAAF+a9gw=")</f>
        <v>#REF!</v>
      </c>
      <c r="N19" t="e">
        <f>AND('4to. Bach_B'!#REF!,"AAAAAF+a9g0=")</f>
        <v>#REF!</v>
      </c>
      <c r="O19" t="e">
        <f>AND('4to. Bach_B'!#REF!,"AAAAAF+a9g4=")</f>
        <v>#REF!</v>
      </c>
      <c r="P19" t="e">
        <f>AND('4to. Bach_B'!#REF!,"AAAAAF+a9g8=")</f>
        <v>#REF!</v>
      </c>
      <c r="Q19">
        <f>IF('4to. Bach_B'!38:38,"AAAAAF+a9hA=",0)</f>
        <v>0</v>
      </c>
      <c r="R19" t="e">
        <f>AND('4to. Bach_B'!A38,"AAAAAF+a9hE=")</f>
        <v>#VALUE!</v>
      </c>
      <c r="S19" t="e">
        <f>AND('4to. Bach_B'!B38,"AAAAAF+a9hI=")</f>
        <v>#VALUE!</v>
      </c>
      <c r="T19" t="e">
        <f>AND('4to. Bach_B'!C38,"AAAAAF+a9hM=")</f>
        <v>#VALUE!</v>
      </c>
      <c r="U19" t="e">
        <f>AND('4to. Bach_B'!D38,"AAAAAF+a9hQ=")</f>
        <v>#VALUE!</v>
      </c>
      <c r="V19" t="e">
        <f>AND('4to. Bach_B'!E38,"AAAAAF+a9hU=")</f>
        <v>#VALUE!</v>
      </c>
      <c r="W19" t="e">
        <f>AND('4to. Bach_B'!F38,"AAAAAF+a9hY=")</f>
        <v>#VALUE!</v>
      </c>
      <c r="X19" t="e">
        <f>AND('4to. Bach_B'!G38,"AAAAAF+a9hc=")</f>
        <v>#VALUE!</v>
      </c>
      <c r="Y19" t="e">
        <f>AND('4to. Bach_B'!H38,"AAAAAF+a9hg=")</f>
        <v>#VALUE!</v>
      </c>
      <c r="Z19" t="e">
        <f>AND('4to. Bach_B'!I38,"AAAAAF+a9hk=")</f>
        <v>#VALUE!</v>
      </c>
      <c r="AA19" t="e">
        <f>AND('4to. Bach_B'!J38,"AAAAAF+a9ho=")</f>
        <v>#VALUE!</v>
      </c>
      <c r="AB19" t="e">
        <f>AND('4to. Bach_B'!K38,"AAAAAF+a9hs=")</f>
        <v>#VALUE!</v>
      </c>
      <c r="AC19" t="e">
        <f>AND('4to. Bach_B'!L38,"AAAAAF+a9hw=")</f>
        <v>#VALUE!</v>
      </c>
      <c r="AD19" t="e">
        <f>AND('4to. Bach_B'!M38,"AAAAAF+a9h0=")</f>
        <v>#VALUE!</v>
      </c>
      <c r="AE19" t="e">
        <f>AND('4to. Bach_B'!N38,"AAAAAF+a9h4=")</f>
        <v>#VALUE!</v>
      </c>
      <c r="AF19" t="e">
        <f>AND('4to. Bach_B'!O38,"AAAAAF+a9h8=")</f>
        <v>#VALUE!</v>
      </c>
      <c r="AG19" t="e">
        <f>AND('4to. Bach_B'!P38,"AAAAAF+a9iA=")</f>
        <v>#VALUE!</v>
      </c>
      <c r="AH19" t="e">
        <f>AND('4to. Bach_B'!Q38,"AAAAAF+a9iE=")</f>
        <v>#VALUE!</v>
      </c>
      <c r="AI19" t="e">
        <f>AND('4to. Bach_B'!R38,"AAAAAF+a9iI=")</f>
        <v>#VALUE!</v>
      </c>
      <c r="AJ19" t="e">
        <f>AND('4to. Bach_B'!S38,"AAAAAF+a9iM=")</f>
        <v>#VALUE!</v>
      </c>
      <c r="AK19" t="e">
        <f>AND('4to. Bach_B'!T38,"AAAAAF+a9iQ=")</f>
        <v>#VALUE!</v>
      </c>
      <c r="AL19" t="e">
        <f>AND('4to. Bach_B'!#REF!,"AAAAAF+a9iU=")</f>
        <v>#REF!</v>
      </c>
      <c r="AM19" t="e">
        <f>AND('4to. Bach_B'!#REF!,"AAAAAF+a9iY=")</f>
        <v>#REF!</v>
      </c>
      <c r="AN19" t="e">
        <f>AND('4to. Bach_B'!#REF!,"AAAAAF+a9ic=")</f>
        <v>#REF!</v>
      </c>
      <c r="AO19" t="e">
        <f>AND('4to. Bach_B'!#REF!,"AAAAAF+a9ig=")</f>
        <v>#REF!</v>
      </c>
      <c r="AP19" t="e">
        <f>AND('4to. Bach_B'!#REF!,"AAAAAF+a9ik=")</f>
        <v>#REF!</v>
      </c>
      <c r="AQ19">
        <f>IF('4to. Bach_B'!39:39,"AAAAAF+a9io=",0)</f>
        <v>0</v>
      </c>
      <c r="AR19" t="e">
        <f>AND('4to. Bach_B'!A39,"AAAAAF+a9is=")</f>
        <v>#VALUE!</v>
      </c>
      <c r="AS19" t="e">
        <f>AND('4to. Bach_B'!B39,"AAAAAF+a9iw=")</f>
        <v>#VALUE!</v>
      </c>
      <c r="AT19" t="e">
        <f>AND('4to. Bach_B'!C39,"AAAAAF+a9i0=")</f>
        <v>#VALUE!</v>
      </c>
      <c r="AU19" t="e">
        <f>AND('4to. Bach_B'!D39,"AAAAAF+a9i4=")</f>
        <v>#VALUE!</v>
      </c>
      <c r="AV19" t="e">
        <f>AND('4to. Bach_B'!E39,"AAAAAF+a9i8=")</f>
        <v>#VALUE!</v>
      </c>
      <c r="AW19" t="e">
        <f>AND('4to. Bach_B'!F39,"AAAAAF+a9jA=")</f>
        <v>#VALUE!</v>
      </c>
      <c r="AX19" t="e">
        <f>AND('4to. Bach_B'!G39,"AAAAAF+a9jE=")</f>
        <v>#VALUE!</v>
      </c>
      <c r="AY19" t="e">
        <f>AND('4to. Bach_B'!H39,"AAAAAF+a9jI=")</f>
        <v>#VALUE!</v>
      </c>
      <c r="AZ19" t="e">
        <f>AND('4to. Bach_B'!I39,"AAAAAF+a9jM=")</f>
        <v>#VALUE!</v>
      </c>
      <c r="BA19" t="e">
        <f>AND('4to. Bach_B'!J39,"AAAAAF+a9jQ=")</f>
        <v>#VALUE!</v>
      </c>
      <c r="BB19" t="e">
        <f>AND('4to. Bach_B'!K39,"AAAAAF+a9jU=")</f>
        <v>#VALUE!</v>
      </c>
      <c r="BC19" t="e">
        <f>AND('4to. Bach_B'!L39,"AAAAAF+a9jY=")</f>
        <v>#VALUE!</v>
      </c>
      <c r="BD19" t="e">
        <f>AND('4to. Bach_B'!M39,"AAAAAF+a9jc=")</f>
        <v>#VALUE!</v>
      </c>
      <c r="BE19" t="e">
        <f>AND('4to. Bach_B'!N39,"AAAAAF+a9jg=")</f>
        <v>#VALUE!</v>
      </c>
      <c r="BF19" t="e">
        <f>AND('4to. Bach_B'!O39,"AAAAAF+a9jk=")</f>
        <v>#VALUE!</v>
      </c>
      <c r="BG19" t="e">
        <f>AND('4to. Bach_B'!P39,"AAAAAF+a9jo=")</f>
        <v>#VALUE!</v>
      </c>
      <c r="BH19" t="e">
        <f>AND('4to. Bach_B'!Q39,"AAAAAF+a9js=")</f>
        <v>#VALUE!</v>
      </c>
      <c r="BI19" t="e">
        <f>AND('4to. Bach_B'!R39,"AAAAAF+a9jw=")</f>
        <v>#VALUE!</v>
      </c>
      <c r="BJ19" t="e">
        <f>AND('4to. Bach_B'!S39,"AAAAAF+a9j0=")</f>
        <v>#VALUE!</v>
      </c>
      <c r="BK19" t="e">
        <f>AND('4to. Bach_B'!T39,"AAAAAF+a9j4=")</f>
        <v>#VALUE!</v>
      </c>
      <c r="BL19" t="e">
        <f>AND('4to. Bach_B'!#REF!,"AAAAAF+a9j8=")</f>
        <v>#REF!</v>
      </c>
      <c r="BM19" t="e">
        <f>AND('4to. Bach_B'!#REF!,"AAAAAF+a9kA=")</f>
        <v>#REF!</v>
      </c>
      <c r="BN19" t="e">
        <f>AND('4to. Bach_B'!#REF!,"AAAAAF+a9kE=")</f>
        <v>#REF!</v>
      </c>
      <c r="BO19" t="e">
        <f>AND('4to. Bach_B'!#REF!,"AAAAAF+a9kI=")</f>
        <v>#REF!</v>
      </c>
      <c r="BP19" t="e">
        <f>AND('4to. Bach_B'!#REF!,"AAAAAF+a9kM=")</f>
        <v>#REF!</v>
      </c>
      <c r="BQ19">
        <f>IF('4to. Bach_B'!40:40,"AAAAAF+a9kQ=",0)</f>
        <v>0</v>
      </c>
      <c r="BR19" t="e">
        <f>AND('4to. Bach_B'!A40,"AAAAAF+a9kU=")</f>
        <v>#VALUE!</v>
      </c>
      <c r="BS19" t="e">
        <f>AND('4to. Bach_B'!B40,"AAAAAF+a9kY=")</f>
        <v>#VALUE!</v>
      </c>
      <c r="BT19" t="e">
        <f>AND('4to. Bach_B'!C40,"AAAAAF+a9kc=")</f>
        <v>#VALUE!</v>
      </c>
      <c r="BU19" t="e">
        <f>AND('4to. Bach_B'!D40,"AAAAAF+a9kg=")</f>
        <v>#VALUE!</v>
      </c>
      <c r="BV19" t="e">
        <f>AND('4to. Bach_B'!E40,"AAAAAF+a9kk=")</f>
        <v>#VALUE!</v>
      </c>
      <c r="BW19" t="e">
        <f>AND('4to. Bach_B'!F40,"AAAAAF+a9ko=")</f>
        <v>#VALUE!</v>
      </c>
      <c r="BX19" t="e">
        <f>AND('4to. Bach_B'!G40,"AAAAAF+a9ks=")</f>
        <v>#VALUE!</v>
      </c>
      <c r="BY19" t="e">
        <f>AND('4to. Bach_B'!H40,"AAAAAF+a9kw=")</f>
        <v>#VALUE!</v>
      </c>
      <c r="BZ19" t="e">
        <f>AND('4to. Bach_B'!I40,"AAAAAF+a9k0=")</f>
        <v>#VALUE!</v>
      </c>
      <c r="CA19" t="e">
        <f>AND('4to. Bach_B'!J40,"AAAAAF+a9k4=")</f>
        <v>#VALUE!</v>
      </c>
      <c r="CB19" t="e">
        <f>AND('4to. Bach_B'!K40,"AAAAAF+a9k8=")</f>
        <v>#VALUE!</v>
      </c>
      <c r="CC19" t="e">
        <f>AND('4to. Bach_B'!L40,"AAAAAF+a9lA=")</f>
        <v>#VALUE!</v>
      </c>
      <c r="CD19" t="e">
        <f>AND('4to. Bach_B'!M40,"AAAAAF+a9lE=")</f>
        <v>#VALUE!</v>
      </c>
      <c r="CE19" t="e">
        <f>AND('4to. Bach_B'!N40,"AAAAAF+a9lI=")</f>
        <v>#VALUE!</v>
      </c>
      <c r="CF19" t="e">
        <f>AND('4to. Bach_B'!O40,"AAAAAF+a9lM=")</f>
        <v>#VALUE!</v>
      </c>
      <c r="CG19" t="e">
        <f>AND('4to. Bach_B'!P40,"AAAAAF+a9lQ=")</f>
        <v>#VALUE!</v>
      </c>
      <c r="CH19" t="e">
        <f>AND('4to. Bach_B'!Q40,"AAAAAF+a9lU=")</f>
        <v>#VALUE!</v>
      </c>
      <c r="CI19" t="e">
        <f>AND('4to. Bach_B'!R40,"AAAAAF+a9lY=")</f>
        <v>#VALUE!</v>
      </c>
      <c r="CJ19" t="e">
        <f>AND('4to. Bach_B'!S40,"AAAAAF+a9lc=")</f>
        <v>#VALUE!</v>
      </c>
      <c r="CK19" t="e">
        <f>AND('4to. Bach_B'!T40,"AAAAAF+a9lg=")</f>
        <v>#VALUE!</v>
      </c>
      <c r="CL19" t="e">
        <f>AND('4to. Bach_B'!#REF!,"AAAAAF+a9lk=")</f>
        <v>#REF!</v>
      </c>
      <c r="CM19" t="e">
        <f>AND('4to. Bach_B'!#REF!,"AAAAAF+a9lo=")</f>
        <v>#REF!</v>
      </c>
      <c r="CN19" t="e">
        <f>AND('4to. Bach_B'!#REF!,"AAAAAF+a9ls=")</f>
        <v>#REF!</v>
      </c>
      <c r="CO19" t="e">
        <f>AND('4to. Bach_B'!#REF!,"AAAAAF+a9lw=")</f>
        <v>#REF!</v>
      </c>
      <c r="CP19" t="e">
        <f>AND('4to. Bach_B'!#REF!,"AAAAAF+a9l0=")</f>
        <v>#REF!</v>
      </c>
      <c r="CQ19">
        <f>IF('4to. Bach_B'!41:41,"AAAAAF+a9l4=",0)</f>
        <v>0</v>
      </c>
      <c r="CR19" t="e">
        <f>AND('4to. Bach_B'!A41,"AAAAAF+a9l8=")</f>
        <v>#VALUE!</v>
      </c>
      <c r="CS19" t="e">
        <f>AND('4to. Bach_B'!B41,"AAAAAF+a9mA=")</f>
        <v>#VALUE!</v>
      </c>
      <c r="CT19" t="e">
        <f>AND('4to. Bach_B'!C41,"AAAAAF+a9mE=")</f>
        <v>#VALUE!</v>
      </c>
      <c r="CU19" t="e">
        <f>AND('4to. Bach_B'!D41,"AAAAAF+a9mI=")</f>
        <v>#VALUE!</v>
      </c>
      <c r="CV19" t="e">
        <f>AND('4to. Bach_B'!E41,"AAAAAF+a9mM=")</f>
        <v>#VALUE!</v>
      </c>
      <c r="CW19" t="e">
        <f>AND('4to. Bach_B'!F41,"AAAAAF+a9mQ=")</f>
        <v>#VALUE!</v>
      </c>
      <c r="CX19" t="e">
        <f>AND('4to. Bach_B'!G41,"AAAAAF+a9mU=")</f>
        <v>#VALUE!</v>
      </c>
      <c r="CY19" t="e">
        <f>AND('4to. Bach_B'!H41,"AAAAAF+a9mY=")</f>
        <v>#VALUE!</v>
      </c>
      <c r="CZ19" t="e">
        <f>AND('4to. Bach_B'!I41,"AAAAAF+a9mc=")</f>
        <v>#VALUE!</v>
      </c>
      <c r="DA19" t="e">
        <f>AND('4to. Bach_B'!J41,"AAAAAF+a9mg=")</f>
        <v>#VALUE!</v>
      </c>
      <c r="DB19" t="e">
        <f>AND('4to. Bach_B'!K41,"AAAAAF+a9mk=")</f>
        <v>#VALUE!</v>
      </c>
      <c r="DC19" t="e">
        <f>AND('4to. Bach_B'!L41,"AAAAAF+a9mo=")</f>
        <v>#VALUE!</v>
      </c>
      <c r="DD19" t="e">
        <f>AND('4to. Bach_B'!M41,"AAAAAF+a9ms=")</f>
        <v>#VALUE!</v>
      </c>
      <c r="DE19" t="e">
        <f>AND('4to. Bach_B'!N41,"AAAAAF+a9mw=")</f>
        <v>#VALUE!</v>
      </c>
      <c r="DF19" t="e">
        <f>AND('4to. Bach_B'!O41,"AAAAAF+a9m0=")</f>
        <v>#VALUE!</v>
      </c>
      <c r="DG19" t="e">
        <f>AND('4to. Bach_B'!P41,"AAAAAF+a9m4=")</f>
        <v>#VALUE!</v>
      </c>
      <c r="DH19" t="e">
        <f>AND('4to. Bach_B'!Q41,"AAAAAF+a9m8=")</f>
        <v>#VALUE!</v>
      </c>
      <c r="DI19" t="e">
        <f>AND('4to. Bach_B'!R41,"AAAAAF+a9nA=")</f>
        <v>#VALUE!</v>
      </c>
      <c r="DJ19" t="e">
        <f>AND('4to. Bach_B'!S41,"AAAAAF+a9nE=")</f>
        <v>#VALUE!</v>
      </c>
      <c r="DK19" t="e">
        <f>AND('4to. Bach_B'!T41,"AAAAAF+a9nI=")</f>
        <v>#VALUE!</v>
      </c>
      <c r="DL19" t="e">
        <f>AND('4to. Bach_B'!#REF!,"AAAAAF+a9nM=")</f>
        <v>#REF!</v>
      </c>
      <c r="DM19" t="e">
        <f>AND('4to. Bach_B'!#REF!,"AAAAAF+a9nQ=")</f>
        <v>#REF!</v>
      </c>
      <c r="DN19" t="e">
        <f>AND('4to. Bach_B'!#REF!,"AAAAAF+a9nU=")</f>
        <v>#REF!</v>
      </c>
      <c r="DO19" t="e">
        <f>AND('4to. Bach_B'!#REF!,"AAAAAF+a9nY=")</f>
        <v>#REF!</v>
      </c>
      <c r="DP19" t="e">
        <f>AND('4to. Bach_B'!#REF!,"AAAAAF+a9nc=")</f>
        <v>#REF!</v>
      </c>
      <c r="DQ19">
        <f>IF('4to. Bach_B'!42:42,"AAAAAF+a9ng=",0)</f>
        <v>0</v>
      </c>
      <c r="DR19" t="e">
        <f>AND('4to. Bach_B'!A42,"AAAAAF+a9nk=")</f>
        <v>#VALUE!</v>
      </c>
      <c r="DS19" t="e">
        <f>AND('4to. Bach_B'!B42,"AAAAAF+a9no=")</f>
        <v>#VALUE!</v>
      </c>
      <c r="DT19" t="e">
        <f>AND('4to. Bach_B'!C42,"AAAAAF+a9ns=")</f>
        <v>#VALUE!</v>
      </c>
      <c r="DU19" t="e">
        <f>AND('4to. Bach_B'!D42,"AAAAAF+a9nw=")</f>
        <v>#VALUE!</v>
      </c>
      <c r="DV19" t="e">
        <f>AND('4to. Bach_B'!E42,"AAAAAF+a9n0=")</f>
        <v>#VALUE!</v>
      </c>
      <c r="DW19" t="e">
        <f>AND('4to. Bach_B'!F42,"AAAAAF+a9n4=")</f>
        <v>#VALUE!</v>
      </c>
      <c r="DX19" t="e">
        <f>AND('4to. Bach_B'!G42,"AAAAAF+a9n8=")</f>
        <v>#VALUE!</v>
      </c>
      <c r="DY19" t="e">
        <f>AND('4to. Bach_B'!H42,"AAAAAF+a9oA=")</f>
        <v>#VALUE!</v>
      </c>
      <c r="DZ19" t="e">
        <f>AND('4to. Bach_B'!I42,"AAAAAF+a9oE=")</f>
        <v>#VALUE!</v>
      </c>
      <c r="EA19" t="e">
        <f>AND('4to. Bach_B'!J42,"AAAAAF+a9oI=")</f>
        <v>#VALUE!</v>
      </c>
      <c r="EB19" t="e">
        <f>AND('4to. Bach_B'!K42,"AAAAAF+a9oM=")</f>
        <v>#VALUE!</v>
      </c>
      <c r="EC19" t="e">
        <f>AND('4to. Bach_B'!L42,"AAAAAF+a9oQ=")</f>
        <v>#VALUE!</v>
      </c>
      <c r="ED19" t="e">
        <f>AND('4to. Bach_B'!M42,"AAAAAF+a9oU=")</f>
        <v>#VALUE!</v>
      </c>
      <c r="EE19" t="e">
        <f>AND('4to. Bach_B'!N42,"AAAAAF+a9oY=")</f>
        <v>#VALUE!</v>
      </c>
      <c r="EF19" t="e">
        <f>AND('4to. Bach_B'!O42,"AAAAAF+a9oc=")</f>
        <v>#VALUE!</v>
      </c>
      <c r="EG19" t="e">
        <f>AND('4to. Bach_B'!P42,"AAAAAF+a9og=")</f>
        <v>#VALUE!</v>
      </c>
      <c r="EH19" t="e">
        <f>AND('4to. Bach_B'!Q42,"AAAAAF+a9ok=")</f>
        <v>#VALUE!</v>
      </c>
      <c r="EI19" t="e">
        <f>AND('4to. Bach_B'!R42,"AAAAAF+a9oo=")</f>
        <v>#VALUE!</v>
      </c>
      <c r="EJ19" t="e">
        <f>AND('4to. Bach_B'!S42,"AAAAAF+a9os=")</f>
        <v>#VALUE!</v>
      </c>
      <c r="EK19" t="e">
        <f>AND('4to. Bach_B'!T42,"AAAAAF+a9ow=")</f>
        <v>#VALUE!</v>
      </c>
      <c r="EL19" t="e">
        <f>AND('4to. Bach_B'!#REF!,"AAAAAF+a9o0=")</f>
        <v>#REF!</v>
      </c>
      <c r="EM19" t="e">
        <f>AND('4to. Bach_B'!#REF!,"AAAAAF+a9o4=")</f>
        <v>#REF!</v>
      </c>
      <c r="EN19" t="e">
        <f>AND('4to. Bach_B'!#REF!,"AAAAAF+a9o8=")</f>
        <v>#REF!</v>
      </c>
      <c r="EO19" t="e">
        <f>AND('4to. Bach_B'!#REF!,"AAAAAF+a9pA=")</f>
        <v>#REF!</v>
      </c>
      <c r="EP19" t="e">
        <f>AND('4to. Bach_B'!#REF!,"AAAAAF+a9pE=")</f>
        <v>#REF!</v>
      </c>
      <c r="EQ19">
        <f>IF('4to. Bach_B'!43:43,"AAAAAF+a9pI=",0)</f>
        <v>0</v>
      </c>
      <c r="ER19" t="e">
        <f>AND('4to. Bach_B'!A43,"AAAAAF+a9pM=")</f>
        <v>#VALUE!</v>
      </c>
      <c r="ES19" t="e">
        <f>AND('4to. Bach_B'!B43,"AAAAAF+a9pQ=")</f>
        <v>#VALUE!</v>
      </c>
      <c r="ET19" t="e">
        <f>AND('4to. Bach_B'!C43,"AAAAAF+a9pU=")</f>
        <v>#VALUE!</v>
      </c>
      <c r="EU19" t="e">
        <f>AND('4to. Bach_B'!D43,"AAAAAF+a9pY=")</f>
        <v>#VALUE!</v>
      </c>
      <c r="EV19" t="e">
        <f>AND('4to. Bach_B'!E43,"AAAAAF+a9pc=")</f>
        <v>#VALUE!</v>
      </c>
      <c r="EW19" t="e">
        <f>AND('4to. Bach_B'!F43,"AAAAAF+a9pg=")</f>
        <v>#VALUE!</v>
      </c>
      <c r="EX19" t="e">
        <f>AND('4to. Bach_B'!G43,"AAAAAF+a9pk=")</f>
        <v>#VALUE!</v>
      </c>
      <c r="EY19" t="e">
        <f>AND('4to. Bach_B'!H43,"AAAAAF+a9po=")</f>
        <v>#VALUE!</v>
      </c>
      <c r="EZ19" t="e">
        <f>AND('4to. Bach_B'!I43,"AAAAAF+a9ps=")</f>
        <v>#VALUE!</v>
      </c>
      <c r="FA19" t="e">
        <f>AND('4to. Bach_B'!J43,"AAAAAF+a9pw=")</f>
        <v>#VALUE!</v>
      </c>
      <c r="FB19" t="e">
        <f>AND('4to. Bach_B'!K43,"AAAAAF+a9p0=")</f>
        <v>#VALUE!</v>
      </c>
      <c r="FC19" t="e">
        <f>AND('4to. Bach_B'!L43,"AAAAAF+a9p4=")</f>
        <v>#VALUE!</v>
      </c>
      <c r="FD19" t="e">
        <f>AND('4to. Bach_B'!M43,"AAAAAF+a9p8=")</f>
        <v>#VALUE!</v>
      </c>
      <c r="FE19" t="e">
        <f>AND('4to. Bach_B'!N43,"AAAAAF+a9qA=")</f>
        <v>#VALUE!</v>
      </c>
      <c r="FF19" t="e">
        <f>AND('4to. Bach_B'!O43,"AAAAAF+a9qE=")</f>
        <v>#VALUE!</v>
      </c>
      <c r="FG19" t="e">
        <f>AND('4to. Bach_B'!P43,"AAAAAF+a9qI=")</f>
        <v>#VALUE!</v>
      </c>
      <c r="FH19" t="e">
        <f>AND('4to. Bach_B'!Q43,"AAAAAF+a9qM=")</f>
        <v>#VALUE!</v>
      </c>
      <c r="FI19" t="e">
        <f>AND('4to. Bach_B'!R43,"AAAAAF+a9qQ=")</f>
        <v>#VALUE!</v>
      </c>
      <c r="FJ19" t="e">
        <f>AND('4to. Bach_B'!S43,"AAAAAF+a9qU=")</f>
        <v>#VALUE!</v>
      </c>
      <c r="FK19" t="e">
        <f>AND('4to. Bach_B'!T43,"AAAAAF+a9qY=")</f>
        <v>#VALUE!</v>
      </c>
      <c r="FL19" t="e">
        <f>AND('4to. Bach_B'!#REF!,"AAAAAF+a9qc=")</f>
        <v>#REF!</v>
      </c>
      <c r="FM19" t="e">
        <f>AND('4to. Bach_B'!#REF!,"AAAAAF+a9qg=")</f>
        <v>#REF!</v>
      </c>
      <c r="FN19" t="e">
        <f>AND('4to. Bach_B'!#REF!,"AAAAAF+a9qk=")</f>
        <v>#REF!</v>
      </c>
      <c r="FO19" t="e">
        <f>AND('4to. Bach_B'!#REF!,"AAAAAF+a9qo=")</f>
        <v>#REF!</v>
      </c>
      <c r="FP19" t="e">
        <f>AND('4to. Bach_B'!#REF!,"AAAAAF+a9qs=")</f>
        <v>#REF!</v>
      </c>
      <c r="FQ19">
        <f>IF('4to. Bach_B'!44:44,"AAAAAF+a9qw=",0)</f>
        <v>0</v>
      </c>
      <c r="FR19" t="e">
        <f>AND('4to. Bach_B'!A44,"AAAAAF+a9q0=")</f>
        <v>#VALUE!</v>
      </c>
      <c r="FS19" t="e">
        <f>AND('4to. Bach_B'!B44,"AAAAAF+a9q4=")</f>
        <v>#VALUE!</v>
      </c>
      <c r="FT19" t="e">
        <f>AND('4to. Bach_B'!C44,"AAAAAF+a9q8=")</f>
        <v>#VALUE!</v>
      </c>
      <c r="FU19" t="e">
        <f>AND('4to. Bach_B'!D44,"AAAAAF+a9rA=")</f>
        <v>#VALUE!</v>
      </c>
      <c r="FV19" t="e">
        <f>AND('4to. Bach_B'!E44,"AAAAAF+a9rE=")</f>
        <v>#VALUE!</v>
      </c>
      <c r="FW19" t="e">
        <f>AND('4to. Bach_B'!F44,"AAAAAF+a9rI=")</f>
        <v>#VALUE!</v>
      </c>
      <c r="FX19" t="e">
        <f>AND('4to. Bach_B'!G44,"AAAAAF+a9rM=")</f>
        <v>#VALUE!</v>
      </c>
      <c r="FY19" t="e">
        <f>AND('4to. Bach_B'!H44,"AAAAAF+a9rQ=")</f>
        <v>#VALUE!</v>
      </c>
      <c r="FZ19" t="e">
        <f>AND('4to. Bach_B'!I44,"AAAAAF+a9rU=")</f>
        <v>#VALUE!</v>
      </c>
      <c r="GA19" t="e">
        <f>AND('4to. Bach_B'!J44,"AAAAAF+a9rY=")</f>
        <v>#VALUE!</v>
      </c>
      <c r="GB19" t="e">
        <f>AND('4to. Bach_B'!K44,"AAAAAF+a9rc=")</f>
        <v>#VALUE!</v>
      </c>
      <c r="GC19" t="e">
        <f>AND('4to. Bach_B'!L44,"AAAAAF+a9rg=")</f>
        <v>#VALUE!</v>
      </c>
      <c r="GD19" t="e">
        <f>AND('4to. Bach_B'!M44,"AAAAAF+a9rk=")</f>
        <v>#VALUE!</v>
      </c>
      <c r="GE19" t="e">
        <f>AND('4to. Bach_B'!N44,"AAAAAF+a9ro=")</f>
        <v>#VALUE!</v>
      </c>
      <c r="GF19" t="e">
        <f>AND('4to. Bach_B'!O44,"AAAAAF+a9rs=")</f>
        <v>#VALUE!</v>
      </c>
      <c r="GG19" t="e">
        <f>AND('4to. Bach_B'!P44,"AAAAAF+a9rw=")</f>
        <v>#VALUE!</v>
      </c>
      <c r="GH19" t="e">
        <f>AND('4to. Bach_B'!Q44,"AAAAAF+a9r0=")</f>
        <v>#VALUE!</v>
      </c>
      <c r="GI19" t="e">
        <f>AND('4to. Bach_B'!R44,"AAAAAF+a9r4=")</f>
        <v>#VALUE!</v>
      </c>
      <c r="GJ19" t="e">
        <f>AND('4to. Bach_B'!S44,"AAAAAF+a9r8=")</f>
        <v>#VALUE!</v>
      </c>
      <c r="GK19" t="e">
        <f>AND('4to. Bach_B'!T44,"AAAAAF+a9sA=")</f>
        <v>#VALUE!</v>
      </c>
      <c r="GL19" t="e">
        <f>AND('4to. Bach_B'!#REF!,"AAAAAF+a9sE=")</f>
        <v>#REF!</v>
      </c>
      <c r="GM19" t="e">
        <f>AND('4to. Bach_B'!#REF!,"AAAAAF+a9sI=")</f>
        <v>#REF!</v>
      </c>
      <c r="GN19" t="e">
        <f>AND('4to. Bach_B'!#REF!,"AAAAAF+a9sM=")</f>
        <v>#REF!</v>
      </c>
      <c r="GO19" t="e">
        <f>AND('4to. Bach_B'!#REF!,"AAAAAF+a9sQ=")</f>
        <v>#REF!</v>
      </c>
      <c r="GP19" t="e">
        <f>AND('4to. Bach_B'!#REF!,"AAAAAF+a9sU=")</f>
        <v>#REF!</v>
      </c>
      <c r="GQ19">
        <f>IF('4to. Bach_B'!45:45,"AAAAAF+a9sY=",0)</f>
        <v>0</v>
      </c>
      <c r="GR19" t="e">
        <f>AND('4to. Bach_B'!A45,"AAAAAF+a9sc=")</f>
        <v>#VALUE!</v>
      </c>
      <c r="GS19" t="e">
        <f>AND('4to. Bach_B'!B45,"AAAAAF+a9sg=")</f>
        <v>#VALUE!</v>
      </c>
      <c r="GT19" t="e">
        <f>AND('4to. Bach_B'!C45,"AAAAAF+a9sk=")</f>
        <v>#VALUE!</v>
      </c>
      <c r="GU19" t="e">
        <f>AND('4to. Bach_B'!D45,"AAAAAF+a9so=")</f>
        <v>#VALUE!</v>
      </c>
      <c r="GV19" t="e">
        <f>AND('4to. Bach_B'!E45,"AAAAAF+a9ss=")</f>
        <v>#VALUE!</v>
      </c>
      <c r="GW19" t="e">
        <f>AND('4to. Bach_B'!F45,"AAAAAF+a9sw=")</f>
        <v>#VALUE!</v>
      </c>
      <c r="GX19" t="e">
        <f>AND('4to. Bach_B'!G45,"AAAAAF+a9s0=")</f>
        <v>#VALUE!</v>
      </c>
      <c r="GY19" t="e">
        <f>AND('4to. Bach_B'!H45,"AAAAAF+a9s4=")</f>
        <v>#VALUE!</v>
      </c>
      <c r="GZ19" t="e">
        <f>AND('4to. Bach_B'!I45,"AAAAAF+a9s8=")</f>
        <v>#VALUE!</v>
      </c>
      <c r="HA19" t="e">
        <f>AND('4to. Bach_B'!J45,"AAAAAF+a9tA=")</f>
        <v>#VALUE!</v>
      </c>
      <c r="HB19" t="e">
        <f>AND('4to. Bach_B'!K45,"AAAAAF+a9tE=")</f>
        <v>#VALUE!</v>
      </c>
      <c r="HC19" t="e">
        <f>AND('4to. Bach_B'!L45,"AAAAAF+a9tI=")</f>
        <v>#VALUE!</v>
      </c>
      <c r="HD19" t="e">
        <f>AND('4to. Bach_B'!M45,"AAAAAF+a9tM=")</f>
        <v>#VALUE!</v>
      </c>
      <c r="HE19" t="e">
        <f>AND('4to. Bach_B'!N45,"AAAAAF+a9tQ=")</f>
        <v>#VALUE!</v>
      </c>
      <c r="HF19" t="e">
        <f>AND('4to. Bach_B'!O45,"AAAAAF+a9tU=")</f>
        <v>#VALUE!</v>
      </c>
      <c r="HG19" t="e">
        <f>AND('4to. Bach_B'!P45,"AAAAAF+a9tY=")</f>
        <v>#VALUE!</v>
      </c>
      <c r="HH19" t="e">
        <f>AND('4to. Bach_B'!Q45,"AAAAAF+a9tc=")</f>
        <v>#VALUE!</v>
      </c>
      <c r="HI19" t="e">
        <f>AND('4to. Bach_B'!R45,"AAAAAF+a9tg=")</f>
        <v>#VALUE!</v>
      </c>
      <c r="HJ19" t="e">
        <f>AND('4to. Bach_B'!S45,"AAAAAF+a9tk=")</f>
        <v>#VALUE!</v>
      </c>
      <c r="HK19" t="e">
        <f>AND('4to. Bach_B'!T45,"AAAAAF+a9to=")</f>
        <v>#VALUE!</v>
      </c>
      <c r="HL19" t="e">
        <f>AND('4to. Bach_B'!#REF!,"AAAAAF+a9ts=")</f>
        <v>#REF!</v>
      </c>
      <c r="HM19" t="e">
        <f>AND('4to. Bach_B'!#REF!,"AAAAAF+a9tw=")</f>
        <v>#REF!</v>
      </c>
      <c r="HN19" t="e">
        <f>AND('4to. Bach_B'!#REF!,"AAAAAF+a9t0=")</f>
        <v>#REF!</v>
      </c>
      <c r="HO19" t="e">
        <f>AND('4to. Bach_B'!#REF!,"AAAAAF+a9t4=")</f>
        <v>#REF!</v>
      </c>
      <c r="HP19" t="e">
        <f>AND('4to. Bach_B'!#REF!,"AAAAAF+a9t8=")</f>
        <v>#REF!</v>
      </c>
      <c r="HQ19">
        <f>IF('4to. Bach_B'!46:46,"AAAAAF+a9uA=",0)</f>
        <v>0</v>
      </c>
      <c r="HR19" t="e">
        <f>AND('4to. Bach_B'!A46,"AAAAAF+a9uE=")</f>
        <v>#VALUE!</v>
      </c>
      <c r="HS19" t="e">
        <f>AND('4to. Bach_B'!B46,"AAAAAF+a9uI=")</f>
        <v>#VALUE!</v>
      </c>
      <c r="HT19" t="e">
        <f>AND('4to. Bach_B'!C46,"AAAAAF+a9uM=")</f>
        <v>#VALUE!</v>
      </c>
      <c r="HU19" t="e">
        <f>AND('4to. Bach_B'!D46,"AAAAAF+a9uQ=")</f>
        <v>#VALUE!</v>
      </c>
      <c r="HV19" t="e">
        <f>AND('4to. Bach_B'!E46,"AAAAAF+a9uU=")</f>
        <v>#VALUE!</v>
      </c>
      <c r="HW19" t="e">
        <f>AND('4to. Bach_B'!F46,"AAAAAF+a9uY=")</f>
        <v>#VALUE!</v>
      </c>
      <c r="HX19" t="e">
        <f>AND('4to. Bach_B'!G46,"AAAAAF+a9uc=")</f>
        <v>#VALUE!</v>
      </c>
      <c r="HY19" t="e">
        <f>AND('4to. Bach_B'!H46,"AAAAAF+a9ug=")</f>
        <v>#VALUE!</v>
      </c>
      <c r="HZ19" t="e">
        <f>AND('4to. Bach_B'!I46,"AAAAAF+a9uk=")</f>
        <v>#VALUE!</v>
      </c>
      <c r="IA19" t="e">
        <f>AND('4to. Bach_B'!J46,"AAAAAF+a9uo=")</f>
        <v>#VALUE!</v>
      </c>
      <c r="IB19" t="e">
        <f>AND('4to. Bach_B'!K46,"AAAAAF+a9us=")</f>
        <v>#VALUE!</v>
      </c>
      <c r="IC19" t="e">
        <f>AND('4to. Bach_B'!L46,"AAAAAF+a9uw=")</f>
        <v>#VALUE!</v>
      </c>
      <c r="ID19" t="e">
        <f>AND('4to. Bach_B'!M46,"AAAAAF+a9u0=")</f>
        <v>#VALUE!</v>
      </c>
      <c r="IE19" t="e">
        <f>AND('4to. Bach_B'!N46,"AAAAAF+a9u4=")</f>
        <v>#VALUE!</v>
      </c>
      <c r="IF19" t="e">
        <f>AND('4to. Bach_B'!O46,"AAAAAF+a9u8=")</f>
        <v>#VALUE!</v>
      </c>
      <c r="IG19" t="e">
        <f>AND('4to. Bach_B'!P46,"AAAAAF+a9vA=")</f>
        <v>#VALUE!</v>
      </c>
      <c r="IH19" t="e">
        <f>AND('4to. Bach_B'!Q46,"AAAAAF+a9vE=")</f>
        <v>#VALUE!</v>
      </c>
      <c r="II19" t="e">
        <f>AND('4to. Bach_B'!R46,"AAAAAF+a9vI=")</f>
        <v>#VALUE!</v>
      </c>
      <c r="IJ19" t="e">
        <f>AND('4to. Bach_B'!S46,"AAAAAF+a9vM=")</f>
        <v>#VALUE!</v>
      </c>
      <c r="IK19" t="e">
        <f>AND('4to. Bach_B'!T46,"AAAAAF+a9vQ=")</f>
        <v>#VALUE!</v>
      </c>
      <c r="IL19" t="e">
        <f>AND('4to. Bach_B'!#REF!,"AAAAAF+a9vU=")</f>
        <v>#REF!</v>
      </c>
      <c r="IM19" t="e">
        <f>AND('4to. Bach_B'!#REF!,"AAAAAF+a9vY=")</f>
        <v>#REF!</v>
      </c>
      <c r="IN19" t="e">
        <f>AND('4to. Bach_B'!#REF!,"AAAAAF+a9vc=")</f>
        <v>#REF!</v>
      </c>
      <c r="IO19" t="e">
        <f>AND('4to. Bach_B'!#REF!,"AAAAAF+a9vg=")</f>
        <v>#REF!</v>
      </c>
      <c r="IP19" t="e">
        <f>AND('4to. Bach_B'!#REF!,"AAAAAF+a9vk=")</f>
        <v>#REF!</v>
      </c>
      <c r="IQ19">
        <f>IF('4to. Bach_B'!47:47,"AAAAAF+a9vo=",0)</f>
        <v>0</v>
      </c>
      <c r="IR19" t="e">
        <f>AND('4to. Bach_B'!A47,"AAAAAF+a9vs=")</f>
        <v>#VALUE!</v>
      </c>
      <c r="IS19" t="e">
        <f>AND('4to. Bach_B'!B47,"AAAAAF+a9vw=")</f>
        <v>#VALUE!</v>
      </c>
      <c r="IT19" t="e">
        <f>AND('4to. Bach_B'!C47,"AAAAAF+a9v0=")</f>
        <v>#VALUE!</v>
      </c>
      <c r="IU19" t="e">
        <f>AND('4to. Bach_B'!D47,"AAAAAF+a9v4=")</f>
        <v>#VALUE!</v>
      </c>
      <c r="IV19" t="e">
        <f>AND('4to. Bach_B'!E47,"AAAAAF+a9v8=")</f>
        <v>#VALUE!</v>
      </c>
    </row>
    <row r="20" spans="1:256">
      <c r="A20" t="e">
        <f>AND('4to. Bach_B'!F47,"AAAAAHPr/wA=")</f>
        <v>#VALUE!</v>
      </c>
      <c r="B20" t="e">
        <f>AND('4to. Bach_B'!G47,"AAAAAHPr/wE=")</f>
        <v>#VALUE!</v>
      </c>
      <c r="C20" t="e">
        <f>AND('4to. Bach_B'!H47,"AAAAAHPr/wI=")</f>
        <v>#VALUE!</v>
      </c>
      <c r="D20" t="e">
        <f>AND('4to. Bach_B'!I47,"AAAAAHPr/wM=")</f>
        <v>#VALUE!</v>
      </c>
      <c r="E20" t="e">
        <f>AND('4to. Bach_B'!J47,"AAAAAHPr/wQ=")</f>
        <v>#VALUE!</v>
      </c>
      <c r="F20" t="e">
        <f>AND('4to. Bach_B'!K47,"AAAAAHPr/wU=")</f>
        <v>#VALUE!</v>
      </c>
      <c r="G20" t="e">
        <f>AND('4to. Bach_B'!L47,"AAAAAHPr/wY=")</f>
        <v>#VALUE!</v>
      </c>
      <c r="H20" t="e">
        <f>AND('4to. Bach_B'!M47,"AAAAAHPr/wc=")</f>
        <v>#VALUE!</v>
      </c>
      <c r="I20" t="e">
        <f>AND('4to. Bach_B'!N47,"AAAAAHPr/wg=")</f>
        <v>#VALUE!</v>
      </c>
      <c r="J20" t="e">
        <f>AND('4to. Bach_B'!O47,"AAAAAHPr/wk=")</f>
        <v>#VALUE!</v>
      </c>
      <c r="K20" t="e">
        <f>AND('4to. Bach_B'!P47,"AAAAAHPr/wo=")</f>
        <v>#VALUE!</v>
      </c>
      <c r="L20" t="e">
        <f>AND('4to. Bach_B'!Q47,"AAAAAHPr/ws=")</f>
        <v>#VALUE!</v>
      </c>
      <c r="M20" t="e">
        <f>AND('4to. Bach_B'!R47,"AAAAAHPr/ww=")</f>
        <v>#VALUE!</v>
      </c>
      <c r="N20" t="e">
        <f>AND('4to. Bach_B'!S47,"AAAAAHPr/w0=")</f>
        <v>#VALUE!</v>
      </c>
      <c r="O20" t="e">
        <f>AND('4to. Bach_B'!T47,"AAAAAHPr/w4=")</f>
        <v>#VALUE!</v>
      </c>
      <c r="P20" t="e">
        <f>AND('4to. Bach_B'!#REF!,"AAAAAHPr/w8=")</f>
        <v>#REF!</v>
      </c>
      <c r="Q20" t="e">
        <f>AND('4to. Bach_B'!#REF!,"AAAAAHPr/xA=")</f>
        <v>#REF!</v>
      </c>
      <c r="R20" t="e">
        <f>AND('4to. Bach_B'!#REF!,"AAAAAHPr/xE=")</f>
        <v>#REF!</v>
      </c>
      <c r="S20" t="e">
        <f>AND('4to. Bach_B'!#REF!,"AAAAAHPr/xI=")</f>
        <v>#REF!</v>
      </c>
      <c r="T20" t="e">
        <f>AND('4to. Bach_B'!#REF!,"AAAAAHPr/xM=")</f>
        <v>#REF!</v>
      </c>
      <c r="U20">
        <f>IF('4to. Bach_B'!48:48,"AAAAAHPr/xQ=",0)</f>
        <v>0</v>
      </c>
      <c r="V20" t="e">
        <f>AND('4to. Bach_B'!A48,"AAAAAHPr/xU=")</f>
        <v>#VALUE!</v>
      </c>
      <c r="W20" t="e">
        <f>AND('4to. Bach_B'!B48,"AAAAAHPr/xY=")</f>
        <v>#VALUE!</v>
      </c>
      <c r="X20" t="e">
        <f>AND('4to. Bach_B'!C48,"AAAAAHPr/xc=")</f>
        <v>#VALUE!</v>
      </c>
      <c r="Y20" t="e">
        <f>AND('4to. Bach_B'!D48,"AAAAAHPr/xg=")</f>
        <v>#VALUE!</v>
      </c>
      <c r="Z20" t="e">
        <f>AND('4to. Bach_B'!E48,"AAAAAHPr/xk=")</f>
        <v>#VALUE!</v>
      </c>
      <c r="AA20" t="e">
        <f>AND('4to. Bach_B'!F48,"AAAAAHPr/xo=")</f>
        <v>#VALUE!</v>
      </c>
      <c r="AB20" t="e">
        <f>AND('4to. Bach_B'!G48,"AAAAAHPr/xs=")</f>
        <v>#VALUE!</v>
      </c>
      <c r="AC20" t="e">
        <f>AND('4to. Bach_B'!H48,"AAAAAHPr/xw=")</f>
        <v>#VALUE!</v>
      </c>
      <c r="AD20" t="e">
        <f>AND('4to. Bach_B'!I48,"AAAAAHPr/x0=")</f>
        <v>#VALUE!</v>
      </c>
      <c r="AE20" t="e">
        <f>AND('4to. Bach_B'!J48,"AAAAAHPr/x4=")</f>
        <v>#VALUE!</v>
      </c>
      <c r="AF20" t="e">
        <f>AND('4to. Bach_B'!K48,"AAAAAHPr/x8=")</f>
        <v>#VALUE!</v>
      </c>
      <c r="AG20" t="e">
        <f>AND('4to. Bach_B'!L48,"AAAAAHPr/yA=")</f>
        <v>#VALUE!</v>
      </c>
      <c r="AH20" t="e">
        <f>AND('4to. Bach_B'!M48,"AAAAAHPr/yE=")</f>
        <v>#VALUE!</v>
      </c>
      <c r="AI20" t="e">
        <f>AND('4to. Bach_B'!N48,"AAAAAHPr/yI=")</f>
        <v>#VALUE!</v>
      </c>
      <c r="AJ20" t="e">
        <f>AND('4to. Bach_B'!O48,"AAAAAHPr/yM=")</f>
        <v>#VALUE!</v>
      </c>
      <c r="AK20" t="e">
        <f>AND('4to. Bach_B'!P48,"AAAAAHPr/yQ=")</f>
        <v>#VALUE!</v>
      </c>
      <c r="AL20" t="e">
        <f>AND('4to. Bach_B'!Q48,"AAAAAHPr/yU=")</f>
        <v>#VALUE!</v>
      </c>
      <c r="AM20" t="e">
        <f>AND('4to. Bach_B'!R48,"AAAAAHPr/yY=")</f>
        <v>#VALUE!</v>
      </c>
      <c r="AN20" t="e">
        <f>AND('4to. Bach_B'!S48,"AAAAAHPr/yc=")</f>
        <v>#VALUE!</v>
      </c>
      <c r="AO20" t="e">
        <f>AND('4to. Bach_B'!T48,"AAAAAHPr/yg=")</f>
        <v>#VALUE!</v>
      </c>
      <c r="AP20" t="e">
        <f>AND('4to. Bach_B'!#REF!,"AAAAAHPr/yk=")</f>
        <v>#REF!</v>
      </c>
      <c r="AQ20" t="e">
        <f>AND('4to. Bach_B'!#REF!,"AAAAAHPr/yo=")</f>
        <v>#REF!</v>
      </c>
      <c r="AR20" t="e">
        <f>AND('4to. Bach_B'!#REF!,"AAAAAHPr/ys=")</f>
        <v>#REF!</v>
      </c>
      <c r="AS20" t="e">
        <f>AND('4to. Bach_B'!#REF!,"AAAAAHPr/yw=")</f>
        <v>#REF!</v>
      </c>
      <c r="AT20" t="e">
        <f>AND('4to. Bach_B'!#REF!,"AAAAAHPr/y0=")</f>
        <v>#REF!</v>
      </c>
      <c r="AU20">
        <f>IF('4to. Bach_B'!49:49,"AAAAAHPr/y4=",0)</f>
        <v>0</v>
      </c>
      <c r="AV20" t="e">
        <f>AND('4to. Bach_B'!A49,"AAAAAHPr/y8=")</f>
        <v>#VALUE!</v>
      </c>
      <c r="AW20" t="e">
        <f>AND('4to. Bach_B'!B49,"AAAAAHPr/zA=")</f>
        <v>#VALUE!</v>
      </c>
      <c r="AX20" t="e">
        <f>AND('4to. Bach_B'!C49,"AAAAAHPr/zE=")</f>
        <v>#VALUE!</v>
      </c>
      <c r="AY20" t="e">
        <f>AND('4to. Bach_B'!D49,"AAAAAHPr/zI=")</f>
        <v>#VALUE!</v>
      </c>
      <c r="AZ20" t="e">
        <f>AND('4to. Bach_B'!E49,"AAAAAHPr/zM=")</f>
        <v>#VALUE!</v>
      </c>
      <c r="BA20" t="e">
        <f>AND('4to. Bach_B'!F49,"AAAAAHPr/zQ=")</f>
        <v>#VALUE!</v>
      </c>
      <c r="BB20" t="e">
        <f>AND('4to. Bach_B'!G49,"AAAAAHPr/zU=")</f>
        <v>#VALUE!</v>
      </c>
      <c r="BC20" t="e">
        <f>AND('4to. Bach_B'!H49,"AAAAAHPr/zY=")</f>
        <v>#VALUE!</v>
      </c>
      <c r="BD20" t="e">
        <f>AND('4to. Bach_B'!I49,"AAAAAHPr/zc=")</f>
        <v>#VALUE!</v>
      </c>
      <c r="BE20" t="e">
        <f>AND('4to. Bach_B'!J49,"AAAAAHPr/zg=")</f>
        <v>#VALUE!</v>
      </c>
      <c r="BF20" t="e">
        <f>AND('4to. Bach_B'!K49,"AAAAAHPr/zk=")</f>
        <v>#VALUE!</v>
      </c>
      <c r="BG20" t="e">
        <f>AND('4to. Bach_B'!L49,"AAAAAHPr/zo=")</f>
        <v>#VALUE!</v>
      </c>
      <c r="BH20" t="e">
        <f>AND('4to. Bach_B'!M49,"AAAAAHPr/zs=")</f>
        <v>#VALUE!</v>
      </c>
      <c r="BI20" t="e">
        <f>AND('4to. Bach_B'!N49,"AAAAAHPr/zw=")</f>
        <v>#VALUE!</v>
      </c>
      <c r="BJ20" t="e">
        <f>AND('4to. Bach_B'!O49,"AAAAAHPr/z0=")</f>
        <v>#VALUE!</v>
      </c>
      <c r="BK20" t="e">
        <f>AND('4to. Bach_B'!P49,"AAAAAHPr/z4=")</f>
        <v>#VALUE!</v>
      </c>
      <c r="BL20" t="e">
        <f>AND('4to. Bach_B'!Q49,"AAAAAHPr/z8=")</f>
        <v>#VALUE!</v>
      </c>
      <c r="BM20" t="e">
        <f>AND('4to. Bach_B'!R49,"AAAAAHPr/0A=")</f>
        <v>#VALUE!</v>
      </c>
      <c r="BN20" t="e">
        <f>AND('4to. Bach_B'!S49,"AAAAAHPr/0E=")</f>
        <v>#VALUE!</v>
      </c>
      <c r="BO20" t="e">
        <f>AND('4to. Bach_B'!T49,"AAAAAHPr/0I=")</f>
        <v>#VALUE!</v>
      </c>
      <c r="BP20" t="e">
        <f>AND('4to. Bach_B'!#REF!,"AAAAAHPr/0M=")</f>
        <v>#REF!</v>
      </c>
      <c r="BQ20" t="e">
        <f>AND('4to. Bach_B'!#REF!,"AAAAAHPr/0Q=")</f>
        <v>#REF!</v>
      </c>
      <c r="BR20" t="e">
        <f>AND('4to. Bach_B'!#REF!,"AAAAAHPr/0U=")</f>
        <v>#REF!</v>
      </c>
      <c r="BS20" t="e">
        <f>AND('4to. Bach_B'!#REF!,"AAAAAHPr/0Y=")</f>
        <v>#REF!</v>
      </c>
      <c r="BT20" t="e">
        <f>AND('4to. Bach_B'!#REF!,"AAAAAHPr/0c=")</f>
        <v>#REF!</v>
      </c>
      <c r="BU20">
        <f>IF('4to. Bach_B'!50:50,"AAAAAHPr/0g=",0)</f>
        <v>0</v>
      </c>
      <c r="BV20" t="e">
        <f>AND('4to. Bach_B'!A50,"AAAAAHPr/0k=")</f>
        <v>#VALUE!</v>
      </c>
      <c r="BW20" t="e">
        <f>AND('4to. Bach_B'!B50,"AAAAAHPr/0o=")</f>
        <v>#VALUE!</v>
      </c>
      <c r="BX20" t="e">
        <f>AND('4to. Bach_B'!C50,"AAAAAHPr/0s=")</f>
        <v>#VALUE!</v>
      </c>
      <c r="BY20" t="e">
        <f>AND('4to. Bach_B'!D50,"AAAAAHPr/0w=")</f>
        <v>#VALUE!</v>
      </c>
      <c r="BZ20" t="e">
        <f>AND('4to. Bach_B'!E50,"AAAAAHPr/00=")</f>
        <v>#VALUE!</v>
      </c>
      <c r="CA20" t="e">
        <f>AND('4to. Bach_B'!F50,"AAAAAHPr/04=")</f>
        <v>#VALUE!</v>
      </c>
      <c r="CB20" t="e">
        <f>AND('4to. Bach_B'!G50,"AAAAAHPr/08=")</f>
        <v>#VALUE!</v>
      </c>
      <c r="CC20" t="e">
        <f>AND('4to. Bach_B'!H50,"AAAAAHPr/1A=")</f>
        <v>#VALUE!</v>
      </c>
      <c r="CD20" t="e">
        <f>AND('4to. Bach_B'!I50,"AAAAAHPr/1E=")</f>
        <v>#VALUE!</v>
      </c>
      <c r="CE20" t="e">
        <f>AND('4to. Bach_B'!J50,"AAAAAHPr/1I=")</f>
        <v>#VALUE!</v>
      </c>
      <c r="CF20" t="e">
        <f>AND('4to. Bach_B'!K50,"AAAAAHPr/1M=")</f>
        <v>#VALUE!</v>
      </c>
      <c r="CG20" t="e">
        <f>AND('4to. Bach_B'!L50,"AAAAAHPr/1Q=")</f>
        <v>#VALUE!</v>
      </c>
      <c r="CH20" t="e">
        <f>AND('4to. Bach_B'!M50,"AAAAAHPr/1U=")</f>
        <v>#VALUE!</v>
      </c>
      <c r="CI20" t="e">
        <f>AND('4to. Bach_B'!N50,"AAAAAHPr/1Y=")</f>
        <v>#VALUE!</v>
      </c>
      <c r="CJ20" t="e">
        <f>AND('4to. Bach_B'!O50,"AAAAAHPr/1c=")</f>
        <v>#VALUE!</v>
      </c>
      <c r="CK20" t="e">
        <f>AND('4to. Bach_B'!P50,"AAAAAHPr/1g=")</f>
        <v>#VALUE!</v>
      </c>
      <c r="CL20" t="e">
        <f>AND('4to. Bach_B'!Q50,"AAAAAHPr/1k=")</f>
        <v>#VALUE!</v>
      </c>
      <c r="CM20" t="e">
        <f>AND('4to. Bach_B'!R50,"AAAAAHPr/1o=")</f>
        <v>#VALUE!</v>
      </c>
      <c r="CN20" t="e">
        <f>AND('4to. Bach_B'!S50,"AAAAAHPr/1s=")</f>
        <v>#VALUE!</v>
      </c>
      <c r="CO20" t="e">
        <f>AND('4to. Bach_B'!T50,"AAAAAHPr/1w=")</f>
        <v>#VALUE!</v>
      </c>
      <c r="CP20" t="e">
        <f>AND('4to. Bach_B'!#REF!,"AAAAAHPr/10=")</f>
        <v>#REF!</v>
      </c>
      <c r="CQ20" t="e">
        <f>AND('4to. Bach_B'!#REF!,"AAAAAHPr/14=")</f>
        <v>#REF!</v>
      </c>
      <c r="CR20" t="e">
        <f>AND('4to. Bach_B'!#REF!,"AAAAAHPr/18=")</f>
        <v>#REF!</v>
      </c>
      <c r="CS20" t="e">
        <f>AND('4to. Bach_B'!#REF!,"AAAAAHPr/2A=")</f>
        <v>#REF!</v>
      </c>
      <c r="CT20" t="e">
        <f>AND('4to. Bach_B'!#REF!,"AAAAAHPr/2E=")</f>
        <v>#REF!</v>
      </c>
      <c r="CU20" t="e">
        <f>IF('4to. Bach_B'!#REF!,"AAAAAHPr/2I=",0)</f>
        <v>#REF!</v>
      </c>
      <c r="CV20" t="e">
        <f>AND('4to. Bach_B'!#REF!,"AAAAAHPr/2M=")</f>
        <v>#REF!</v>
      </c>
      <c r="CW20" t="e">
        <f>AND('4to. Bach_B'!#REF!,"AAAAAHPr/2Q=")</f>
        <v>#REF!</v>
      </c>
      <c r="CX20" t="e">
        <f>AND('4to. Bach_B'!#REF!,"AAAAAHPr/2U=")</f>
        <v>#REF!</v>
      </c>
      <c r="CY20" t="e">
        <f>AND('4to. Bach_B'!#REF!,"AAAAAHPr/2Y=")</f>
        <v>#REF!</v>
      </c>
      <c r="CZ20" t="e">
        <f>AND('4to. Bach_B'!#REF!,"AAAAAHPr/2c=")</f>
        <v>#REF!</v>
      </c>
      <c r="DA20" t="e">
        <f>AND('4to. Bach_B'!#REF!,"AAAAAHPr/2g=")</f>
        <v>#REF!</v>
      </c>
      <c r="DB20" t="e">
        <f>AND('4to. Bach_B'!#REF!,"AAAAAHPr/2k=")</f>
        <v>#REF!</v>
      </c>
      <c r="DC20" t="e">
        <f>AND('4to. Bach_B'!#REF!,"AAAAAHPr/2o=")</f>
        <v>#REF!</v>
      </c>
      <c r="DD20" t="e">
        <f>AND('4to. Bach_B'!#REF!,"AAAAAHPr/2s=")</f>
        <v>#REF!</v>
      </c>
      <c r="DE20" t="e">
        <f>AND('4to. Bach_B'!#REF!,"AAAAAHPr/2w=")</f>
        <v>#REF!</v>
      </c>
      <c r="DF20" t="e">
        <f>AND('4to. Bach_B'!#REF!,"AAAAAHPr/20=")</f>
        <v>#REF!</v>
      </c>
      <c r="DG20" t="e">
        <f>AND('4to. Bach_B'!#REF!,"AAAAAHPr/24=")</f>
        <v>#REF!</v>
      </c>
      <c r="DH20" t="e">
        <f>AND('4to. Bach_B'!#REF!,"AAAAAHPr/28=")</f>
        <v>#REF!</v>
      </c>
      <c r="DI20" t="e">
        <f>AND('4to. Bach_B'!#REF!,"AAAAAHPr/3A=")</f>
        <v>#REF!</v>
      </c>
      <c r="DJ20" t="e">
        <f>AND('4to. Bach_B'!#REF!,"AAAAAHPr/3E=")</f>
        <v>#REF!</v>
      </c>
      <c r="DK20" t="e">
        <f>AND('4to. Bach_B'!#REF!,"AAAAAHPr/3I=")</f>
        <v>#REF!</v>
      </c>
      <c r="DL20" t="e">
        <f>AND('4to. Bach_B'!#REF!,"AAAAAHPr/3M=")</f>
        <v>#REF!</v>
      </c>
      <c r="DM20" t="e">
        <f>AND('4to. Bach_B'!#REF!,"AAAAAHPr/3Q=")</f>
        <v>#REF!</v>
      </c>
      <c r="DN20" t="e">
        <f>AND('4to. Bach_B'!#REF!,"AAAAAHPr/3U=")</f>
        <v>#REF!</v>
      </c>
      <c r="DO20" t="e">
        <f>AND('4to. Bach_B'!#REF!,"AAAAAHPr/3Y=")</f>
        <v>#REF!</v>
      </c>
      <c r="DP20" t="e">
        <f>AND('4to. Bach_B'!#REF!,"AAAAAHPr/3c=")</f>
        <v>#REF!</v>
      </c>
      <c r="DQ20" t="e">
        <f>AND('4to. Bach_B'!#REF!,"AAAAAHPr/3g=")</f>
        <v>#REF!</v>
      </c>
      <c r="DR20" t="e">
        <f>AND('4to. Bach_B'!#REF!,"AAAAAHPr/3k=")</f>
        <v>#REF!</v>
      </c>
      <c r="DS20" t="e">
        <f>AND('4to. Bach_B'!#REF!,"AAAAAHPr/3o=")</f>
        <v>#REF!</v>
      </c>
      <c r="DT20" t="e">
        <f>AND('4to. Bach_B'!#REF!,"AAAAAHPr/3s=")</f>
        <v>#REF!</v>
      </c>
      <c r="DU20" t="e">
        <f>IF('4to. Bach_B'!#REF!,"AAAAAHPr/3w=",0)</f>
        <v>#REF!</v>
      </c>
      <c r="DV20" t="e">
        <f>AND('4to. Bach_B'!#REF!,"AAAAAHPr/30=")</f>
        <v>#REF!</v>
      </c>
      <c r="DW20" t="e">
        <f>AND('4to. Bach_B'!#REF!,"AAAAAHPr/34=")</f>
        <v>#REF!</v>
      </c>
      <c r="DX20" t="e">
        <f>AND('4to. Bach_B'!#REF!,"AAAAAHPr/38=")</f>
        <v>#REF!</v>
      </c>
      <c r="DY20" t="e">
        <f>AND('4to. Bach_B'!#REF!,"AAAAAHPr/4A=")</f>
        <v>#REF!</v>
      </c>
      <c r="DZ20" t="e">
        <f>AND('4to. Bach_B'!#REF!,"AAAAAHPr/4E=")</f>
        <v>#REF!</v>
      </c>
      <c r="EA20" t="e">
        <f>AND('4to. Bach_B'!#REF!,"AAAAAHPr/4I=")</f>
        <v>#REF!</v>
      </c>
      <c r="EB20" t="e">
        <f>AND('4to. Bach_B'!#REF!,"AAAAAHPr/4M=")</f>
        <v>#REF!</v>
      </c>
      <c r="EC20" t="e">
        <f>AND('4to. Bach_B'!#REF!,"AAAAAHPr/4Q=")</f>
        <v>#REF!</v>
      </c>
      <c r="ED20" t="e">
        <f>AND('4to. Bach_B'!#REF!,"AAAAAHPr/4U=")</f>
        <v>#REF!</v>
      </c>
      <c r="EE20" t="e">
        <f>AND('4to. Bach_B'!#REF!,"AAAAAHPr/4Y=")</f>
        <v>#REF!</v>
      </c>
      <c r="EF20" t="e">
        <f>AND('4to. Bach_B'!#REF!,"AAAAAHPr/4c=")</f>
        <v>#REF!</v>
      </c>
      <c r="EG20" t="e">
        <f>AND('4to. Bach_B'!#REF!,"AAAAAHPr/4g=")</f>
        <v>#REF!</v>
      </c>
      <c r="EH20" t="e">
        <f>AND('4to. Bach_B'!#REF!,"AAAAAHPr/4k=")</f>
        <v>#REF!</v>
      </c>
      <c r="EI20" t="e">
        <f>AND('4to. Bach_B'!#REF!,"AAAAAHPr/4o=")</f>
        <v>#REF!</v>
      </c>
      <c r="EJ20" t="e">
        <f>AND('4to. Bach_B'!#REF!,"AAAAAHPr/4s=")</f>
        <v>#REF!</v>
      </c>
      <c r="EK20" t="e">
        <f>AND('4to. Bach_B'!#REF!,"AAAAAHPr/4w=")</f>
        <v>#REF!</v>
      </c>
      <c r="EL20" t="e">
        <f>AND('4to. Bach_B'!#REF!,"AAAAAHPr/40=")</f>
        <v>#REF!</v>
      </c>
      <c r="EM20" t="e">
        <f>AND('4to. Bach_B'!#REF!,"AAAAAHPr/44=")</f>
        <v>#REF!</v>
      </c>
      <c r="EN20" t="e">
        <f>AND('4to. Bach_B'!#REF!,"AAAAAHPr/48=")</f>
        <v>#REF!</v>
      </c>
      <c r="EO20" t="e">
        <f>AND('4to. Bach_B'!#REF!,"AAAAAHPr/5A=")</f>
        <v>#REF!</v>
      </c>
      <c r="EP20" t="e">
        <f>AND('4to. Bach_B'!#REF!,"AAAAAHPr/5E=")</f>
        <v>#REF!</v>
      </c>
      <c r="EQ20" t="e">
        <f>AND('4to. Bach_B'!#REF!,"AAAAAHPr/5I=")</f>
        <v>#REF!</v>
      </c>
      <c r="ER20" t="e">
        <f>AND('4to. Bach_B'!#REF!,"AAAAAHPr/5M=")</f>
        <v>#REF!</v>
      </c>
      <c r="ES20" t="e">
        <f>AND('4to. Bach_B'!#REF!,"AAAAAHPr/5Q=")</f>
        <v>#REF!</v>
      </c>
      <c r="ET20" t="e">
        <f>AND('4to. Bach_B'!#REF!,"AAAAAHPr/5U=")</f>
        <v>#REF!</v>
      </c>
      <c r="EU20" t="e">
        <f>IF('4to. Bach_B'!#REF!,"AAAAAHPr/5Y=",0)</f>
        <v>#REF!</v>
      </c>
      <c r="EV20" t="e">
        <f>AND('4to. Bach_B'!#REF!,"AAAAAHPr/5c=")</f>
        <v>#REF!</v>
      </c>
      <c r="EW20" t="e">
        <f>AND('4to. Bach_B'!#REF!,"AAAAAHPr/5g=")</f>
        <v>#REF!</v>
      </c>
      <c r="EX20" t="e">
        <f>AND('4to. Bach_B'!#REF!,"AAAAAHPr/5k=")</f>
        <v>#REF!</v>
      </c>
      <c r="EY20" t="e">
        <f>AND('4to. Bach_B'!#REF!,"AAAAAHPr/5o=")</f>
        <v>#REF!</v>
      </c>
      <c r="EZ20" t="e">
        <f>AND('4to. Bach_B'!#REF!,"AAAAAHPr/5s=")</f>
        <v>#REF!</v>
      </c>
      <c r="FA20" t="e">
        <f>AND('4to. Bach_B'!#REF!,"AAAAAHPr/5w=")</f>
        <v>#REF!</v>
      </c>
      <c r="FB20" t="e">
        <f>AND('4to. Bach_B'!#REF!,"AAAAAHPr/50=")</f>
        <v>#REF!</v>
      </c>
      <c r="FC20" t="e">
        <f>AND('4to. Bach_B'!#REF!,"AAAAAHPr/54=")</f>
        <v>#REF!</v>
      </c>
      <c r="FD20" t="e">
        <f>AND('4to. Bach_B'!#REF!,"AAAAAHPr/58=")</f>
        <v>#REF!</v>
      </c>
      <c r="FE20" t="e">
        <f>AND('4to. Bach_B'!#REF!,"AAAAAHPr/6A=")</f>
        <v>#REF!</v>
      </c>
      <c r="FF20" t="e">
        <f>AND('4to. Bach_B'!#REF!,"AAAAAHPr/6E=")</f>
        <v>#REF!</v>
      </c>
      <c r="FG20" t="e">
        <f>AND('4to. Bach_B'!#REF!,"AAAAAHPr/6I=")</f>
        <v>#REF!</v>
      </c>
      <c r="FH20" t="e">
        <f>AND('4to. Bach_B'!#REF!,"AAAAAHPr/6M=")</f>
        <v>#REF!</v>
      </c>
      <c r="FI20" t="e">
        <f>AND('4to. Bach_B'!#REF!,"AAAAAHPr/6Q=")</f>
        <v>#REF!</v>
      </c>
      <c r="FJ20" t="e">
        <f>AND('4to. Bach_B'!#REF!,"AAAAAHPr/6U=")</f>
        <v>#REF!</v>
      </c>
      <c r="FK20" t="e">
        <f>AND('4to. Bach_B'!#REF!,"AAAAAHPr/6Y=")</f>
        <v>#REF!</v>
      </c>
      <c r="FL20" t="e">
        <f>AND('4to. Bach_B'!#REF!,"AAAAAHPr/6c=")</f>
        <v>#REF!</v>
      </c>
      <c r="FM20" t="e">
        <f>AND('4to. Bach_B'!#REF!,"AAAAAHPr/6g=")</f>
        <v>#REF!</v>
      </c>
      <c r="FN20" t="e">
        <f>AND('4to. Bach_B'!#REF!,"AAAAAHPr/6k=")</f>
        <v>#REF!</v>
      </c>
      <c r="FO20" t="e">
        <f>AND('4to. Bach_B'!#REF!,"AAAAAHPr/6o=")</f>
        <v>#REF!</v>
      </c>
      <c r="FP20" t="e">
        <f>AND('4to. Bach_B'!#REF!,"AAAAAHPr/6s=")</f>
        <v>#REF!</v>
      </c>
      <c r="FQ20" t="e">
        <f>AND('4to. Bach_B'!#REF!,"AAAAAHPr/6w=")</f>
        <v>#REF!</v>
      </c>
      <c r="FR20" t="e">
        <f>AND('4to. Bach_B'!#REF!,"AAAAAHPr/60=")</f>
        <v>#REF!</v>
      </c>
      <c r="FS20" t="e">
        <f>AND('4to. Bach_B'!#REF!,"AAAAAHPr/64=")</f>
        <v>#REF!</v>
      </c>
      <c r="FT20" t="e">
        <f>AND('4to. Bach_B'!#REF!,"AAAAAHPr/68=")</f>
        <v>#REF!</v>
      </c>
      <c r="FU20" t="e">
        <f>IF('4to. Bach_B'!#REF!,"AAAAAHPr/7A=",0)</f>
        <v>#REF!</v>
      </c>
      <c r="FV20" t="e">
        <f>AND('4to. Bach_B'!#REF!,"AAAAAHPr/7E=")</f>
        <v>#REF!</v>
      </c>
      <c r="FW20" t="e">
        <f>AND('4to. Bach_B'!#REF!,"AAAAAHPr/7I=")</f>
        <v>#REF!</v>
      </c>
      <c r="FX20" t="e">
        <f>AND('4to. Bach_B'!#REF!,"AAAAAHPr/7M=")</f>
        <v>#REF!</v>
      </c>
      <c r="FY20" t="e">
        <f>AND('4to. Bach_B'!#REF!,"AAAAAHPr/7Q=")</f>
        <v>#REF!</v>
      </c>
      <c r="FZ20" t="e">
        <f>AND('4to. Bach_B'!#REF!,"AAAAAHPr/7U=")</f>
        <v>#REF!</v>
      </c>
      <c r="GA20" t="e">
        <f>AND('4to. Bach_B'!#REF!,"AAAAAHPr/7Y=")</f>
        <v>#REF!</v>
      </c>
      <c r="GB20" t="e">
        <f>AND('4to. Bach_B'!#REF!,"AAAAAHPr/7c=")</f>
        <v>#REF!</v>
      </c>
      <c r="GC20" t="e">
        <f>AND('4to. Bach_B'!#REF!,"AAAAAHPr/7g=")</f>
        <v>#REF!</v>
      </c>
      <c r="GD20" t="e">
        <f>AND('4to. Bach_B'!#REF!,"AAAAAHPr/7k=")</f>
        <v>#REF!</v>
      </c>
      <c r="GE20" t="e">
        <f>AND('4to. Bach_B'!#REF!,"AAAAAHPr/7o=")</f>
        <v>#REF!</v>
      </c>
      <c r="GF20" t="e">
        <f>AND('4to. Bach_B'!#REF!,"AAAAAHPr/7s=")</f>
        <v>#REF!</v>
      </c>
      <c r="GG20" t="e">
        <f>AND('4to. Bach_B'!#REF!,"AAAAAHPr/7w=")</f>
        <v>#REF!</v>
      </c>
      <c r="GH20" t="e">
        <f>AND('4to. Bach_B'!#REF!,"AAAAAHPr/70=")</f>
        <v>#REF!</v>
      </c>
      <c r="GI20" t="e">
        <f>AND('4to. Bach_B'!#REF!,"AAAAAHPr/74=")</f>
        <v>#REF!</v>
      </c>
      <c r="GJ20" t="e">
        <f>AND('4to. Bach_B'!#REF!,"AAAAAHPr/78=")</f>
        <v>#REF!</v>
      </c>
      <c r="GK20" t="e">
        <f>AND('4to. Bach_B'!#REF!,"AAAAAHPr/8A=")</f>
        <v>#REF!</v>
      </c>
      <c r="GL20" t="e">
        <f>AND('4to. Bach_B'!#REF!,"AAAAAHPr/8E=")</f>
        <v>#REF!</v>
      </c>
      <c r="GM20" t="e">
        <f>AND('4to. Bach_B'!#REF!,"AAAAAHPr/8I=")</f>
        <v>#REF!</v>
      </c>
      <c r="GN20" t="e">
        <f>AND('4to. Bach_B'!#REF!,"AAAAAHPr/8M=")</f>
        <v>#REF!</v>
      </c>
      <c r="GO20" t="e">
        <f>AND('4to. Bach_B'!#REF!,"AAAAAHPr/8Q=")</f>
        <v>#REF!</v>
      </c>
      <c r="GP20" t="e">
        <f>AND('4to. Bach_B'!#REF!,"AAAAAHPr/8U=")</f>
        <v>#REF!</v>
      </c>
      <c r="GQ20" t="e">
        <f>AND('4to. Bach_B'!#REF!,"AAAAAHPr/8Y=")</f>
        <v>#REF!</v>
      </c>
      <c r="GR20" t="e">
        <f>AND('4to. Bach_B'!#REF!,"AAAAAHPr/8c=")</f>
        <v>#REF!</v>
      </c>
      <c r="GS20" t="e">
        <f>AND('4to. Bach_B'!#REF!,"AAAAAHPr/8g=")</f>
        <v>#REF!</v>
      </c>
      <c r="GT20" t="e">
        <f>AND('4to. Bach_B'!#REF!,"AAAAAHPr/8k=")</f>
        <v>#REF!</v>
      </c>
      <c r="GU20" t="e">
        <f>IF('4to. Bach_B'!#REF!,"AAAAAHPr/8o=",0)</f>
        <v>#REF!</v>
      </c>
      <c r="GV20" t="e">
        <f>AND('4to. Bach_B'!#REF!,"AAAAAHPr/8s=")</f>
        <v>#REF!</v>
      </c>
      <c r="GW20" t="e">
        <f>AND('4to. Bach_B'!#REF!,"AAAAAHPr/8w=")</f>
        <v>#REF!</v>
      </c>
      <c r="GX20" t="e">
        <f>AND('4to. Bach_B'!#REF!,"AAAAAHPr/80=")</f>
        <v>#REF!</v>
      </c>
      <c r="GY20" t="e">
        <f>AND('4to. Bach_B'!#REF!,"AAAAAHPr/84=")</f>
        <v>#REF!</v>
      </c>
      <c r="GZ20" t="e">
        <f>AND('4to. Bach_B'!#REF!,"AAAAAHPr/88=")</f>
        <v>#REF!</v>
      </c>
      <c r="HA20" t="e">
        <f>AND('4to. Bach_B'!#REF!,"AAAAAHPr/9A=")</f>
        <v>#REF!</v>
      </c>
      <c r="HB20" t="e">
        <f>AND('4to. Bach_B'!#REF!,"AAAAAHPr/9E=")</f>
        <v>#REF!</v>
      </c>
      <c r="HC20" t="e">
        <f>AND('4to. Bach_B'!#REF!,"AAAAAHPr/9I=")</f>
        <v>#REF!</v>
      </c>
      <c r="HD20" t="e">
        <f>AND('4to. Bach_B'!#REF!,"AAAAAHPr/9M=")</f>
        <v>#REF!</v>
      </c>
      <c r="HE20" t="e">
        <f>AND('4to. Bach_B'!#REF!,"AAAAAHPr/9Q=")</f>
        <v>#REF!</v>
      </c>
      <c r="HF20" t="e">
        <f>AND('4to. Bach_B'!#REF!,"AAAAAHPr/9U=")</f>
        <v>#REF!</v>
      </c>
      <c r="HG20" t="e">
        <f>AND('4to. Bach_B'!#REF!,"AAAAAHPr/9Y=")</f>
        <v>#REF!</v>
      </c>
      <c r="HH20" t="e">
        <f>AND('4to. Bach_B'!#REF!,"AAAAAHPr/9c=")</f>
        <v>#REF!</v>
      </c>
      <c r="HI20" t="e">
        <f>AND('4to. Bach_B'!#REF!,"AAAAAHPr/9g=")</f>
        <v>#REF!</v>
      </c>
      <c r="HJ20" t="e">
        <f>AND('4to. Bach_B'!#REF!,"AAAAAHPr/9k=")</f>
        <v>#REF!</v>
      </c>
      <c r="HK20" t="e">
        <f>AND('4to. Bach_B'!#REF!,"AAAAAHPr/9o=")</f>
        <v>#REF!</v>
      </c>
      <c r="HL20" t="e">
        <f>AND('4to. Bach_B'!#REF!,"AAAAAHPr/9s=")</f>
        <v>#REF!</v>
      </c>
      <c r="HM20" t="e">
        <f>AND('4to. Bach_B'!#REF!,"AAAAAHPr/9w=")</f>
        <v>#REF!</v>
      </c>
      <c r="HN20" t="e">
        <f>AND('4to. Bach_B'!#REF!,"AAAAAHPr/90=")</f>
        <v>#REF!</v>
      </c>
      <c r="HO20" t="e">
        <f>AND('4to. Bach_B'!#REF!,"AAAAAHPr/94=")</f>
        <v>#REF!</v>
      </c>
      <c r="HP20" t="e">
        <f>AND('4to. Bach_B'!#REF!,"AAAAAHPr/98=")</f>
        <v>#REF!</v>
      </c>
      <c r="HQ20" t="e">
        <f>AND('4to. Bach_B'!#REF!,"AAAAAHPr/+A=")</f>
        <v>#REF!</v>
      </c>
      <c r="HR20" t="e">
        <f>AND('4to. Bach_B'!#REF!,"AAAAAHPr/+E=")</f>
        <v>#REF!</v>
      </c>
      <c r="HS20" t="e">
        <f>AND('4to. Bach_B'!#REF!,"AAAAAHPr/+I=")</f>
        <v>#REF!</v>
      </c>
      <c r="HT20" t="e">
        <f>AND('4to. Bach_B'!#REF!,"AAAAAHPr/+M=")</f>
        <v>#REF!</v>
      </c>
      <c r="HU20" t="e">
        <f>IF('4to. Bach_B'!#REF!,"AAAAAHPr/+Q=",0)</f>
        <v>#REF!</v>
      </c>
      <c r="HV20" t="e">
        <f>AND('4to. Bach_B'!#REF!,"AAAAAHPr/+U=")</f>
        <v>#REF!</v>
      </c>
      <c r="HW20" t="e">
        <f>AND('4to. Bach_B'!#REF!,"AAAAAHPr/+Y=")</f>
        <v>#REF!</v>
      </c>
      <c r="HX20" t="e">
        <f>AND('4to. Bach_B'!#REF!,"AAAAAHPr/+c=")</f>
        <v>#REF!</v>
      </c>
      <c r="HY20" t="e">
        <f>AND('4to. Bach_B'!#REF!,"AAAAAHPr/+g=")</f>
        <v>#REF!</v>
      </c>
      <c r="HZ20" t="e">
        <f>AND('4to. Bach_B'!#REF!,"AAAAAHPr/+k=")</f>
        <v>#REF!</v>
      </c>
      <c r="IA20" t="e">
        <f>AND('4to. Bach_B'!#REF!,"AAAAAHPr/+o=")</f>
        <v>#REF!</v>
      </c>
      <c r="IB20" t="e">
        <f>AND('4to. Bach_B'!#REF!,"AAAAAHPr/+s=")</f>
        <v>#REF!</v>
      </c>
      <c r="IC20" t="e">
        <f>AND('4to. Bach_B'!#REF!,"AAAAAHPr/+w=")</f>
        <v>#REF!</v>
      </c>
      <c r="ID20" t="e">
        <f>AND('4to. Bach_B'!#REF!,"AAAAAHPr/+0=")</f>
        <v>#REF!</v>
      </c>
      <c r="IE20" t="e">
        <f>AND('4to. Bach_B'!#REF!,"AAAAAHPr/+4=")</f>
        <v>#REF!</v>
      </c>
      <c r="IF20" t="e">
        <f>AND('4to. Bach_B'!#REF!,"AAAAAHPr/+8=")</f>
        <v>#REF!</v>
      </c>
      <c r="IG20" t="e">
        <f>AND('4to. Bach_B'!#REF!,"AAAAAHPr//A=")</f>
        <v>#REF!</v>
      </c>
      <c r="IH20" t="e">
        <f>AND('4to. Bach_B'!#REF!,"AAAAAHPr//E=")</f>
        <v>#REF!</v>
      </c>
      <c r="II20" t="e">
        <f>AND('4to. Bach_B'!#REF!,"AAAAAHPr//I=")</f>
        <v>#REF!</v>
      </c>
      <c r="IJ20" t="e">
        <f>AND('4to. Bach_B'!#REF!,"AAAAAHPr//M=")</f>
        <v>#REF!</v>
      </c>
      <c r="IK20" t="e">
        <f>AND('4to. Bach_B'!#REF!,"AAAAAHPr//Q=")</f>
        <v>#REF!</v>
      </c>
      <c r="IL20" t="e">
        <f>AND('4to. Bach_B'!#REF!,"AAAAAHPr//U=")</f>
        <v>#REF!</v>
      </c>
      <c r="IM20" t="e">
        <f>AND('4to. Bach_B'!#REF!,"AAAAAHPr//Y=")</f>
        <v>#REF!</v>
      </c>
      <c r="IN20" t="e">
        <f>AND('4to. Bach_B'!#REF!,"AAAAAHPr//c=")</f>
        <v>#REF!</v>
      </c>
      <c r="IO20" t="e">
        <f>AND('4to. Bach_B'!#REF!,"AAAAAHPr//g=")</f>
        <v>#REF!</v>
      </c>
      <c r="IP20" t="e">
        <f>AND('4to. Bach_B'!#REF!,"AAAAAHPr//k=")</f>
        <v>#REF!</v>
      </c>
      <c r="IQ20" t="e">
        <f>AND('4to. Bach_B'!#REF!,"AAAAAHPr//o=")</f>
        <v>#REF!</v>
      </c>
      <c r="IR20" t="e">
        <f>AND('4to. Bach_B'!#REF!,"AAAAAHPr//s=")</f>
        <v>#REF!</v>
      </c>
      <c r="IS20" t="e">
        <f>AND('4to. Bach_B'!#REF!,"AAAAAHPr//w=")</f>
        <v>#REF!</v>
      </c>
      <c r="IT20" t="e">
        <f>AND('4to. Bach_B'!#REF!,"AAAAAHPr//0=")</f>
        <v>#REF!</v>
      </c>
      <c r="IU20" t="e">
        <f>IF('4to. Bach_B'!#REF!,"AAAAAHPr//4=",0)</f>
        <v>#REF!</v>
      </c>
      <c r="IV20" t="e">
        <f>AND('4to. Bach_B'!#REF!,"AAAAAHPr//8=")</f>
        <v>#REF!</v>
      </c>
    </row>
    <row r="21" spans="1:256">
      <c r="A21" t="e">
        <f>AND('4to. Bach_B'!#REF!,"AAAAADd+vwA=")</f>
        <v>#REF!</v>
      </c>
      <c r="B21" t="e">
        <f>AND('4to. Bach_B'!#REF!,"AAAAADd+vwE=")</f>
        <v>#REF!</v>
      </c>
      <c r="C21" t="e">
        <f>AND('4to. Bach_B'!#REF!,"AAAAADd+vwI=")</f>
        <v>#REF!</v>
      </c>
      <c r="D21" t="e">
        <f>AND('4to. Bach_B'!#REF!,"AAAAADd+vwM=")</f>
        <v>#REF!</v>
      </c>
      <c r="E21" t="e">
        <f>AND('4to. Bach_B'!#REF!,"AAAAADd+vwQ=")</f>
        <v>#REF!</v>
      </c>
      <c r="F21" t="e">
        <f>AND('4to. Bach_B'!#REF!,"AAAAADd+vwU=")</f>
        <v>#REF!</v>
      </c>
      <c r="G21" t="e">
        <f>AND('4to. Bach_B'!#REF!,"AAAAADd+vwY=")</f>
        <v>#REF!</v>
      </c>
      <c r="H21" t="e">
        <f>AND('4to. Bach_B'!#REF!,"AAAAADd+vwc=")</f>
        <v>#REF!</v>
      </c>
      <c r="I21" t="e">
        <f>AND('4to. Bach_B'!#REF!,"AAAAADd+vwg=")</f>
        <v>#REF!</v>
      </c>
      <c r="J21" t="e">
        <f>AND('4to. Bach_B'!#REF!,"AAAAADd+vwk=")</f>
        <v>#REF!</v>
      </c>
      <c r="K21" t="e">
        <f>AND('4to. Bach_B'!#REF!,"AAAAADd+vwo=")</f>
        <v>#REF!</v>
      </c>
      <c r="L21" t="e">
        <f>AND('4to. Bach_B'!#REF!,"AAAAADd+vws=")</f>
        <v>#REF!</v>
      </c>
      <c r="M21" t="e">
        <f>AND('4to. Bach_B'!#REF!,"AAAAADd+vww=")</f>
        <v>#REF!</v>
      </c>
      <c r="N21" t="e">
        <f>AND('4to. Bach_B'!#REF!,"AAAAADd+vw0=")</f>
        <v>#REF!</v>
      </c>
      <c r="O21" t="e">
        <f>AND('4to. Bach_B'!#REF!,"AAAAADd+vw4=")</f>
        <v>#REF!</v>
      </c>
      <c r="P21" t="e">
        <f>AND('4to. Bach_B'!#REF!,"AAAAADd+vw8=")</f>
        <v>#REF!</v>
      </c>
      <c r="Q21" t="e">
        <f>AND('4to. Bach_B'!#REF!,"AAAAADd+vxA=")</f>
        <v>#REF!</v>
      </c>
      <c r="R21" t="e">
        <f>AND('4to. Bach_B'!#REF!,"AAAAADd+vxE=")</f>
        <v>#REF!</v>
      </c>
      <c r="S21" t="e">
        <f>AND('4to. Bach_B'!#REF!,"AAAAADd+vxI=")</f>
        <v>#REF!</v>
      </c>
      <c r="T21" t="e">
        <f>AND('4to. Bach_B'!#REF!,"AAAAADd+vxM=")</f>
        <v>#REF!</v>
      </c>
      <c r="U21" t="e">
        <f>AND('4to. Bach_B'!#REF!,"AAAAADd+vxQ=")</f>
        <v>#REF!</v>
      </c>
      <c r="V21" t="e">
        <f>AND('4to. Bach_B'!#REF!,"AAAAADd+vxU=")</f>
        <v>#REF!</v>
      </c>
      <c r="W21" t="e">
        <f>AND('4to. Bach_B'!#REF!,"AAAAADd+vxY=")</f>
        <v>#REF!</v>
      </c>
      <c r="X21" t="e">
        <f>AND('4to. Bach_B'!#REF!,"AAAAADd+vxc=")</f>
        <v>#REF!</v>
      </c>
      <c r="Y21" t="e">
        <f>IF('4to. Bach_B'!#REF!,"AAAAADd+vxg=",0)</f>
        <v>#REF!</v>
      </c>
      <c r="Z21" t="e">
        <f>AND('4to. Bach_B'!#REF!,"AAAAADd+vxk=")</f>
        <v>#REF!</v>
      </c>
      <c r="AA21" t="e">
        <f>AND('4to. Bach_B'!#REF!,"AAAAADd+vxo=")</f>
        <v>#REF!</v>
      </c>
      <c r="AB21" t="e">
        <f>AND('4to. Bach_B'!#REF!,"AAAAADd+vxs=")</f>
        <v>#REF!</v>
      </c>
      <c r="AC21" t="e">
        <f>AND('4to. Bach_B'!#REF!,"AAAAADd+vxw=")</f>
        <v>#REF!</v>
      </c>
      <c r="AD21" t="e">
        <f>AND('4to. Bach_B'!#REF!,"AAAAADd+vx0=")</f>
        <v>#REF!</v>
      </c>
      <c r="AE21" t="e">
        <f>AND('4to. Bach_B'!#REF!,"AAAAADd+vx4=")</f>
        <v>#REF!</v>
      </c>
      <c r="AF21" t="e">
        <f>AND('4to. Bach_B'!#REF!,"AAAAADd+vx8=")</f>
        <v>#REF!</v>
      </c>
      <c r="AG21" t="e">
        <f>AND('4to. Bach_B'!#REF!,"AAAAADd+vyA=")</f>
        <v>#REF!</v>
      </c>
      <c r="AH21" t="e">
        <f>AND('4to. Bach_B'!#REF!,"AAAAADd+vyE=")</f>
        <v>#REF!</v>
      </c>
      <c r="AI21" t="e">
        <f>AND('4to. Bach_B'!#REF!,"AAAAADd+vyI=")</f>
        <v>#REF!</v>
      </c>
      <c r="AJ21" t="e">
        <f>AND('4to. Bach_B'!#REF!,"AAAAADd+vyM=")</f>
        <v>#REF!</v>
      </c>
      <c r="AK21" t="e">
        <f>AND('4to. Bach_B'!#REF!,"AAAAADd+vyQ=")</f>
        <v>#REF!</v>
      </c>
      <c r="AL21" t="e">
        <f>AND('4to. Bach_B'!#REF!,"AAAAADd+vyU=")</f>
        <v>#REF!</v>
      </c>
      <c r="AM21" t="e">
        <f>AND('4to. Bach_B'!#REF!,"AAAAADd+vyY=")</f>
        <v>#REF!</v>
      </c>
      <c r="AN21" t="e">
        <f>AND('4to. Bach_B'!#REF!,"AAAAADd+vyc=")</f>
        <v>#REF!</v>
      </c>
      <c r="AO21" t="e">
        <f>AND('4to. Bach_B'!#REF!,"AAAAADd+vyg=")</f>
        <v>#REF!</v>
      </c>
      <c r="AP21" t="e">
        <f>AND('4to. Bach_B'!#REF!,"AAAAADd+vyk=")</f>
        <v>#REF!</v>
      </c>
      <c r="AQ21" t="e">
        <f>AND('4to. Bach_B'!#REF!,"AAAAADd+vyo=")</f>
        <v>#REF!</v>
      </c>
      <c r="AR21" t="e">
        <f>AND('4to. Bach_B'!#REF!,"AAAAADd+vys=")</f>
        <v>#REF!</v>
      </c>
      <c r="AS21" t="e">
        <f>AND('4to. Bach_B'!#REF!,"AAAAADd+vyw=")</f>
        <v>#REF!</v>
      </c>
      <c r="AT21" t="e">
        <f>AND('4to. Bach_B'!#REF!,"AAAAADd+vy0=")</f>
        <v>#REF!</v>
      </c>
      <c r="AU21" t="e">
        <f>AND('4to. Bach_B'!#REF!,"AAAAADd+vy4=")</f>
        <v>#REF!</v>
      </c>
      <c r="AV21" t="e">
        <f>AND('4to. Bach_B'!#REF!,"AAAAADd+vy8=")</f>
        <v>#REF!</v>
      </c>
      <c r="AW21" t="e">
        <f>AND('4to. Bach_B'!#REF!,"AAAAADd+vzA=")</f>
        <v>#REF!</v>
      </c>
      <c r="AX21" t="e">
        <f>AND('4to. Bach_B'!#REF!,"AAAAADd+vzE=")</f>
        <v>#REF!</v>
      </c>
      <c r="AY21" t="e">
        <f>IF('4to. Bach_B'!#REF!,"AAAAADd+vzI=",0)</f>
        <v>#REF!</v>
      </c>
      <c r="AZ21" t="e">
        <f>AND('4to. Bach_B'!#REF!,"AAAAADd+vzM=")</f>
        <v>#REF!</v>
      </c>
      <c r="BA21" t="e">
        <f>AND('4to. Bach_B'!#REF!,"AAAAADd+vzQ=")</f>
        <v>#REF!</v>
      </c>
      <c r="BB21" t="e">
        <f>AND('4to. Bach_B'!#REF!,"AAAAADd+vzU=")</f>
        <v>#REF!</v>
      </c>
      <c r="BC21" t="e">
        <f>AND('4to. Bach_B'!#REF!,"AAAAADd+vzY=")</f>
        <v>#REF!</v>
      </c>
      <c r="BD21" t="e">
        <f>AND('4to. Bach_B'!#REF!,"AAAAADd+vzc=")</f>
        <v>#REF!</v>
      </c>
      <c r="BE21" t="e">
        <f>AND('4to. Bach_B'!#REF!,"AAAAADd+vzg=")</f>
        <v>#REF!</v>
      </c>
      <c r="BF21" t="e">
        <f>AND('4to. Bach_B'!#REF!,"AAAAADd+vzk=")</f>
        <v>#REF!</v>
      </c>
      <c r="BG21" t="e">
        <f>AND('4to. Bach_B'!#REF!,"AAAAADd+vzo=")</f>
        <v>#REF!</v>
      </c>
      <c r="BH21" t="e">
        <f>AND('4to. Bach_B'!#REF!,"AAAAADd+vzs=")</f>
        <v>#REF!</v>
      </c>
      <c r="BI21" t="e">
        <f>AND('4to. Bach_B'!#REF!,"AAAAADd+vzw=")</f>
        <v>#REF!</v>
      </c>
      <c r="BJ21" t="e">
        <f>AND('4to. Bach_B'!#REF!,"AAAAADd+vz0=")</f>
        <v>#REF!</v>
      </c>
      <c r="BK21" t="e">
        <f>AND('4to. Bach_B'!#REF!,"AAAAADd+vz4=")</f>
        <v>#REF!</v>
      </c>
      <c r="BL21" t="e">
        <f>AND('4to. Bach_B'!#REF!,"AAAAADd+vz8=")</f>
        <v>#REF!</v>
      </c>
      <c r="BM21" t="e">
        <f>AND('4to. Bach_B'!#REF!,"AAAAADd+v0A=")</f>
        <v>#REF!</v>
      </c>
      <c r="BN21" t="e">
        <f>AND('4to. Bach_B'!#REF!,"AAAAADd+v0E=")</f>
        <v>#REF!</v>
      </c>
      <c r="BO21" t="e">
        <f>AND('4to. Bach_B'!#REF!,"AAAAADd+v0I=")</f>
        <v>#REF!</v>
      </c>
      <c r="BP21" t="e">
        <f>AND('4to. Bach_B'!#REF!,"AAAAADd+v0M=")</f>
        <v>#REF!</v>
      </c>
      <c r="BQ21" t="e">
        <f>AND('4to. Bach_B'!#REF!,"AAAAADd+v0Q=")</f>
        <v>#REF!</v>
      </c>
      <c r="BR21" t="e">
        <f>AND('4to. Bach_B'!#REF!,"AAAAADd+v0U=")</f>
        <v>#REF!</v>
      </c>
      <c r="BS21" t="e">
        <f>AND('4to. Bach_B'!#REF!,"AAAAADd+v0Y=")</f>
        <v>#REF!</v>
      </c>
      <c r="BT21" t="e">
        <f>AND('4to. Bach_B'!#REF!,"AAAAADd+v0c=")</f>
        <v>#REF!</v>
      </c>
      <c r="BU21" t="e">
        <f>AND('4to. Bach_B'!#REF!,"AAAAADd+v0g=")</f>
        <v>#REF!</v>
      </c>
      <c r="BV21" t="e">
        <f>AND('4to. Bach_B'!#REF!,"AAAAADd+v0k=")</f>
        <v>#REF!</v>
      </c>
      <c r="BW21" t="e">
        <f>AND('4to. Bach_B'!#REF!,"AAAAADd+v0o=")</f>
        <v>#REF!</v>
      </c>
      <c r="BX21" t="e">
        <f>AND('4to. Bach_B'!#REF!,"AAAAADd+v0s=")</f>
        <v>#REF!</v>
      </c>
      <c r="BY21" t="e">
        <f>IF('4to. Bach_B'!#REF!,"AAAAADd+v0w=",0)</f>
        <v>#REF!</v>
      </c>
      <c r="BZ21" t="e">
        <f>AND('4to. Bach_B'!#REF!,"AAAAADd+v00=")</f>
        <v>#REF!</v>
      </c>
      <c r="CA21" t="e">
        <f>AND('4to. Bach_B'!#REF!,"AAAAADd+v04=")</f>
        <v>#REF!</v>
      </c>
      <c r="CB21" t="e">
        <f>AND('4to. Bach_B'!#REF!,"AAAAADd+v08=")</f>
        <v>#REF!</v>
      </c>
      <c r="CC21" t="e">
        <f>AND('4to. Bach_B'!#REF!,"AAAAADd+v1A=")</f>
        <v>#REF!</v>
      </c>
      <c r="CD21" t="e">
        <f>AND('4to. Bach_B'!#REF!,"AAAAADd+v1E=")</f>
        <v>#REF!</v>
      </c>
      <c r="CE21" t="e">
        <f>AND('4to. Bach_B'!#REF!,"AAAAADd+v1I=")</f>
        <v>#REF!</v>
      </c>
      <c r="CF21" t="e">
        <f>AND('4to. Bach_B'!#REF!,"AAAAADd+v1M=")</f>
        <v>#REF!</v>
      </c>
      <c r="CG21" t="e">
        <f>AND('4to. Bach_B'!#REF!,"AAAAADd+v1Q=")</f>
        <v>#REF!</v>
      </c>
      <c r="CH21" t="e">
        <f>AND('4to. Bach_B'!#REF!,"AAAAADd+v1U=")</f>
        <v>#REF!</v>
      </c>
      <c r="CI21" t="e">
        <f>AND('4to. Bach_B'!#REF!,"AAAAADd+v1Y=")</f>
        <v>#REF!</v>
      </c>
      <c r="CJ21" t="e">
        <f>AND('4to. Bach_B'!#REF!,"AAAAADd+v1c=")</f>
        <v>#REF!</v>
      </c>
      <c r="CK21" t="e">
        <f>AND('4to. Bach_B'!#REF!,"AAAAADd+v1g=")</f>
        <v>#REF!</v>
      </c>
      <c r="CL21" t="e">
        <f>AND('4to. Bach_B'!#REF!,"AAAAADd+v1k=")</f>
        <v>#REF!</v>
      </c>
      <c r="CM21" t="e">
        <f>AND('4to. Bach_B'!#REF!,"AAAAADd+v1o=")</f>
        <v>#REF!</v>
      </c>
      <c r="CN21" t="e">
        <f>AND('4to. Bach_B'!#REF!,"AAAAADd+v1s=")</f>
        <v>#REF!</v>
      </c>
      <c r="CO21" t="e">
        <f>AND('4to. Bach_B'!#REF!,"AAAAADd+v1w=")</f>
        <v>#REF!</v>
      </c>
      <c r="CP21" t="e">
        <f>AND('4to. Bach_B'!#REF!,"AAAAADd+v10=")</f>
        <v>#REF!</v>
      </c>
      <c r="CQ21" t="e">
        <f>AND('4to. Bach_B'!#REF!,"AAAAADd+v14=")</f>
        <v>#REF!</v>
      </c>
      <c r="CR21" t="e">
        <f>AND('4to. Bach_B'!#REF!,"AAAAADd+v18=")</f>
        <v>#REF!</v>
      </c>
      <c r="CS21" t="e">
        <f>AND('4to. Bach_B'!#REF!,"AAAAADd+v2A=")</f>
        <v>#REF!</v>
      </c>
      <c r="CT21" t="e">
        <f>AND('4to. Bach_B'!#REF!,"AAAAADd+v2E=")</f>
        <v>#REF!</v>
      </c>
      <c r="CU21" t="e">
        <f>AND('4to. Bach_B'!#REF!,"AAAAADd+v2I=")</f>
        <v>#REF!</v>
      </c>
      <c r="CV21" t="e">
        <f>AND('4to. Bach_B'!#REF!,"AAAAADd+v2M=")</f>
        <v>#REF!</v>
      </c>
      <c r="CW21" t="e">
        <f>AND('4to. Bach_B'!#REF!,"AAAAADd+v2Q=")</f>
        <v>#REF!</v>
      </c>
      <c r="CX21" t="e">
        <f>AND('4to. Bach_B'!#REF!,"AAAAADd+v2U=")</f>
        <v>#REF!</v>
      </c>
      <c r="CY21" t="e">
        <f>IF('4to. Bach_B'!#REF!,"AAAAADd+v2Y=",0)</f>
        <v>#REF!</v>
      </c>
      <c r="CZ21" t="e">
        <f>AND('4to. Bach_B'!#REF!,"AAAAADd+v2c=")</f>
        <v>#REF!</v>
      </c>
      <c r="DA21" t="e">
        <f>AND('4to. Bach_B'!#REF!,"AAAAADd+v2g=")</f>
        <v>#REF!</v>
      </c>
      <c r="DB21" t="e">
        <f>AND('4to. Bach_B'!#REF!,"AAAAADd+v2k=")</f>
        <v>#REF!</v>
      </c>
      <c r="DC21" t="e">
        <f>AND('4to. Bach_B'!#REF!,"AAAAADd+v2o=")</f>
        <v>#REF!</v>
      </c>
      <c r="DD21" t="e">
        <f>AND('4to. Bach_B'!#REF!,"AAAAADd+v2s=")</f>
        <v>#REF!</v>
      </c>
      <c r="DE21" t="e">
        <f>AND('4to. Bach_B'!#REF!,"AAAAADd+v2w=")</f>
        <v>#REF!</v>
      </c>
      <c r="DF21" t="e">
        <f>AND('4to. Bach_B'!#REF!,"AAAAADd+v20=")</f>
        <v>#REF!</v>
      </c>
      <c r="DG21" t="e">
        <f>AND('4to. Bach_B'!#REF!,"AAAAADd+v24=")</f>
        <v>#REF!</v>
      </c>
      <c r="DH21" t="e">
        <f>AND('4to. Bach_B'!#REF!,"AAAAADd+v28=")</f>
        <v>#REF!</v>
      </c>
      <c r="DI21" t="e">
        <f>AND('4to. Bach_B'!#REF!,"AAAAADd+v3A=")</f>
        <v>#REF!</v>
      </c>
      <c r="DJ21" t="e">
        <f>AND('4to. Bach_B'!#REF!,"AAAAADd+v3E=")</f>
        <v>#REF!</v>
      </c>
      <c r="DK21" t="e">
        <f>AND('4to. Bach_B'!#REF!,"AAAAADd+v3I=")</f>
        <v>#REF!</v>
      </c>
      <c r="DL21" t="e">
        <f>AND('4to. Bach_B'!#REF!,"AAAAADd+v3M=")</f>
        <v>#REF!</v>
      </c>
      <c r="DM21" t="e">
        <f>AND('4to. Bach_B'!#REF!,"AAAAADd+v3Q=")</f>
        <v>#REF!</v>
      </c>
      <c r="DN21" t="e">
        <f>AND('4to. Bach_B'!#REF!,"AAAAADd+v3U=")</f>
        <v>#REF!</v>
      </c>
      <c r="DO21" t="e">
        <f>AND('4to. Bach_B'!#REF!,"AAAAADd+v3Y=")</f>
        <v>#REF!</v>
      </c>
      <c r="DP21" t="e">
        <f>AND('4to. Bach_B'!#REF!,"AAAAADd+v3c=")</f>
        <v>#REF!</v>
      </c>
      <c r="DQ21" t="e">
        <f>AND('4to. Bach_B'!#REF!,"AAAAADd+v3g=")</f>
        <v>#REF!</v>
      </c>
      <c r="DR21" t="e">
        <f>AND('4to. Bach_B'!#REF!,"AAAAADd+v3k=")</f>
        <v>#REF!</v>
      </c>
      <c r="DS21" t="e">
        <f>AND('4to. Bach_B'!#REF!,"AAAAADd+v3o=")</f>
        <v>#REF!</v>
      </c>
      <c r="DT21" t="e">
        <f>AND('4to. Bach_B'!#REF!,"AAAAADd+v3s=")</f>
        <v>#REF!</v>
      </c>
      <c r="DU21" t="e">
        <f>AND('4to. Bach_B'!#REF!,"AAAAADd+v3w=")</f>
        <v>#REF!</v>
      </c>
      <c r="DV21" t="e">
        <f>AND('4to. Bach_B'!#REF!,"AAAAADd+v30=")</f>
        <v>#REF!</v>
      </c>
      <c r="DW21" t="e">
        <f>AND('4to. Bach_B'!#REF!,"AAAAADd+v34=")</f>
        <v>#REF!</v>
      </c>
      <c r="DX21" t="e">
        <f>AND('4to. Bach_B'!#REF!,"AAAAADd+v38=")</f>
        <v>#REF!</v>
      </c>
      <c r="DY21" t="e">
        <f>IF('4to. Bach_B'!#REF!,"AAAAADd+v4A=",0)</f>
        <v>#REF!</v>
      </c>
      <c r="DZ21" t="e">
        <f>AND('4to. Bach_B'!#REF!,"AAAAADd+v4E=")</f>
        <v>#REF!</v>
      </c>
      <c r="EA21" t="e">
        <f>AND('4to. Bach_B'!#REF!,"AAAAADd+v4I=")</f>
        <v>#REF!</v>
      </c>
      <c r="EB21" t="e">
        <f>AND('4to. Bach_B'!#REF!,"AAAAADd+v4M=")</f>
        <v>#REF!</v>
      </c>
      <c r="EC21" t="e">
        <f>AND('4to. Bach_B'!#REF!,"AAAAADd+v4Q=")</f>
        <v>#REF!</v>
      </c>
      <c r="ED21" t="e">
        <f>AND('4to. Bach_B'!#REF!,"AAAAADd+v4U=")</f>
        <v>#REF!</v>
      </c>
      <c r="EE21" t="e">
        <f>AND('4to. Bach_B'!#REF!,"AAAAADd+v4Y=")</f>
        <v>#REF!</v>
      </c>
      <c r="EF21" t="e">
        <f>AND('4to. Bach_B'!#REF!,"AAAAADd+v4c=")</f>
        <v>#REF!</v>
      </c>
      <c r="EG21" t="e">
        <f>AND('4to. Bach_B'!#REF!,"AAAAADd+v4g=")</f>
        <v>#REF!</v>
      </c>
      <c r="EH21" t="e">
        <f>AND('4to. Bach_B'!#REF!,"AAAAADd+v4k=")</f>
        <v>#REF!</v>
      </c>
      <c r="EI21" t="e">
        <f>AND('4to. Bach_B'!#REF!,"AAAAADd+v4o=")</f>
        <v>#REF!</v>
      </c>
      <c r="EJ21" t="e">
        <f>AND('4to. Bach_B'!#REF!,"AAAAADd+v4s=")</f>
        <v>#REF!</v>
      </c>
      <c r="EK21" t="e">
        <f>AND('4to. Bach_B'!#REF!,"AAAAADd+v4w=")</f>
        <v>#REF!</v>
      </c>
      <c r="EL21" t="e">
        <f>AND('4to. Bach_B'!#REF!,"AAAAADd+v40=")</f>
        <v>#REF!</v>
      </c>
      <c r="EM21" t="e">
        <f>AND('4to. Bach_B'!#REF!,"AAAAADd+v44=")</f>
        <v>#REF!</v>
      </c>
      <c r="EN21" t="e">
        <f>AND('4to. Bach_B'!#REF!,"AAAAADd+v48=")</f>
        <v>#REF!</v>
      </c>
      <c r="EO21" t="e">
        <f>AND('4to. Bach_B'!#REF!,"AAAAADd+v5A=")</f>
        <v>#REF!</v>
      </c>
      <c r="EP21" t="e">
        <f>AND('4to. Bach_B'!#REF!,"AAAAADd+v5E=")</f>
        <v>#REF!</v>
      </c>
      <c r="EQ21" t="e">
        <f>AND('4to. Bach_B'!#REF!,"AAAAADd+v5I=")</f>
        <v>#REF!</v>
      </c>
      <c r="ER21" t="e">
        <f>AND('4to. Bach_B'!#REF!,"AAAAADd+v5M=")</f>
        <v>#REF!</v>
      </c>
      <c r="ES21" t="e">
        <f>AND('4to. Bach_B'!#REF!,"AAAAADd+v5Q=")</f>
        <v>#REF!</v>
      </c>
      <c r="ET21" t="e">
        <f>AND('4to. Bach_B'!#REF!,"AAAAADd+v5U=")</f>
        <v>#REF!</v>
      </c>
      <c r="EU21" t="e">
        <f>AND('4to. Bach_B'!#REF!,"AAAAADd+v5Y=")</f>
        <v>#REF!</v>
      </c>
      <c r="EV21" t="e">
        <f>AND('4to. Bach_B'!#REF!,"AAAAADd+v5c=")</f>
        <v>#REF!</v>
      </c>
      <c r="EW21" t="e">
        <f>AND('4to. Bach_B'!#REF!,"AAAAADd+v5g=")</f>
        <v>#REF!</v>
      </c>
      <c r="EX21" t="e">
        <f>AND('4to. Bach_B'!#REF!,"AAAAADd+v5k=")</f>
        <v>#REF!</v>
      </c>
      <c r="EY21" t="e">
        <f>IF('4to. Bach_B'!A:A,"AAAAADd+v5o=",0)</f>
        <v>#VALUE!</v>
      </c>
      <c r="EZ21" t="e">
        <f>IF('4to. Bach_B'!B:B,"AAAAADd+v5s=",0)</f>
        <v>#VALUE!</v>
      </c>
      <c r="FA21" t="e">
        <f>IF('4to. Bach_B'!C:C,"AAAAADd+v5w=",0)</f>
        <v>#VALUE!</v>
      </c>
      <c r="FB21">
        <f>IF('4to. Bach_B'!D:D,"AAAAADd+v50=",0)</f>
        <v>0</v>
      </c>
      <c r="FC21">
        <f>IF('4to. Bach_B'!E:E,"AAAAADd+v54=",0)</f>
        <v>0</v>
      </c>
      <c r="FD21">
        <f>IF('4to. Bach_B'!F:F,"AAAAADd+v58=",0)</f>
        <v>0</v>
      </c>
      <c r="FE21">
        <f>IF('4to. Bach_B'!G:G,"AAAAADd+v6A=",0)</f>
        <v>0</v>
      </c>
      <c r="FF21">
        <f>IF('4to. Bach_B'!H:H,"AAAAADd+v6E=",0)</f>
        <v>0</v>
      </c>
      <c r="FG21">
        <f>IF('4to. Bach_B'!I:I,"AAAAADd+v6I=",0)</f>
        <v>0</v>
      </c>
      <c r="FH21">
        <f>IF('4to. Bach_B'!J:J,"AAAAADd+v6M=",0)</f>
        <v>0</v>
      </c>
      <c r="FI21">
        <f>IF('4to. Bach_B'!K:K,"AAAAADd+v6Q=",0)</f>
        <v>0</v>
      </c>
      <c r="FJ21">
        <f>IF('4to. Bach_B'!L:L,"AAAAADd+v6U=",0)</f>
        <v>0</v>
      </c>
      <c r="FK21">
        <f>IF('4to. Bach_B'!M:M,"AAAAADd+v6Y=",0)</f>
        <v>0</v>
      </c>
      <c r="FL21">
        <f>IF('4to. Bach_B'!N:N,"AAAAADd+v6c=",0)</f>
        <v>0</v>
      </c>
      <c r="FM21">
        <f>IF('4to. Bach_B'!O:O,"AAAAADd+v6g=",0)</f>
        <v>0</v>
      </c>
      <c r="FN21">
        <f>IF('4to. Bach_B'!P:P,"AAAAADd+v6k=",0)</f>
        <v>0</v>
      </c>
      <c r="FO21">
        <f>IF('4to. Bach_B'!Q:Q,"AAAAADd+v6o=",0)</f>
        <v>0</v>
      </c>
      <c r="FP21">
        <f>IF('4to. Bach_B'!R:R,"AAAAADd+v6s=",0)</f>
        <v>0</v>
      </c>
      <c r="FQ21">
        <f>IF('4to. Bach_B'!S:S,"AAAAADd+v6w=",0)</f>
        <v>0</v>
      </c>
      <c r="FR21">
        <f>IF('4to. Bach_B'!T:T,"AAAAADd+v60=",0)</f>
        <v>0</v>
      </c>
      <c r="FS21" t="e">
        <f>IF('4to. Bach_B'!#REF!,"AAAAADd+v64=",0)</f>
        <v>#REF!</v>
      </c>
      <c r="FT21" t="e">
        <f>IF('4to. Bach_B'!#REF!,"AAAAADd+v68=",0)</f>
        <v>#REF!</v>
      </c>
      <c r="FU21" t="e">
        <f>IF('4to. Bach_B'!#REF!,"AAAAADd+v7A=",0)</f>
        <v>#REF!</v>
      </c>
      <c r="FV21" t="e">
        <f>IF('4to. Bach_B'!#REF!,"AAAAADd+v7E=",0)</f>
        <v>#REF!</v>
      </c>
      <c r="FW21" t="e">
        <f>IF('4to. Bach_B'!#REF!,"AAAAADd+v7I=",0)</f>
        <v>#REF!</v>
      </c>
      <c r="FX21" t="e">
        <f>IF('4to. Perito_A'!#REF!,"AAAAADd+v7M=",0)</f>
        <v>#REF!</v>
      </c>
      <c r="FY21" t="e">
        <f>AND('4to. Perito_A'!#REF!,"AAAAADd+v7Q=")</f>
        <v>#REF!</v>
      </c>
      <c r="FZ21" t="e">
        <f>AND('4to. Perito_A'!#REF!,"AAAAADd+v7U=")</f>
        <v>#REF!</v>
      </c>
      <c r="GA21" t="e">
        <f>AND('4to. Perito_A'!#REF!,"AAAAADd+v7Y=")</f>
        <v>#REF!</v>
      </c>
      <c r="GB21" t="e">
        <f>AND('4to. Perito_A'!#REF!,"AAAAADd+v7c=")</f>
        <v>#REF!</v>
      </c>
      <c r="GC21" t="e">
        <f>AND('4to. Perito_A'!#REF!,"AAAAADd+v7g=")</f>
        <v>#REF!</v>
      </c>
      <c r="GD21" t="e">
        <f>AND('4to. Perito_A'!#REF!,"AAAAADd+v7k=")</f>
        <v>#REF!</v>
      </c>
      <c r="GE21" t="e">
        <f>AND('4to. Perito_A'!#REF!,"AAAAADd+v7o=")</f>
        <v>#REF!</v>
      </c>
      <c r="GF21" t="e">
        <f>AND('4to. Perito_A'!#REF!,"AAAAADd+v7s=")</f>
        <v>#REF!</v>
      </c>
      <c r="GG21" t="e">
        <f>AND('4to. Perito_A'!#REF!,"AAAAADd+v7w=")</f>
        <v>#REF!</v>
      </c>
      <c r="GH21" t="e">
        <f>AND('4to. Perito_A'!#REF!,"AAAAADd+v70=")</f>
        <v>#REF!</v>
      </c>
      <c r="GI21" t="e">
        <f>AND('4to. Perito_A'!#REF!,"AAAAADd+v74=")</f>
        <v>#REF!</v>
      </c>
      <c r="GJ21" t="e">
        <f>AND('4to. Perito_A'!#REF!,"AAAAADd+v78=")</f>
        <v>#REF!</v>
      </c>
      <c r="GK21" t="e">
        <f>AND('4to. Perito_A'!#REF!,"AAAAADd+v8A=")</f>
        <v>#REF!</v>
      </c>
      <c r="GL21" t="e">
        <f>AND('4to. Perito_A'!#REF!,"AAAAADd+v8E=")</f>
        <v>#REF!</v>
      </c>
      <c r="GM21" t="e">
        <f>AND('4to. Perito_A'!#REF!,"AAAAADd+v8I=")</f>
        <v>#REF!</v>
      </c>
      <c r="GN21" t="e">
        <f>AND('4to. Perito_A'!#REF!,"AAAAADd+v8M=")</f>
        <v>#REF!</v>
      </c>
      <c r="GO21" t="e">
        <f>AND('4to. Perito_A'!#REF!,"AAAAADd+v8Q=")</f>
        <v>#REF!</v>
      </c>
      <c r="GP21" t="e">
        <f>AND('4to. Perito_A'!#REF!,"AAAAADd+v8U=")</f>
        <v>#REF!</v>
      </c>
      <c r="GQ21" t="e">
        <f>AND('4to. Perito_A'!#REF!,"AAAAADd+v8Y=")</f>
        <v>#REF!</v>
      </c>
      <c r="GR21" t="e">
        <f>AND('4to. Perito_A'!#REF!,"AAAAADd+v8c=")</f>
        <v>#REF!</v>
      </c>
      <c r="GS21" t="e">
        <f>AND('4to. Perito_A'!#REF!,"AAAAADd+v8g=")</f>
        <v>#REF!</v>
      </c>
      <c r="GT21" t="e">
        <f>AND('4to. Perito_A'!#REF!,"AAAAADd+v8k=")</f>
        <v>#REF!</v>
      </c>
      <c r="GU21" t="e">
        <f>AND('4to. Perito_A'!#REF!,"AAAAADd+v8o=")</f>
        <v>#REF!</v>
      </c>
      <c r="GV21" t="e">
        <f>AND('4to. Perito_A'!#REF!,"AAAAADd+v8s=")</f>
        <v>#REF!</v>
      </c>
      <c r="GW21" t="e">
        <f>AND('4to. Perito_A'!#REF!,"AAAAADd+v8w=")</f>
        <v>#REF!</v>
      </c>
      <c r="GX21" t="e">
        <f>IF('4to. Perito_A'!#REF!,"AAAAADd+v80=",0)</f>
        <v>#REF!</v>
      </c>
      <c r="GY21" t="e">
        <f>AND('4to. Perito_A'!#REF!,"AAAAADd+v84=")</f>
        <v>#REF!</v>
      </c>
      <c r="GZ21" t="e">
        <f>AND('4to. Perito_A'!#REF!,"AAAAADd+v88=")</f>
        <v>#REF!</v>
      </c>
      <c r="HA21" t="e">
        <f>AND('4to. Perito_A'!#REF!,"AAAAADd+v9A=")</f>
        <v>#REF!</v>
      </c>
      <c r="HB21" t="e">
        <f>AND('4to. Perito_A'!#REF!,"AAAAADd+v9E=")</f>
        <v>#REF!</v>
      </c>
      <c r="HC21" t="e">
        <f>AND('4to. Perito_A'!#REF!,"AAAAADd+v9I=")</f>
        <v>#REF!</v>
      </c>
      <c r="HD21" t="e">
        <f>AND('4to. Perito_A'!#REF!,"AAAAADd+v9M=")</f>
        <v>#REF!</v>
      </c>
      <c r="HE21" t="e">
        <f>AND('4to. Perito_A'!#REF!,"AAAAADd+v9Q=")</f>
        <v>#REF!</v>
      </c>
      <c r="HF21" t="e">
        <f>AND('4to. Perito_A'!#REF!,"AAAAADd+v9U=")</f>
        <v>#REF!</v>
      </c>
      <c r="HG21" t="e">
        <f>AND('4to. Perito_A'!#REF!,"AAAAADd+v9Y=")</f>
        <v>#REF!</v>
      </c>
      <c r="HH21" t="e">
        <f>AND('4to. Perito_A'!#REF!,"AAAAADd+v9c=")</f>
        <v>#REF!</v>
      </c>
      <c r="HI21" t="e">
        <f>AND('4to. Perito_A'!#REF!,"AAAAADd+v9g=")</f>
        <v>#REF!</v>
      </c>
      <c r="HJ21" t="e">
        <f>AND('4to. Perito_A'!#REF!,"AAAAADd+v9k=")</f>
        <v>#REF!</v>
      </c>
      <c r="HK21" t="e">
        <f>AND('4to. Perito_A'!#REF!,"AAAAADd+v9o=")</f>
        <v>#REF!</v>
      </c>
      <c r="HL21" t="e">
        <f>AND('4to. Perito_A'!#REF!,"AAAAADd+v9s=")</f>
        <v>#REF!</v>
      </c>
      <c r="HM21" t="e">
        <f>AND('4to. Perito_A'!#REF!,"AAAAADd+v9w=")</f>
        <v>#REF!</v>
      </c>
      <c r="HN21" t="e">
        <f>AND('4to. Perito_A'!#REF!,"AAAAADd+v90=")</f>
        <v>#REF!</v>
      </c>
      <c r="HO21" t="e">
        <f>AND('4to. Perito_A'!#REF!,"AAAAADd+v94=")</f>
        <v>#REF!</v>
      </c>
      <c r="HP21" t="e">
        <f>AND('4to. Perito_A'!#REF!,"AAAAADd+v98=")</f>
        <v>#REF!</v>
      </c>
      <c r="HQ21" t="e">
        <f>AND('4to. Perito_A'!#REF!,"AAAAADd+v+A=")</f>
        <v>#REF!</v>
      </c>
      <c r="HR21" t="e">
        <f>AND('4to. Perito_A'!#REF!,"AAAAADd+v+E=")</f>
        <v>#REF!</v>
      </c>
      <c r="HS21" t="e">
        <f>AND('4to. Perito_A'!#REF!,"AAAAADd+v+I=")</f>
        <v>#REF!</v>
      </c>
      <c r="HT21" t="e">
        <f>AND('4to. Perito_A'!#REF!,"AAAAADd+v+M=")</f>
        <v>#REF!</v>
      </c>
      <c r="HU21" t="e">
        <f>AND('4to. Perito_A'!#REF!,"AAAAADd+v+Q=")</f>
        <v>#REF!</v>
      </c>
      <c r="HV21" t="e">
        <f>AND('4to. Perito_A'!#REF!,"AAAAADd+v+U=")</f>
        <v>#REF!</v>
      </c>
      <c r="HW21" t="e">
        <f>AND('4to. Perito_A'!#REF!,"AAAAADd+v+Y=")</f>
        <v>#REF!</v>
      </c>
      <c r="HX21" t="e">
        <f>IF('4to. Perito_A'!#REF!,"AAAAADd+v+c=",0)</f>
        <v>#REF!</v>
      </c>
      <c r="HY21" t="e">
        <f>AND('4to. Perito_A'!#REF!,"AAAAADd+v+g=")</f>
        <v>#REF!</v>
      </c>
      <c r="HZ21" t="e">
        <f>AND('4to. Perito_A'!#REF!,"AAAAADd+v+k=")</f>
        <v>#REF!</v>
      </c>
      <c r="IA21" t="e">
        <f>AND('4to. Perito_A'!#REF!,"AAAAADd+v+o=")</f>
        <v>#REF!</v>
      </c>
      <c r="IB21" t="e">
        <f>AND('4to. Perito_A'!#REF!,"AAAAADd+v+s=")</f>
        <v>#REF!</v>
      </c>
      <c r="IC21" t="e">
        <f>AND('4to. Perito_A'!#REF!,"AAAAADd+v+w=")</f>
        <v>#REF!</v>
      </c>
      <c r="ID21" t="e">
        <f>AND('4to. Perito_A'!#REF!,"AAAAADd+v+0=")</f>
        <v>#REF!</v>
      </c>
      <c r="IE21" t="e">
        <f>AND('4to. Perito_A'!#REF!,"AAAAADd+v+4=")</f>
        <v>#REF!</v>
      </c>
      <c r="IF21" t="e">
        <f>AND('4to. Perito_A'!#REF!,"AAAAADd+v+8=")</f>
        <v>#REF!</v>
      </c>
      <c r="IG21" t="e">
        <f>AND('4to. Perito_A'!#REF!,"AAAAADd+v/A=")</f>
        <v>#REF!</v>
      </c>
      <c r="IH21" t="e">
        <f>AND('4to. Perito_A'!#REF!,"AAAAADd+v/E=")</f>
        <v>#REF!</v>
      </c>
      <c r="II21" t="e">
        <f>AND('4to. Perito_A'!#REF!,"AAAAADd+v/I=")</f>
        <v>#REF!</v>
      </c>
      <c r="IJ21" t="e">
        <f>AND('4to. Perito_A'!#REF!,"AAAAADd+v/M=")</f>
        <v>#REF!</v>
      </c>
      <c r="IK21" t="e">
        <f>AND('4to. Perito_A'!#REF!,"AAAAADd+v/Q=")</f>
        <v>#REF!</v>
      </c>
      <c r="IL21" t="e">
        <f>AND('4to. Perito_A'!#REF!,"AAAAADd+v/U=")</f>
        <v>#REF!</v>
      </c>
      <c r="IM21" t="e">
        <f>AND('4to. Perito_A'!#REF!,"AAAAADd+v/Y=")</f>
        <v>#REF!</v>
      </c>
      <c r="IN21" t="e">
        <f>AND('4to. Perito_A'!#REF!,"AAAAADd+v/c=")</f>
        <v>#REF!</v>
      </c>
      <c r="IO21" t="e">
        <f>AND('4to. Perito_A'!#REF!,"AAAAADd+v/g=")</f>
        <v>#REF!</v>
      </c>
      <c r="IP21" t="e">
        <f>AND('4to. Perito_A'!#REF!,"AAAAADd+v/k=")</f>
        <v>#REF!</v>
      </c>
      <c r="IQ21" t="e">
        <f>AND('4to. Perito_A'!#REF!,"AAAAADd+v/o=")</f>
        <v>#REF!</v>
      </c>
      <c r="IR21" t="e">
        <f>AND('4to. Perito_A'!#REF!,"AAAAADd+v/s=")</f>
        <v>#REF!</v>
      </c>
      <c r="IS21" t="e">
        <f>AND('4to. Perito_A'!#REF!,"AAAAADd+v/w=")</f>
        <v>#REF!</v>
      </c>
      <c r="IT21" t="e">
        <f>AND('4to. Perito_A'!#REF!,"AAAAADd+v/0=")</f>
        <v>#REF!</v>
      </c>
      <c r="IU21" t="e">
        <f>AND('4to. Perito_A'!#REF!,"AAAAADd+v/4=")</f>
        <v>#REF!</v>
      </c>
      <c r="IV21" t="e">
        <f>AND('4to. Perito_A'!#REF!,"AAAAADd+v/8=")</f>
        <v>#REF!</v>
      </c>
    </row>
    <row r="22" spans="1:256">
      <c r="A22" t="e">
        <f>AND('4to. Perito_A'!#REF!,"AAAAAH7/XwA=")</f>
        <v>#REF!</v>
      </c>
      <c r="B22" t="e">
        <f>IF('4to. Perito_A'!#REF!,"AAAAAH7/XwE=",0)</f>
        <v>#REF!</v>
      </c>
      <c r="C22" t="e">
        <f>AND('4to. Perito_A'!#REF!,"AAAAAH7/XwI=")</f>
        <v>#REF!</v>
      </c>
      <c r="D22" t="e">
        <f>AND('4to. Perito_A'!#REF!,"AAAAAH7/XwM=")</f>
        <v>#REF!</v>
      </c>
      <c r="E22" t="e">
        <f>AND('4to. Perito_A'!#REF!,"AAAAAH7/XwQ=")</f>
        <v>#REF!</v>
      </c>
      <c r="F22" t="e">
        <f>AND('4to. Perito_A'!#REF!,"AAAAAH7/XwU=")</f>
        <v>#REF!</v>
      </c>
      <c r="G22" t="e">
        <f>AND('4to. Perito_A'!#REF!,"AAAAAH7/XwY=")</f>
        <v>#REF!</v>
      </c>
      <c r="H22" t="e">
        <f>AND('4to. Perito_A'!#REF!,"AAAAAH7/Xwc=")</f>
        <v>#REF!</v>
      </c>
      <c r="I22" t="e">
        <f>AND('4to. Perito_A'!#REF!,"AAAAAH7/Xwg=")</f>
        <v>#REF!</v>
      </c>
      <c r="J22" t="e">
        <f>AND('4to. Perito_A'!#REF!,"AAAAAH7/Xwk=")</f>
        <v>#REF!</v>
      </c>
      <c r="K22" t="e">
        <f>AND('4to. Perito_A'!#REF!,"AAAAAH7/Xwo=")</f>
        <v>#REF!</v>
      </c>
      <c r="L22" t="e">
        <f>AND('4to. Perito_A'!#REF!,"AAAAAH7/Xws=")</f>
        <v>#REF!</v>
      </c>
      <c r="M22" t="e">
        <f>AND('4to. Perito_A'!#REF!,"AAAAAH7/Xww=")</f>
        <v>#REF!</v>
      </c>
      <c r="N22" t="e">
        <f>AND('4to. Perito_A'!#REF!,"AAAAAH7/Xw0=")</f>
        <v>#REF!</v>
      </c>
      <c r="O22" t="e">
        <f>AND('4to. Perito_A'!#REF!,"AAAAAH7/Xw4=")</f>
        <v>#REF!</v>
      </c>
      <c r="P22" t="e">
        <f>AND('4to. Perito_A'!#REF!,"AAAAAH7/Xw8=")</f>
        <v>#REF!</v>
      </c>
      <c r="Q22" t="e">
        <f>AND('4to. Perito_A'!#REF!,"AAAAAH7/XxA=")</f>
        <v>#REF!</v>
      </c>
      <c r="R22" t="e">
        <f>AND('4to. Perito_A'!#REF!,"AAAAAH7/XxE=")</f>
        <v>#REF!</v>
      </c>
      <c r="S22" t="e">
        <f>AND('4to. Perito_A'!#REF!,"AAAAAH7/XxI=")</f>
        <v>#REF!</v>
      </c>
      <c r="T22" t="e">
        <f>AND('4to. Perito_A'!#REF!,"AAAAAH7/XxM=")</f>
        <v>#REF!</v>
      </c>
      <c r="U22" t="e">
        <f>AND('4to. Perito_A'!#REF!,"AAAAAH7/XxQ=")</f>
        <v>#REF!</v>
      </c>
      <c r="V22" t="e">
        <f>AND('4to. Perito_A'!#REF!,"AAAAAH7/XxU=")</f>
        <v>#REF!</v>
      </c>
      <c r="W22" t="e">
        <f>AND('4to. Perito_A'!#REF!,"AAAAAH7/XxY=")</f>
        <v>#REF!</v>
      </c>
      <c r="X22" t="e">
        <f>AND('4to. Perito_A'!#REF!,"AAAAAH7/Xxc=")</f>
        <v>#REF!</v>
      </c>
      <c r="Y22" t="e">
        <f>AND('4to. Perito_A'!#REF!,"AAAAAH7/Xxg=")</f>
        <v>#REF!</v>
      </c>
      <c r="Z22" t="e">
        <f>AND('4to. Perito_A'!#REF!,"AAAAAH7/Xxk=")</f>
        <v>#REF!</v>
      </c>
      <c r="AA22" t="e">
        <f>AND('4to. Perito_A'!#REF!,"AAAAAH7/Xxo=")</f>
        <v>#REF!</v>
      </c>
      <c r="AB22">
        <f>IF('4to. Perito_A'!2:2,"AAAAAH7/Xxs=",0)</f>
        <v>0</v>
      </c>
      <c r="AC22" t="e">
        <f>AND('4to. Perito_A'!A2,"AAAAAH7/Xxw=")</f>
        <v>#VALUE!</v>
      </c>
      <c r="AD22" t="e">
        <f>AND('4to. Perito_A'!B2,"AAAAAH7/Xx0=")</f>
        <v>#VALUE!</v>
      </c>
      <c r="AE22" t="e">
        <f>AND('4to. Perito_A'!C2,"AAAAAH7/Xx4=")</f>
        <v>#VALUE!</v>
      </c>
      <c r="AF22" t="e">
        <f>AND('4to. Perito_A'!D2,"AAAAAH7/Xx8=")</f>
        <v>#VALUE!</v>
      </c>
      <c r="AG22" t="e">
        <f>AND('4to. Perito_A'!E2,"AAAAAH7/XyA=")</f>
        <v>#VALUE!</v>
      </c>
      <c r="AH22" t="e">
        <f>AND('4to. Perito_A'!F2,"AAAAAH7/XyE=")</f>
        <v>#VALUE!</v>
      </c>
      <c r="AI22" t="e">
        <f>AND('4to. Perito_A'!G2,"AAAAAH7/XyI=")</f>
        <v>#VALUE!</v>
      </c>
      <c r="AJ22" t="e">
        <f>AND('4to. Perito_A'!H2,"AAAAAH7/XyM=")</f>
        <v>#VALUE!</v>
      </c>
      <c r="AK22" t="e">
        <f>AND('4to. Perito_A'!I2,"AAAAAH7/XyQ=")</f>
        <v>#VALUE!</v>
      </c>
      <c r="AL22" t="e">
        <f>AND('4to. Perito_A'!J2,"AAAAAH7/XyU=")</f>
        <v>#VALUE!</v>
      </c>
      <c r="AM22" t="e">
        <f>AND('4to. Perito_A'!K2,"AAAAAH7/XyY=")</f>
        <v>#VALUE!</v>
      </c>
      <c r="AN22" t="e">
        <f>AND('4to. Perito_A'!L2,"AAAAAH7/Xyc=")</f>
        <v>#VALUE!</v>
      </c>
      <c r="AO22" t="e">
        <f>AND('4to. Perito_A'!M2,"AAAAAH7/Xyg=")</f>
        <v>#VALUE!</v>
      </c>
      <c r="AP22" t="e">
        <f>AND('4to. Perito_A'!N2,"AAAAAH7/Xyk=")</f>
        <v>#VALUE!</v>
      </c>
      <c r="AQ22" t="e">
        <f>AND('4to. Perito_A'!O2,"AAAAAH7/Xyo=")</f>
        <v>#VALUE!</v>
      </c>
      <c r="AR22" t="e">
        <f>AND('4to. Perito_A'!P2,"AAAAAH7/Xys=")</f>
        <v>#VALUE!</v>
      </c>
      <c r="AS22" t="e">
        <f>AND('4to. Perito_A'!Q2,"AAAAAH7/Xyw=")</f>
        <v>#VALUE!</v>
      </c>
      <c r="AT22" t="e">
        <f>AND('4to. Perito_A'!R2,"AAAAAH7/Xy0=")</f>
        <v>#VALUE!</v>
      </c>
      <c r="AU22" t="e">
        <f>AND('4to. Perito_A'!S2,"AAAAAH7/Xy4=")</f>
        <v>#VALUE!</v>
      </c>
      <c r="AV22" t="e">
        <f>AND('4to. Perito_A'!T2,"AAAAAH7/Xy8=")</f>
        <v>#VALUE!</v>
      </c>
      <c r="AW22" t="e">
        <f>AND('4to. Perito_A'!#REF!,"AAAAAH7/XzA=")</f>
        <v>#REF!</v>
      </c>
      <c r="AX22" t="e">
        <f>AND('4to. Perito_A'!#REF!,"AAAAAH7/XzE=")</f>
        <v>#REF!</v>
      </c>
      <c r="AY22" t="e">
        <f>AND('4to. Perito_A'!#REF!,"AAAAAH7/XzI=")</f>
        <v>#REF!</v>
      </c>
      <c r="AZ22" t="e">
        <f>AND('4to. Perito_A'!#REF!,"AAAAAH7/XzM=")</f>
        <v>#REF!</v>
      </c>
      <c r="BA22" t="e">
        <f>AND('4to. Perito_A'!#REF!,"AAAAAH7/XzQ=")</f>
        <v>#REF!</v>
      </c>
      <c r="BB22">
        <f>IF('4to. Perito_A'!3:3,"AAAAAH7/XzU=",0)</f>
        <v>0</v>
      </c>
      <c r="BC22" t="e">
        <f>AND('4to. Perito_A'!A3,"AAAAAH7/XzY=")</f>
        <v>#VALUE!</v>
      </c>
      <c r="BD22" t="e">
        <f>AND('4to. Perito_A'!B3,"AAAAAH7/Xzc=")</f>
        <v>#VALUE!</v>
      </c>
      <c r="BE22" t="e">
        <f>AND('4to. Perito_A'!C3,"AAAAAH7/Xzg=")</f>
        <v>#VALUE!</v>
      </c>
      <c r="BF22" t="e">
        <f>AND('4to. Perito_A'!D3,"AAAAAH7/Xzk=")</f>
        <v>#VALUE!</v>
      </c>
      <c r="BG22" t="e">
        <f>AND('4to. Perito_A'!E3,"AAAAAH7/Xzo=")</f>
        <v>#VALUE!</v>
      </c>
      <c r="BH22" t="e">
        <f>AND('4to. Perito_A'!F3,"AAAAAH7/Xzs=")</f>
        <v>#VALUE!</v>
      </c>
      <c r="BI22" t="e">
        <f>AND('4to. Perito_A'!G3,"AAAAAH7/Xzw=")</f>
        <v>#VALUE!</v>
      </c>
      <c r="BJ22" t="e">
        <f>AND('4to. Perito_A'!H3,"AAAAAH7/Xz0=")</f>
        <v>#VALUE!</v>
      </c>
      <c r="BK22" t="e">
        <f>AND('4to. Perito_A'!I3,"AAAAAH7/Xz4=")</f>
        <v>#VALUE!</v>
      </c>
      <c r="BL22" t="e">
        <f>AND('4to. Perito_A'!J3,"AAAAAH7/Xz8=")</f>
        <v>#VALUE!</v>
      </c>
      <c r="BM22" t="e">
        <f>AND('4to. Perito_A'!K3,"AAAAAH7/X0A=")</f>
        <v>#VALUE!</v>
      </c>
      <c r="BN22" t="e">
        <f>AND('4to. Perito_A'!L3,"AAAAAH7/X0E=")</f>
        <v>#VALUE!</v>
      </c>
      <c r="BO22" t="e">
        <f>AND('4to. Perito_A'!M3,"AAAAAH7/X0I=")</f>
        <v>#VALUE!</v>
      </c>
      <c r="BP22" t="e">
        <f>AND('4to. Perito_A'!N3,"AAAAAH7/X0M=")</f>
        <v>#VALUE!</v>
      </c>
      <c r="BQ22" t="e">
        <f>AND('4to. Perito_A'!O3,"AAAAAH7/X0Q=")</f>
        <v>#VALUE!</v>
      </c>
      <c r="BR22" t="e">
        <f>AND('4to. Perito_A'!P3,"AAAAAH7/X0U=")</f>
        <v>#VALUE!</v>
      </c>
      <c r="BS22" t="e">
        <f>AND('4to. Perito_A'!Q3,"AAAAAH7/X0Y=")</f>
        <v>#VALUE!</v>
      </c>
      <c r="BT22" t="e">
        <f>AND('4to. Perito_A'!R3,"AAAAAH7/X0c=")</f>
        <v>#VALUE!</v>
      </c>
      <c r="BU22" t="e">
        <f>AND('4to. Perito_A'!S3,"AAAAAH7/X0g=")</f>
        <v>#VALUE!</v>
      </c>
      <c r="BV22" t="e">
        <f>AND('4to. Perito_A'!T3,"AAAAAH7/X0k=")</f>
        <v>#VALUE!</v>
      </c>
      <c r="BW22" t="e">
        <f>AND('4to. Perito_A'!#REF!,"AAAAAH7/X0o=")</f>
        <v>#REF!</v>
      </c>
      <c r="BX22" t="e">
        <f>AND('4to. Perito_A'!#REF!,"AAAAAH7/X0s=")</f>
        <v>#REF!</v>
      </c>
      <c r="BY22" t="e">
        <f>AND('4to. Perito_A'!#REF!,"AAAAAH7/X0w=")</f>
        <v>#REF!</v>
      </c>
      <c r="BZ22" t="e">
        <f>AND('4to. Perito_A'!#REF!,"AAAAAH7/X00=")</f>
        <v>#REF!</v>
      </c>
      <c r="CA22" t="e">
        <f>AND('4to. Perito_A'!#REF!,"AAAAAH7/X04=")</f>
        <v>#REF!</v>
      </c>
      <c r="CB22">
        <f>IF('4to. Perito_A'!4:4,"AAAAAH7/X08=",0)</f>
        <v>0</v>
      </c>
      <c r="CC22" t="e">
        <f>AND('4to. Perito_A'!A4,"AAAAAH7/X1A=")</f>
        <v>#VALUE!</v>
      </c>
      <c r="CD22" t="e">
        <f>AND('4to. Perito_A'!B4,"AAAAAH7/X1E=")</f>
        <v>#VALUE!</v>
      </c>
      <c r="CE22" t="e">
        <f>AND('4to. Perito_A'!C4,"AAAAAH7/X1I=")</f>
        <v>#VALUE!</v>
      </c>
      <c r="CF22" t="e">
        <f>AND('4to. Perito_A'!D4,"AAAAAH7/X1M=")</f>
        <v>#VALUE!</v>
      </c>
      <c r="CG22" t="e">
        <f>AND('4to. Perito_A'!E4,"AAAAAH7/X1Q=")</f>
        <v>#VALUE!</v>
      </c>
      <c r="CH22" t="e">
        <f>AND('4to. Perito_A'!F4,"AAAAAH7/X1U=")</f>
        <v>#VALUE!</v>
      </c>
      <c r="CI22" t="e">
        <f>AND('4to. Perito_A'!G4,"AAAAAH7/X1Y=")</f>
        <v>#VALUE!</v>
      </c>
      <c r="CJ22" t="e">
        <f>AND('4to. Perito_A'!H4,"AAAAAH7/X1c=")</f>
        <v>#VALUE!</v>
      </c>
      <c r="CK22" t="e">
        <f>AND('4to. Perito_A'!I4,"AAAAAH7/X1g=")</f>
        <v>#VALUE!</v>
      </c>
      <c r="CL22" t="e">
        <f>AND('4to. Perito_A'!J4,"AAAAAH7/X1k=")</f>
        <v>#VALUE!</v>
      </c>
      <c r="CM22" t="e">
        <f>AND('4to. Perito_A'!K4,"AAAAAH7/X1o=")</f>
        <v>#VALUE!</v>
      </c>
      <c r="CN22" t="e">
        <f>AND('4to. Perito_A'!L4,"AAAAAH7/X1s=")</f>
        <v>#VALUE!</v>
      </c>
      <c r="CO22" t="e">
        <f>AND('4to. Perito_A'!M4,"AAAAAH7/X1w=")</f>
        <v>#VALUE!</v>
      </c>
      <c r="CP22" t="e">
        <f>AND('4to. Perito_A'!N4,"AAAAAH7/X10=")</f>
        <v>#VALUE!</v>
      </c>
      <c r="CQ22" t="e">
        <f>AND('4to. Perito_A'!O4,"AAAAAH7/X14=")</f>
        <v>#VALUE!</v>
      </c>
      <c r="CR22" t="e">
        <f>AND('4to. Perito_A'!P4,"AAAAAH7/X18=")</f>
        <v>#VALUE!</v>
      </c>
      <c r="CS22" t="e">
        <f>AND('4to. Perito_A'!Q4,"AAAAAH7/X2A=")</f>
        <v>#VALUE!</v>
      </c>
      <c r="CT22" t="e">
        <f>AND('4to. Perito_A'!R4,"AAAAAH7/X2E=")</f>
        <v>#VALUE!</v>
      </c>
      <c r="CU22" t="e">
        <f>AND('4to. Perito_A'!S4,"AAAAAH7/X2I=")</f>
        <v>#VALUE!</v>
      </c>
      <c r="CV22" t="e">
        <f>AND('4to. Perito_A'!T4,"AAAAAH7/X2M=")</f>
        <v>#VALUE!</v>
      </c>
      <c r="CW22" t="e">
        <f>AND('4to. Perito_A'!#REF!,"AAAAAH7/X2Q=")</f>
        <v>#REF!</v>
      </c>
      <c r="CX22" t="e">
        <f>AND('4to. Perito_A'!#REF!,"AAAAAH7/X2U=")</f>
        <v>#REF!</v>
      </c>
      <c r="CY22" t="e">
        <f>AND('4to. Perito_A'!#REF!,"AAAAAH7/X2Y=")</f>
        <v>#REF!</v>
      </c>
      <c r="CZ22" t="e">
        <f>AND('4to. Perito_A'!#REF!,"AAAAAH7/X2c=")</f>
        <v>#REF!</v>
      </c>
      <c r="DA22" t="e">
        <f>AND('4to. Perito_A'!#REF!,"AAAAAH7/X2g=")</f>
        <v>#REF!</v>
      </c>
      <c r="DB22">
        <f>IF('4to. Perito_A'!5:5,"AAAAAH7/X2k=",0)</f>
        <v>0</v>
      </c>
      <c r="DC22" t="e">
        <f>AND('4to. Perito_A'!A5,"AAAAAH7/X2o=")</f>
        <v>#VALUE!</v>
      </c>
      <c r="DD22" t="e">
        <f>AND('4to. Perito_A'!B5,"AAAAAH7/X2s=")</f>
        <v>#VALUE!</v>
      </c>
      <c r="DE22" t="e">
        <f>AND('4to. Perito_A'!C5,"AAAAAH7/X2w=")</f>
        <v>#VALUE!</v>
      </c>
      <c r="DF22" t="e">
        <f>AND('4to. Perito_A'!D5,"AAAAAH7/X20=")</f>
        <v>#VALUE!</v>
      </c>
      <c r="DG22" t="e">
        <f>AND('4to. Perito_A'!E5,"AAAAAH7/X24=")</f>
        <v>#VALUE!</v>
      </c>
      <c r="DH22" t="e">
        <f>AND('4to. Perito_A'!F5,"AAAAAH7/X28=")</f>
        <v>#VALUE!</v>
      </c>
      <c r="DI22" t="e">
        <f>AND('4to. Perito_A'!G5,"AAAAAH7/X3A=")</f>
        <v>#VALUE!</v>
      </c>
      <c r="DJ22" t="e">
        <f>AND('4to. Perito_A'!H5,"AAAAAH7/X3E=")</f>
        <v>#VALUE!</v>
      </c>
      <c r="DK22" t="e">
        <f>AND('4to. Perito_A'!I5,"AAAAAH7/X3I=")</f>
        <v>#VALUE!</v>
      </c>
      <c r="DL22" t="e">
        <f>AND('4to. Perito_A'!J5,"AAAAAH7/X3M=")</f>
        <v>#VALUE!</v>
      </c>
      <c r="DM22" t="e">
        <f>AND('4to. Perito_A'!K5,"AAAAAH7/X3Q=")</f>
        <v>#VALUE!</v>
      </c>
      <c r="DN22" t="e">
        <f>AND('4to. Perito_A'!L5,"AAAAAH7/X3U=")</f>
        <v>#VALUE!</v>
      </c>
      <c r="DO22" t="e">
        <f>AND('4to. Perito_A'!M5,"AAAAAH7/X3Y=")</f>
        <v>#VALUE!</v>
      </c>
      <c r="DP22" t="e">
        <f>AND('4to. Perito_A'!N5,"AAAAAH7/X3c=")</f>
        <v>#VALUE!</v>
      </c>
      <c r="DQ22" t="e">
        <f>AND('4to. Perito_A'!O5,"AAAAAH7/X3g=")</f>
        <v>#VALUE!</v>
      </c>
      <c r="DR22" t="e">
        <f>AND('4to. Perito_A'!P5,"AAAAAH7/X3k=")</f>
        <v>#VALUE!</v>
      </c>
      <c r="DS22" t="e">
        <f>AND('4to. Perito_A'!Q5,"AAAAAH7/X3o=")</f>
        <v>#VALUE!</v>
      </c>
      <c r="DT22" t="e">
        <f>AND('4to. Perito_A'!R5,"AAAAAH7/X3s=")</f>
        <v>#VALUE!</v>
      </c>
      <c r="DU22" t="e">
        <f>AND('4to. Perito_A'!S5,"AAAAAH7/X3w=")</f>
        <v>#VALUE!</v>
      </c>
      <c r="DV22" t="e">
        <f>AND('4to. Perito_A'!T5,"AAAAAH7/X30=")</f>
        <v>#VALUE!</v>
      </c>
      <c r="DW22" t="e">
        <f>AND('4to. Perito_A'!#REF!,"AAAAAH7/X34=")</f>
        <v>#REF!</v>
      </c>
      <c r="DX22" t="e">
        <f>AND('4to. Perito_A'!#REF!,"AAAAAH7/X38=")</f>
        <v>#REF!</v>
      </c>
      <c r="DY22" t="e">
        <f>AND('4to. Perito_A'!#REF!,"AAAAAH7/X4A=")</f>
        <v>#REF!</v>
      </c>
      <c r="DZ22" t="e">
        <f>AND('4to. Perito_A'!#REF!,"AAAAAH7/X4E=")</f>
        <v>#REF!</v>
      </c>
      <c r="EA22" t="e">
        <f>AND('4to. Perito_A'!#REF!,"AAAAAH7/X4I=")</f>
        <v>#REF!</v>
      </c>
      <c r="EB22">
        <f>IF('4to. Perito_A'!6:6,"AAAAAH7/X4M=",0)</f>
        <v>0</v>
      </c>
      <c r="EC22" t="e">
        <f>AND('4to. Perito_A'!A6,"AAAAAH7/X4Q=")</f>
        <v>#VALUE!</v>
      </c>
      <c r="ED22" t="e">
        <f>AND('4to. Perito_A'!B6,"AAAAAH7/X4U=")</f>
        <v>#VALUE!</v>
      </c>
      <c r="EE22" t="e">
        <f>AND('4to. Perito_A'!C6,"AAAAAH7/X4Y=")</f>
        <v>#VALUE!</v>
      </c>
      <c r="EF22" t="e">
        <f>AND('4to. Perito_A'!D6,"AAAAAH7/X4c=")</f>
        <v>#VALUE!</v>
      </c>
      <c r="EG22" t="e">
        <f>AND('4to. Perito_A'!E6,"AAAAAH7/X4g=")</f>
        <v>#VALUE!</v>
      </c>
      <c r="EH22" t="e">
        <f>AND('4to. Perito_A'!F6,"AAAAAH7/X4k=")</f>
        <v>#VALUE!</v>
      </c>
      <c r="EI22" t="e">
        <f>AND('4to. Perito_A'!G6,"AAAAAH7/X4o=")</f>
        <v>#VALUE!</v>
      </c>
      <c r="EJ22" t="e">
        <f>AND('4to. Perito_A'!H6,"AAAAAH7/X4s=")</f>
        <v>#VALUE!</v>
      </c>
      <c r="EK22" t="e">
        <f>AND('4to. Perito_A'!I6,"AAAAAH7/X4w=")</f>
        <v>#VALUE!</v>
      </c>
      <c r="EL22" t="e">
        <f>AND('4to. Perito_A'!J6,"AAAAAH7/X40=")</f>
        <v>#VALUE!</v>
      </c>
      <c r="EM22" t="e">
        <f>AND('4to. Perito_A'!K6,"AAAAAH7/X44=")</f>
        <v>#VALUE!</v>
      </c>
      <c r="EN22" t="e">
        <f>AND('4to. Perito_A'!L6,"AAAAAH7/X48=")</f>
        <v>#VALUE!</v>
      </c>
      <c r="EO22" t="e">
        <f>AND('4to. Perito_A'!M6,"AAAAAH7/X5A=")</f>
        <v>#VALUE!</v>
      </c>
      <c r="EP22" t="e">
        <f>AND('4to. Perito_A'!N6,"AAAAAH7/X5E=")</f>
        <v>#VALUE!</v>
      </c>
      <c r="EQ22" t="e">
        <f>AND('4to. Perito_A'!O6,"AAAAAH7/X5I=")</f>
        <v>#VALUE!</v>
      </c>
      <c r="ER22" t="e">
        <f>AND('4to. Perito_A'!P6,"AAAAAH7/X5M=")</f>
        <v>#VALUE!</v>
      </c>
      <c r="ES22" t="e">
        <f>AND('4to. Perito_A'!Q6,"AAAAAH7/X5Q=")</f>
        <v>#VALUE!</v>
      </c>
      <c r="ET22" t="e">
        <f>AND('4to. Perito_A'!R6,"AAAAAH7/X5U=")</f>
        <v>#VALUE!</v>
      </c>
      <c r="EU22" t="e">
        <f>AND('4to. Perito_A'!S6,"AAAAAH7/X5Y=")</f>
        <v>#VALUE!</v>
      </c>
      <c r="EV22" t="e">
        <f>AND('4to. Perito_A'!T6,"AAAAAH7/X5c=")</f>
        <v>#VALUE!</v>
      </c>
      <c r="EW22" t="e">
        <f>AND('4to. Perito_A'!#REF!,"AAAAAH7/X5g=")</f>
        <v>#REF!</v>
      </c>
      <c r="EX22" t="e">
        <f>AND('4to. Perito_A'!#REF!,"AAAAAH7/X5k=")</f>
        <v>#REF!</v>
      </c>
      <c r="EY22" t="e">
        <f>AND('4to. Perito_A'!#REF!,"AAAAAH7/X5o=")</f>
        <v>#REF!</v>
      </c>
      <c r="EZ22" t="e">
        <f>AND('4to. Perito_A'!#REF!,"AAAAAH7/X5s=")</f>
        <v>#REF!</v>
      </c>
      <c r="FA22" t="e">
        <f>AND('4to. Perito_A'!#REF!,"AAAAAH7/X5w=")</f>
        <v>#REF!</v>
      </c>
      <c r="FB22">
        <f>IF('4to. Perito_A'!7:7,"AAAAAH7/X50=",0)</f>
        <v>0</v>
      </c>
      <c r="FC22" t="e">
        <f>AND('4to. Perito_A'!A7,"AAAAAH7/X54=")</f>
        <v>#VALUE!</v>
      </c>
      <c r="FD22" t="e">
        <f>AND('4to. Perito_A'!B7,"AAAAAH7/X58=")</f>
        <v>#VALUE!</v>
      </c>
      <c r="FE22" t="e">
        <f>AND('4to. Perito_A'!C7,"AAAAAH7/X6A=")</f>
        <v>#VALUE!</v>
      </c>
      <c r="FF22" t="e">
        <f>AND('4to. Perito_A'!D7,"AAAAAH7/X6E=")</f>
        <v>#VALUE!</v>
      </c>
      <c r="FG22" t="e">
        <f>AND('4to. Perito_A'!E7,"AAAAAH7/X6I=")</f>
        <v>#VALUE!</v>
      </c>
      <c r="FH22" t="e">
        <f>AND('4to. Perito_A'!F7,"AAAAAH7/X6M=")</f>
        <v>#VALUE!</v>
      </c>
      <c r="FI22" t="e">
        <f>AND('4to. Perito_A'!G7,"AAAAAH7/X6Q=")</f>
        <v>#VALUE!</v>
      </c>
      <c r="FJ22" t="e">
        <f>AND('4to. Perito_A'!H7,"AAAAAH7/X6U=")</f>
        <v>#VALUE!</v>
      </c>
      <c r="FK22" t="e">
        <f>AND('4to. Perito_A'!I7,"AAAAAH7/X6Y=")</f>
        <v>#VALUE!</v>
      </c>
      <c r="FL22" t="e">
        <f>AND('4to. Perito_A'!J7,"AAAAAH7/X6c=")</f>
        <v>#VALUE!</v>
      </c>
      <c r="FM22" t="e">
        <f>AND('4to. Perito_A'!K7,"AAAAAH7/X6g=")</f>
        <v>#VALUE!</v>
      </c>
      <c r="FN22" t="e">
        <f>AND('4to. Perito_A'!L7,"AAAAAH7/X6k=")</f>
        <v>#VALUE!</v>
      </c>
      <c r="FO22" t="e">
        <f>AND('4to. Perito_A'!M7,"AAAAAH7/X6o=")</f>
        <v>#VALUE!</v>
      </c>
      <c r="FP22" t="e">
        <f>AND('4to. Perito_A'!N7,"AAAAAH7/X6s=")</f>
        <v>#VALUE!</v>
      </c>
      <c r="FQ22" t="e">
        <f>AND('4to. Perito_A'!O7,"AAAAAH7/X6w=")</f>
        <v>#VALUE!</v>
      </c>
      <c r="FR22" t="e">
        <f>AND('4to. Perito_A'!P7,"AAAAAH7/X60=")</f>
        <v>#VALUE!</v>
      </c>
      <c r="FS22" t="e">
        <f>AND('4to. Perito_A'!Q7,"AAAAAH7/X64=")</f>
        <v>#VALUE!</v>
      </c>
      <c r="FT22" t="e">
        <f>AND('4to. Perito_A'!R7,"AAAAAH7/X68=")</f>
        <v>#VALUE!</v>
      </c>
      <c r="FU22" t="e">
        <f>AND('4to. Perito_A'!S7,"AAAAAH7/X7A=")</f>
        <v>#VALUE!</v>
      </c>
      <c r="FV22" t="e">
        <f>AND('4to. Perito_A'!T7,"AAAAAH7/X7E=")</f>
        <v>#VALUE!</v>
      </c>
      <c r="FW22" t="e">
        <f>AND('4to. Perito_A'!#REF!,"AAAAAH7/X7I=")</f>
        <v>#REF!</v>
      </c>
      <c r="FX22" t="e">
        <f>AND('4to. Perito_A'!#REF!,"AAAAAH7/X7M=")</f>
        <v>#REF!</v>
      </c>
      <c r="FY22" t="e">
        <f>AND('4to. Perito_A'!#REF!,"AAAAAH7/X7Q=")</f>
        <v>#REF!</v>
      </c>
      <c r="FZ22" t="e">
        <f>AND('4to. Perito_A'!#REF!,"AAAAAH7/X7U=")</f>
        <v>#REF!</v>
      </c>
      <c r="GA22" t="e">
        <f>AND('4to. Perito_A'!#REF!,"AAAAAH7/X7Y=")</f>
        <v>#REF!</v>
      </c>
      <c r="GB22">
        <f>IF('4to. Perito_A'!8:8,"AAAAAH7/X7c=",0)</f>
        <v>0</v>
      </c>
      <c r="GC22" t="e">
        <f>AND('4to. Perito_A'!A8,"AAAAAH7/X7g=")</f>
        <v>#VALUE!</v>
      </c>
      <c r="GD22" t="e">
        <f>AND('4to. Perito_A'!B8,"AAAAAH7/X7k=")</f>
        <v>#VALUE!</v>
      </c>
      <c r="GE22" t="e">
        <f>AND('4to. Perito_A'!C8,"AAAAAH7/X7o=")</f>
        <v>#VALUE!</v>
      </c>
      <c r="GF22" t="e">
        <f>AND('4to. Perito_A'!D8,"AAAAAH7/X7s=")</f>
        <v>#VALUE!</v>
      </c>
      <c r="GG22" t="e">
        <f>AND('4to. Perito_A'!E8,"AAAAAH7/X7w=")</f>
        <v>#VALUE!</v>
      </c>
      <c r="GH22" t="e">
        <f>AND('4to. Perito_A'!F8,"AAAAAH7/X70=")</f>
        <v>#VALUE!</v>
      </c>
      <c r="GI22" t="e">
        <f>AND('4to. Perito_A'!G8,"AAAAAH7/X74=")</f>
        <v>#VALUE!</v>
      </c>
      <c r="GJ22" t="e">
        <f>AND('4to. Perito_A'!H8,"AAAAAH7/X78=")</f>
        <v>#VALUE!</v>
      </c>
      <c r="GK22" t="e">
        <f>AND('4to. Perito_A'!I8,"AAAAAH7/X8A=")</f>
        <v>#VALUE!</v>
      </c>
      <c r="GL22" t="e">
        <f>AND('4to. Perito_A'!J8,"AAAAAH7/X8E=")</f>
        <v>#VALUE!</v>
      </c>
      <c r="GM22" t="e">
        <f>AND('4to. Perito_A'!K8,"AAAAAH7/X8I=")</f>
        <v>#VALUE!</v>
      </c>
      <c r="GN22" t="e">
        <f>AND('4to. Perito_A'!L8,"AAAAAH7/X8M=")</f>
        <v>#VALUE!</v>
      </c>
      <c r="GO22" t="e">
        <f>AND('4to. Perito_A'!M8,"AAAAAH7/X8Q=")</f>
        <v>#VALUE!</v>
      </c>
      <c r="GP22" t="e">
        <f>AND('4to. Perito_A'!N8,"AAAAAH7/X8U=")</f>
        <v>#VALUE!</v>
      </c>
      <c r="GQ22" t="e">
        <f>AND('4to. Perito_A'!O8,"AAAAAH7/X8Y=")</f>
        <v>#VALUE!</v>
      </c>
      <c r="GR22" t="e">
        <f>AND('4to. Perito_A'!P8,"AAAAAH7/X8c=")</f>
        <v>#VALUE!</v>
      </c>
      <c r="GS22" t="e">
        <f>AND('4to. Perito_A'!Q8,"AAAAAH7/X8g=")</f>
        <v>#VALUE!</v>
      </c>
      <c r="GT22" t="e">
        <f>AND('4to. Perito_A'!R8,"AAAAAH7/X8k=")</f>
        <v>#VALUE!</v>
      </c>
      <c r="GU22" t="e">
        <f>AND('4to. Perito_A'!S8,"AAAAAH7/X8o=")</f>
        <v>#VALUE!</v>
      </c>
      <c r="GV22" t="e">
        <f>AND('4to. Perito_A'!T8,"AAAAAH7/X8s=")</f>
        <v>#VALUE!</v>
      </c>
      <c r="GW22" t="e">
        <f>AND('4to. Perito_A'!#REF!,"AAAAAH7/X8w=")</f>
        <v>#REF!</v>
      </c>
      <c r="GX22" t="e">
        <f>AND('4to. Perito_A'!#REF!,"AAAAAH7/X80=")</f>
        <v>#REF!</v>
      </c>
      <c r="GY22" t="e">
        <f>AND('4to. Perito_A'!#REF!,"AAAAAH7/X84=")</f>
        <v>#REF!</v>
      </c>
      <c r="GZ22" t="e">
        <f>AND('4to. Perito_A'!#REF!,"AAAAAH7/X88=")</f>
        <v>#REF!</v>
      </c>
      <c r="HA22" t="e">
        <f>AND('4to. Perito_A'!#REF!,"AAAAAH7/X9A=")</f>
        <v>#REF!</v>
      </c>
      <c r="HB22">
        <f>IF('4to. Perito_A'!9:9,"AAAAAH7/X9E=",0)</f>
        <v>0</v>
      </c>
      <c r="HC22" t="e">
        <f>AND('4to. Perito_A'!A9,"AAAAAH7/X9I=")</f>
        <v>#VALUE!</v>
      </c>
      <c r="HD22" t="e">
        <f>AND('4to. Perito_A'!B9,"AAAAAH7/X9M=")</f>
        <v>#VALUE!</v>
      </c>
      <c r="HE22" t="e">
        <f>AND('4to. Perito_A'!C9,"AAAAAH7/X9Q=")</f>
        <v>#VALUE!</v>
      </c>
      <c r="HF22" t="e">
        <f>AND('4to. Perito_A'!D9,"AAAAAH7/X9U=")</f>
        <v>#VALUE!</v>
      </c>
      <c r="HG22" t="e">
        <f>AND('4to. Perito_A'!E9,"AAAAAH7/X9Y=")</f>
        <v>#VALUE!</v>
      </c>
      <c r="HH22" t="e">
        <f>AND('4to. Perito_A'!F9,"AAAAAH7/X9c=")</f>
        <v>#VALUE!</v>
      </c>
      <c r="HI22" t="e">
        <f>AND('4to. Perito_A'!G9,"AAAAAH7/X9g=")</f>
        <v>#VALUE!</v>
      </c>
      <c r="HJ22" t="e">
        <f>AND('4to. Perito_A'!H9,"AAAAAH7/X9k=")</f>
        <v>#VALUE!</v>
      </c>
      <c r="HK22" t="e">
        <f>AND('4to. Perito_A'!I9,"AAAAAH7/X9o=")</f>
        <v>#VALUE!</v>
      </c>
      <c r="HL22" t="e">
        <f>AND('4to. Perito_A'!J9,"AAAAAH7/X9s=")</f>
        <v>#VALUE!</v>
      </c>
      <c r="HM22" t="e">
        <f>AND('4to. Perito_A'!K9,"AAAAAH7/X9w=")</f>
        <v>#VALUE!</v>
      </c>
      <c r="HN22" t="e">
        <f>AND('4to. Perito_A'!L9,"AAAAAH7/X90=")</f>
        <v>#VALUE!</v>
      </c>
      <c r="HO22" t="e">
        <f>AND('4to. Perito_A'!M9,"AAAAAH7/X94=")</f>
        <v>#VALUE!</v>
      </c>
      <c r="HP22" t="e">
        <f>AND('4to. Perito_A'!N9,"AAAAAH7/X98=")</f>
        <v>#VALUE!</v>
      </c>
      <c r="HQ22" t="e">
        <f>AND('4to. Perito_A'!O9,"AAAAAH7/X+A=")</f>
        <v>#VALUE!</v>
      </c>
      <c r="HR22" t="e">
        <f>AND('4to. Perito_A'!P9,"AAAAAH7/X+E=")</f>
        <v>#VALUE!</v>
      </c>
      <c r="HS22" t="e">
        <f>AND('4to. Perito_A'!Q9,"AAAAAH7/X+I=")</f>
        <v>#VALUE!</v>
      </c>
      <c r="HT22" t="e">
        <f>AND('4to. Perito_A'!R9,"AAAAAH7/X+M=")</f>
        <v>#VALUE!</v>
      </c>
      <c r="HU22" t="e">
        <f>AND('4to. Perito_A'!S9,"AAAAAH7/X+Q=")</f>
        <v>#VALUE!</v>
      </c>
      <c r="HV22" t="e">
        <f>AND('4to. Perito_A'!T9,"AAAAAH7/X+U=")</f>
        <v>#VALUE!</v>
      </c>
      <c r="HW22" t="e">
        <f>AND('4to. Perito_A'!#REF!,"AAAAAH7/X+Y=")</f>
        <v>#REF!</v>
      </c>
      <c r="HX22" t="e">
        <f>AND('4to. Perito_A'!#REF!,"AAAAAH7/X+c=")</f>
        <v>#REF!</v>
      </c>
      <c r="HY22" t="e">
        <f>AND('4to. Perito_A'!#REF!,"AAAAAH7/X+g=")</f>
        <v>#REF!</v>
      </c>
      <c r="HZ22" t="e">
        <f>AND('4to. Perito_A'!#REF!,"AAAAAH7/X+k=")</f>
        <v>#REF!</v>
      </c>
      <c r="IA22" t="e">
        <f>AND('4to. Perito_A'!#REF!,"AAAAAH7/X+o=")</f>
        <v>#REF!</v>
      </c>
      <c r="IB22">
        <f>IF('4to. Perito_A'!10:10,"AAAAAH7/X+s=",0)</f>
        <v>0</v>
      </c>
      <c r="IC22" t="e">
        <f>AND('4to. Perito_A'!A10,"AAAAAH7/X+w=")</f>
        <v>#VALUE!</v>
      </c>
      <c r="ID22" t="e">
        <f>AND('4to. Perito_A'!B10,"AAAAAH7/X+0=")</f>
        <v>#VALUE!</v>
      </c>
      <c r="IE22" t="e">
        <f>AND('4to. Perito_A'!C10,"AAAAAH7/X+4=")</f>
        <v>#VALUE!</v>
      </c>
      <c r="IF22" t="e">
        <f>AND('4to. Perito_A'!D10,"AAAAAH7/X+8=")</f>
        <v>#VALUE!</v>
      </c>
      <c r="IG22" t="e">
        <f>AND('4to. Perito_A'!E10,"AAAAAH7/X/A=")</f>
        <v>#VALUE!</v>
      </c>
      <c r="IH22" t="e">
        <f>AND('4to. Perito_A'!F10,"AAAAAH7/X/E=")</f>
        <v>#VALUE!</v>
      </c>
      <c r="II22" t="e">
        <f>AND('4to. Perito_A'!G10,"AAAAAH7/X/I=")</f>
        <v>#VALUE!</v>
      </c>
      <c r="IJ22" t="e">
        <f>AND('4to. Perito_A'!H10,"AAAAAH7/X/M=")</f>
        <v>#VALUE!</v>
      </c>
      <c r="IK22" t="e">
        <f>AND('4to. Perito_A'!I10,"AAAAAH7/X/Q=")</f>
        <v>#VALUE!</v>
      </c>
      <c r="IL22" t="e">
        <f>AND('4to. Perito_A'!J10,"AAAAAH7/X/U=")</f>
        <v>#VALUE!</v>
      </c>
      <c r="IM22" t="e">
        <f>AND('4to. Perito_A'!K10,"AAAAAH7/X/Y=")</f>
        <v>#VALUE!</v>
      </c>
      <c r="IN22" t="e">
        <f>AND('4to. Perito_A'!L10,"AAAAAH7/X/c=")</f>
        <v>#VALUE!</v>
      </c>
      <c r="IO22" t="e">
        <f>AND('4to. Perito_A'!M10,"AAAAAH7/X/g=")</f>
        <v>#VALUE!</v>
      </c>
      <c r="IP22" t="e">
        <f>AND('4to. Perito_A'!N10,"AAAAAH7/X/k=")</f>
        <v>#VALUE!</v>
      </c>
      <c r="IQ22" t="e">
        <f>AND('4to. Perito_A'!O10,"AAAAAH7/X/o=")</f>
        <v>#VALUE!</v>
      </c>
      <c r="IR22" t="e">
        <f>AND('4to. Perito_A'!P10,"AAAAAH7/X/s=")</f>
        <v>#VALUE!</v>
      </c>
      <c r="IS22" t="e">
        <f>AND('4to. Perito_A'!Q10,"AAAAAH7/X/w=")</f>
        <v>#VALUE!</v>
      </c>
      <c r="IT22" t="e">
        <f>AND('4to. Perito_A'!R10,"AAAAAH7/X/0=")</f>
        <v>#VALUE!</v>
      </c>
      <c r="IU22" t="e">
        <f>AND('4to. Perito_A'!S10,"AAAAAH7/X/4=")</f>
        <v>#VALUE!</v>
      </c>
      <c r="IV22" t="e">
        <f>AND('4to. Perito_A'!T10,"AAAAAH7/X/8=")</f>
        <v>#VALUE!</v>
      </c>
    </row>
    <row r="23" spans="1:256">
      <c r="A23" t="e">
        <f>AND('4to. Perito_A'!#REF!,"AAAAAG/9/wA=")</f>
        <v>#REF!</v>
      </c>
      <c r="B23" t="e">
        <f>AND('4to. Perito_A'!#REF!,"AAAAAG/9/wE=")</f>
        <v>#REF!</v>
      </c>
      <c r="C23" t="e">
        <f>AND('4to. Perito_A'!#REF!,"AAAAAG/9/wI=")</f>
        <v>#REF!</v>
      </c>
      <c r="D23" t="e">
        <f>AND('4to. Perito_A'!#REF!,"AAAAAG/9/wM=")</f>
        <v>#REF!</v>
      </c>
      <c r="E23" t="e">
        <f>AND('4to. Perito_A'!#REF!,"AAAAAG/9/wQ=")</f>
        <v>#REF!</v>
      </c>
      <c r="F23">
        <f>IF('4to. Perito_A'!11:11,"AAAAAG/9/wU=",0)</f>
        <v>0</v>
      </c>
      <c r="G23" t="e">
        <f>AND('4to. Perito_A'!A11,"AAAAAG/9/wY=")</f>
        <v>#VALUE!</v>
      </c>
      <c r="H23" t="e">
        <f>AND('4to. Perito_A'!B11,"AAAAAG/9/wc=")</f>
        <v>#VALUE!</v>
      </c>
      <c r="I23" t="e">
        <f>AND('4to. Perito_A'!C11,"AAAAAG/9/wg=")</f>
        <v>#VALUE!</v>
      </c>
      <c r="J23" t="e">
        <f>AND('4to. Perito_A'!D11,"AAAAAG/9/wk=")</f>
        <v>#VALUE!</v>
      </c>
      <c r="K23" t="e">
        <f>AND('4to. Perito_A'!E11,"AAAAAG/9/wo=")</f>
        <v>#VALUE!</v>
      </c>
      <c r="L23" t="e">
        <f>AND('4to. Perito_A'!F11,"AAAAAG/9/ws=")</f>
        <v>#VALUE!</v>
      </c>
      <c r="M23" t="e">
        <f>AND('4to. Perito_A'!G11,"AAAAAG/9/ww=")</f>
        <v>#VALUE!</v>
      </c>
      <c r="N23" t="e">
        <f>AND('4to. Perito_A'!H11,"AAAAAG/9/w0=")</f>
        <v>#VALUE!</v>
      </c>
      <c r="O23" t="e">
        <f>AND('4to. Perito_A'!I11,"AAAAAG/9/w4=")</f>
        <v>#VALUE!</v>
      </c>
      <c r="P23" t="e">
        <f>AND('4to. Perito_A'!J11,"AAAAAG/9/w8=")</f>
        <v>#VALUE!</v>
      </c>
      <c r="Q23" t="e">
        <f>AND('4to. Perito_A'!K11,"AAAAAG/9/xA=")</f>
        <v>#VALUE!</v>
      </c>
      <c r="R23" t="e">
        <f>AND('4to. Perito_A'!L11,"AAAAAG/9/xE=")</f>
        <v>#VALUE!</v>
      </c>
      <c r="S23" t="e">
        <f>AND('4to. Perito_A'!M11,"AAAAAG/9/xI=")</f>
        <v>#VALUE!</v>
      </c>
      <c r="T23" t="e">
        <f>AND('4to. Perito_A'!N11,"AAAAAG/9/xM=")</f>
        <v>#VALUE!</v>
      </c>
      <c r="U23" t="e">
        <f>AND('4to. Perito_A'!O11,"AAAAAG/9/xQ=")</f>
        <v>#VALUE!</v>
      </c>
      <c r="V23" t="e">
        <f>AND('4to. Perito_A'!P11,"AAAAAG/9/xU=")</f>
        <v>#VALUE!</v>
      </c>
      <c r="W23" t="e">
        <f>AND('4to. Perito_A'!Q11,"AAAAAG/9/xY=")</f>
        <v>#VALUE!</v>
      </c>
      <c r="X23" t="e">
        <f>AND('4to. Perito_A'!R11,"AAAAAG/9/xc=")</f>
        <v>#VALUE!</v>
      </c>
      <c r="Y23" t="e">
        <f>AND('4to. Perito_A'!S11,"AAAAAG/9/xg=")</f>
        <v>#VALUE!</v>
      </c>
      <c r="Z23" t="e">
        <f>AND('4to. Perito_A'!T11,"AAAAAG/9/xk=")</f>
        <v>#VALUE!</v>
      </c>
      <c r="AA23" t="e">
        <f>AND('4to. Perito_A'!#REF!,"AAAAAG/9/xo=")</f>
        <v>#REF!</v>
      </c>
      <c r="AB23" t="e">
        <f>AND('4to. Perito_A'!#REF!,"AAAAAG/9/xs=")</f>
        <v>#REF!</v>
      </c>
      <c r="AC23" t="e">
        <f>AND('4to. Perito_A'!#REF!,"AAAAAG/9/xw=")</f>
        <v>#REF!</v>
      </c>
      <c r="AD23" t="e">
        <f>AND('4to. Perito_A'!#REF!,"AAAAAG/9/x0=")</f>
        <v>#REF!</v>
      </c>
      <c r="AE23" t="e">
        <f>AND('4to. Perito_A'!#REF!,"AAAAAG/9/x4=")</f>
        <v>#REF!</v>
      </c>
      <c r="AF23">
        <f>IF('4to. Perito_A'!12:12,"AAAAAG/9/x8=",0)</f>
        <v>0</v>
      </c>
      <c r="AG23" t="e">
        <f>AND('4to. Perito_A'!A12,"AAAAAG/9/yA=")</f>
        <v>#VALUE!</v>
      </c>
      <c r="AH23" t="e">
        <f>AND('4to. Perito_A'!B12,"AAAAAG/9/yE=")</f>
        <v>#VALUE!</v>
      </c>
      <c r="AI23" t="e">
        <f>AND('4to. Perito_A'!C12,"AAAAAG/9/yI=")</f>
        <v>#VALUE!</v>
      </c>
      <c r="AJ23" t="e">
        <f>AND('4to. Perito_A'!D12,"AAAAAG/9/yM=")</f>
        <v>#VALUE!</v>
      </c>
      <c r="AK23" t="e">
        <f>AND('4to. Perito_A'!E12,"AAAAAG/9/yQ=")</f>
        <v>#VALUE!</v>
      </c>
      <c r="AL23" t="e">
        <f>AND('4to. Perito_A'!F12,"AAAAAG/9/yU=")</f>
        <v>#VALUE!</v>
      </c>
      <c r="AM23" t="e">
        <f>AND('4to. Perito_A'!G12,"AAAAAG/9/yY=")</f>
        <v>#VALUE!</v>
      </c>
      <c r="AN23" t="e">
        <f>AND('4to. Perito_A'!H12,"AAAAAG/9/yc=")</f>
        <v>#VALUE!</v>
      </c>
      <c r="AO23" t="e">
        <f>AND('4to. Perito_A'!I12,"AAAAAG/9/yg=")</f>
        <v>#VALUE!</v>
      </c>
      <c r="AP23" t="e">
        <f>AND('4to. Perito_A'!J12,"AAAAAG/9/yk=")</f>
        <v>#VALUE!</v>
      </c>
      <c r="AQ23" t="e">
        <f>AND('4to. Perito_A'!K12,"AAAAAG/9/yo=")</f>
        <v>#VALUE!</v>
      </c>
      <c r="AR23" t="e">
        <f>AND('4to. Perito_A'!L12,"AAAAAG/9/ys=")</f>
        <v>#VALUE!</v>
      </c>
      <c r="AS23" t="e">
        <f>AND('4to. Perito_A'!M12,"AAAAAG/9/yw=")</f>
        <v>#VALUE!</v>
      </c>
      <c r="AT23" t="e">
        <f>AND('4to. Perito_A'!N12,"AAAAAG/9/y0=")</f>
        <v>#VALUE!</v>
      </c>
      <c r="AU23" t="e">
        <f>AND('4to. Perito_A'!O12,"AAAAAG/9/y4=")</f>
        <v>#VALUE!</v>
      </c>
      <c r="AV23" t="e">
        <f>AND('4to. Perito_A'!P12,"AAAAAG/9/y8=")</f>
        <v>#VALUE!</v>
      </c>
      <c r="AW23" t="e">
        <f>AND('4to. Perito_A'!Q12,"AAAAAG/9/zA=")</f>
        <v>#VALUE!</v>
      </c>
      <c r="AX23" t="e">
        <f>AND('4to. Perito_A'!R12,"AAAAAG/9/zE=")</f>
        <v>#VALUE!</v>
      </c>
      <c r="AY23" t="e">
        <f>AND('4to. Perito_A'!S12,"AAAAAG/9/zI=")</f>
        <v>#VALUE!</v>
      </c>
      <c r="AZ23" t="e">
        <f>AND('4to. Perito_A'!T12,"AAAAAG/9/zM=")</f>
        <v>#VALUE!</v>
      </c>
      <c r="BA23" t="e">
        <f>AND('4to. Perito_A'!#REF!,"AAAAAG/9/zQ=")</f>
        <v>#REF!</v>
      </c>
      <c r="BB23" t="e">
        <f>AND('4to. Perito_A'!#REF!,"AAAAAG/9/zU=")</f>
        <v>#REF!</v>
      </c>
      <c r="BC23" t="e">
        <f>AND('4to. Perito_A'!#REF!,"AAAAAG/9/zY=")</f>
        <v>#REF!</v>
      </c>
      <c r="BD23" t="e">
        <f>AND('4to. Perito_A'!#REF!,"AAAAAG/9/zc=")</f>
        <v>#REF!</v>
      </c>
      <c r="BE23" t="e">
        <f>AND('4to. Perito_A'!#REF!,"AAAAAG/9/zg=")</f>
        <v>#REF!</v>
      </c>
      <c r="BF23">
        <f>IF('4to. Perito_A'!13:13,"AAAAAG/9/zk=",0)</f>
        <v>0</v>
      </c>
      <c r="BG23" t="e">
        <f>AND('4to. Perito_A'!A13,"AAAAAG/9/zo=")</f>
        <v>#VALUE!</v>
      </c>
      <c r="BH23" t="e">
        <f>AND('4to. Perito_A'!B13,"AAAAAG/9/zs=")</f>
        <v>#VALUE!</v>
      </c>
      <c r="BI23" t="e">
        <f>AND('4to. Perito_A'!C13,"AAAAAG/9/zw=")</f>
        <v>#VALUE!</v>
      </c>
      <c r="BJ23" t="e">
        <f>AND('4to. Perito_A'!D13,"AAAAAG/9/z0=")</f>
        <v>#VALUE!</v>
      </c>
      <c r="BK23" t="e">
        <f>AND('4to. Perito_A'!E13,"AAAAAG/9/z4=")</f>
        <v>#VALUE!</v>
      </c>
      <c r="BL23" t="e">
        <f>AND('4to. Perito_A'!F13,"AAAAAG/9/z8=")</f>
        <v>#VALUE!</v>
      </c>
      <c r="BM23" t="e">
        <f>AND('4to. Perito_A'!G13,"AAAAAG/9/0A=")</f>
        <v>#VALUE!</v>
      </c>
      <c r="BN23" t="e">
        <f>AND('4to. Perito_A'!H13,"AAAAAG/9/0E=")</f>
        <v>#VALUE!</v>
      </c>
      <c r="BO23" t="e">
        <f>AND('4to. Perito_A'!I13,"AAAAAG/9/0I=")</f>
        <v>#VALUE!</v>
      </c>
      <c r="BP23" t="e">
        <f>AND('4to. Perito_A'!J13,"AAAAAG/9/0M=")</f>
        <v>#VALUE!</v>
      </c>
      <c r="BQ23" t="e">
        <f>AND('4to. Perito_A'!K13,"AAAAAG/9/0Q=")</f>
        <v>#VALUE!</v>
      </c>
      <c r="BR23" t="e">
        <f>AND('4to. Perito_A'!L13,"AAAAAG/9/0U=")</f>
        <v>#VALUE!</v>
      </c>
      <c r="BS23" t="e">
        <f>AND('4to. Perito_A'!M13,"AAAAAG/9/0Y=")</f>
        <v>#VALUE!</v>
      </c>
      <c r="BT23" t="e">
        <f>AND('4to. Perito_A'!N13,"AAAAAG/9/0c=")</f>
        <v>#VALUE!</v>
      </c>
      <c r="BU23" t="e">
        <f>AND('4to. Perito_A'!O13,"AAAAAG/9/0g=")</f>
        <v>#VALUE!</v>
      </c>
      <c r="BV23" t="e">
        <f>AND('4to. Perito_A'!P13,"AAAAAG/9/0k=")</f>
        <v>#VALUE!</v>
      </c>
      <c r="BW23" t="e">
        <f>AND('4to. Perito_A'!Q13,"AAAAAG/9/0o=")</f>
        <v>#VALUE!</v>
      </c>
      <c r="BX23" t="e">
        <f>AND('4to. Perito_A'!R13,"AAAAAG/9/0s=")</f>
        <v>#VALUE!</v>
      </c>
      <c r="BY23" t="e">
        <f>AND('4to. Perito_A'!S13,"AAAAAG/9/0w=")</f>
        <v>#VALUE!</v>
      </c>
      <c r="BZ23" t="e">
        <f>AND('4to. Perito_A'!T13,"AAAAAG/9/00=")</f>
        <v>#VALUE!</v>
      </c>
      <c r="CA23" t="e">
        <f>AND('4to. Perito_A'!#REF!,"AAAAAG/9/04=")</f>
        <v>#REF!</v>
      </c>
      <c r="CB23" t="e">
        <f>AND('4to. Perito_A'!#REF!,"AAAAAG/9/08=")</f>
        <v>#REF!</v>
      </c>
      <c r="CC23" t="e">
        <f>AND('4to. Perito_A'!#REF!,"AAAAAG/9/1A=")</f>
        <v>#REF!</v>
      </c>
      <c r="CD23" t="e">
        <f>AND('4to. Perito_A'!#REF!,"AAAAAG/9/1E=")</f>
        <v>#REF!</v>
      </c>
      <c r="CE23" t="e">
        <f>AND('4to. Perito_A'!#REF!,"AAAAAG/9/1I=")</f>
        <v>#REF!</v>
      </c>
      <c r="CF23">
        <f>IF('4to. Perito_A'!14:14,"AAAAAG/9/1M=",0)</f>
        <v>0</v>
      </c>
      <c r="CG23" t="e">
        <f>AND('4to. Perito_A'!A14,"AAAAAG/9/1Q=")</f>
        <v>#VALUE!</v>
      </c>
      <c r="CH23" t="e">
        <f>AND('4to. Perito_A'!B14,"AAAAAG/9/1U=")</f>
        <v>#VALUE!</v>
      </c>
      <c r="CI23" t="e">
        <f>AND('4to. Perito_A'!C14,"AAAAAG/9/1Y=")</f>
        <v>#VALUE!</v>
      </c>
      <c r="CJ23" t="e">
        <f>AND('4to. Perito_A'!D14,"AAAAAG/9/1c=")</f>
        <v>#VALUE!</v>
      </c>
      <c r="CK23" t="e">
        <f>AND('4to. Perito_A'!E14,"AAAAAG/9/1g=")</f>
        <v>#VALUE!</v>
      </c>
      <c r="CL23" t="e">
        <f>AND('4to. Perito_A'!F14,"AAAAAG/9/1k=")</f>
        <v>#VALUE!</v>
      </c>
      <c r="CM23" t="e">
        <f>AND('4to. Perito_A'!G14,"AAAAAG/9/1o=")</f>
        <v>#VALUE!</v>
      </c>
      <c r="CN23" t="e">
        <f>AND('4to. Perito_A'!H14,"AAAAAG/9/1s=")</f>
        <v>#VALUE!</v>
      </c>
      <c r="CO23" t="e">
        <f>AND('4to. Perito_A'!I14,"AAAAAG/9/1w=")</f>
        <v>#VALUE!</v>
      </c>
      <c r="CP23" t="e">
        <f>AND('4to. Perito_A'!J14,"AAAAAG/9/10=")</f>
        <v>#VALUE!</v>
      </c>
      <c r="CQ23" t="e">
        <f>AND('4to. Perito_A'!K14,"AAAAAG/9/14=")</f>
        <v>#VALUE!</v>
      </c>
      <c r="CR23" t="e">
        <f>AND('4to. Perito_A'!L14,"AAAAAG/9/18=")</f>
        <v>#VALUE!</v>
      </c>
      <c r="CS23" t="e">
        <f>AND('4to. Perito_A'!M14,"AAAAAG/9/2A=")</f>
        <v>#VALUE!</v>
      </c>
      <c r="CT23" t="e">
        <f>AND('4to. Perito_A'!N14,"AAAAAG/9/2E=")</f>
        <v>#VALUE!</v>
      </c>
      <c r="CU23" t="e">
        <f>AND('4to. Perito_A'!O14,"AAAAAG/9/2I=")</f>
        <v>#VALUE!</v>
      </c>
      <c r="CV23" t="e">
        <f>AND('4to. Perito_A'!P14,"AAAAAG/9/2M=")</f>
        <v>#VALUE!</v>
      </c>
      <c r="CW23" t="e">
        <f>AND('4to. Perito_A'!Q14,"AAAAAG/9/2Q=")</f>
        <v>#VALUE!</v>
      </c>
      <c r="CX23" t="e">
        <f>AND('4to. Perito_A'!R14,"AAAAAG/9/2U=")</f>
        <v>#VALUE!</v>
      </c>
      <c r="CY23" t="e">
        <f>AND('4to. Perito_A'!S14,"AAAAAG/9/2Y=")</f>
        <v>#VALUE!</v>
      </c>
      <c r="CZ23" t="e">
        <f>AND('4to. Perito_A'!T14,"AAAAAG/9/2c=")</f>
        <v>#VALUE!</v>
      </c>
      <c r="DA23" t="e">
        <f>AND('4to. Perito_A'!#REF!,"AAAAAG/9/2g=")</f>
        <v>#REF!</v>
      </c>
      <c r="DB23" t="e">
        <f>AND('4to. Perito_A'!#REF!,"AAAAAG/9/2k=")</f>
        <v>#REF!</v>
      </c>
      <c r="DC23" t="e">
        <f>AND('4to. Perito_A'!#REF!,"AAAAAG/9/2o=")</f>
        <v>#REF!</v>
      </c>
      <c r="DD23" t="e">
        <f>AND('4to. Perito_A'!#REF!,"AAAAAG/9/2s=")</f>
        <v>#REF!</v>
      </c>
      <c r="DE23" t="e">
        <f>AND('4to. Perito_A'!#REF!,"AAAAAG/9/2w=")</f>
        <v>#REF!</v>
      </c>
      <c r="DF23">
        <f>IF('4to. Perito_A'!15:15,"AAAAAG/9/20=",0)</f>
        <v>0</v>
      </c>
      <c r="DG23" t="e">
        <f>AND('4to. Perito_A'!A15,"AAAAAG/9/24=")</f>
        <v>#VALUE!</v>
      </c>
      <c r="DH23" t="e">
        <f>AND('4to. Perito_A'!B15,"AAAAAG/9/28=")</f>
        <v>#VALUE!</v>
      </c>
      <c r="DI23" t="e">
        <f>AND('4to. Perito_A'!C15,"AAAAAG/9/3A=")</f>
        <v>#VALUE!</v>
      </c>
      <c r="DJ23" t="e">
        <f>AND('4to. Perito_A'!D15,"AAAAAG/9/3E=")</f>
        <v>#VALUE!</v>
      </c>
      <c r="DK23" t="e">
        <f>AND('4to. Perito_A'!E15,"AAAAAG/9/3I=")</f>
        <v>#VALUE!</v>
      </c>
      <c r="DL23" t="e">
        <f>AND('4to. Perito_A'!F15,"AAAAAG/9/3M=")</f>
        <v>#VALUE!</v>
      </c>
      <c r="DM23" t="e">
        <f>AND('4to. Perito_A'!G15,"AAAAAG/9/3Q=")</f>
        <v>#VALUE!</v>
      </c>
      <c r="DN23" t="e">
        <f>AND('4to. Perito_A'!H15,"AAAAAG/9/3U=")</f>
        <v>#VALUE!</v>
      </c>
      <c r="DO23" t="e">
        <f>AND('4to. Perito_A'!I15,"AAAAAG/9/3Y=")</f>
        <v>#VALUE!</v>
      </c>
      <c r="DP23" t="e">
        <f>AND('4to. Perito_A'!J15,"AAAAAG/9/3c=")</f>
        <v>#VALUE!</v>
      </c>
      <c r="DQ23" t="e">
        <f>AND('4to. Perito_A'!K15,"AAAAAG/9/3g=")</f>
        <v>#VALUE!</v>
      </c>
      <c r="DR23" t="e">
        <f>AND('4to. Perito_A'!L15,"AAAAAG/9/3k=")</f>
        <v>#VALUE!</v>
      </c>
      <c r="DS23" t="e">
        <f>AND('4to. Perito_A'!M15,"AAAAAG/9/3o=")</f>
        <v>#VALUE!</v>
      </c>
      <c r="DT23" t="e">
        <f>AND('4to. Perito_A'!N15,"AAAAAG/9/3s=")</f>
        <v>#VALUE!</v>
      </c>
      <c r="DU23" t="e">
        <f>AND('4to. Perito_A'!O15,"AAAAAG/9/3w=")</f>
        <v>#VALUE!</v>
      </c>
      <c r="DV23" t="e">
        <f>AND('4to. Perito_A'!P15,"AAAAAG/9/30=")</f>
        <v>#VALUE!</v>
      </c>
      <c r="DW23" t="e">
        <f>AND('4to. Perito_A'!Q15,"AAAAAG/9/34=")</f>
        <v>#VALUE!</v>
      </c>
      <c r="DX23" t="e">
        <f>AND('4to. Perito_A'!R15,"AAAAAG/9/38=")</f>
        <v>#VALUE!</v>
      </c>
      <c r="DY23" t="e">
        <f>AND('4to. Perito_A'!S15,"AAAAAG/9/4A=")</f>
        <v>#VALUE!</v>
      </c>
      <c r="DZ23" t="e">
        <f>AND('4to. Perito_A'!T15,"AAAAAG/9/4E=")</f>
        <v>#VALUE!</v>
      </c>
      <c r="EA23" t="e">
        <f>AND('4to. Perito_A'!#REF!,"AAAAAG/9/4I=")</f>
        <v>#REF!</v>
      </c>
      <c r="EB23" t="e">
        <f>AND('4to. Perito_A'!#REF!,"AAAAAG/9/4M=")</f>
        <v>#REF!</v>
      </c>
      <c r="EC23" t="e">
        <f>AND('4to. Perito_A'!#REF!,"AAAAAG/9/4Q=")</f>
        <v>#REF!</v>
      </c>
      <c r="ED23" t="e">
        <f>AND('4to. Perito_A'!#REF!,"AAAAAG/9/4U=")</f>
        <v>#REF!</v>
      </c>
      <c r="EE23" t="e">
        <f>AND('4to. Perito_A'!#REF!,"AAAAAG/9/4Y=")</f>
        <v>#REF!</v>
      </c>
      <c r="EF23">
        <f>IF('4to. Perito_A'!16:16,"AAAAAG/9/4c=",0)</f>
        <v>0</v>
      </c>
      <c r="EG23" t="e">
        <f>AND('4to. Perito_A'!A16,"AAAAAG/9/4g=")</f>
        <v>#VALUE!</v>
      </c>
      <c r="EH23" t="e">
        <f>AND('4to. Perito_A'!B16,"AAAAAG/9/4k=")</f>
        <v>#VALUE!</v>
      </c>
      <c r="EI23" t="e">
        <f>AND('4to. Perito_A'!C16,"AAAAAG/9/4o=")</f>
        <v>#VALUE!</v>
      </c>
      <c r="EJ23" t="e">
        <f>AND('4to. Perito_A'!D16,"AAAAAG/9/4s=")</f>
        <v>#VALUE!</v>
      </c>
      <c r="EK23" t="e">
        <f>AND('4to. Perito_A'!E16,"AAAAAG/9/4w=")</f>
        <v>#VALUE!</v>
      </c>
      <c r="EL23" t="e">
        <f>AND('4to. Perito_A'!F16,"AAAAAG/9/40=")</f>
        <v>#VALUE!</v>
      </c>
      <c r="EM23" t="e">
        <f>AND('4to. Perito_A'!G16,"AAAAAG/9/44=")</f>
        <v>#VALUE!</v>
      </c>
      <c r="EN23" t="e">
        <f>AND('4to. Perito_A'!H16,"AAAAAG/9/48=")</f>
        <v>#VALUE!</v>
      </c>
      <c r="EO23" t="e">
        <f>AND('4to. Perito_A'!I16,"AAAAAG/9/5A=")</f>
        <v>#VALUE!</v>
      </c>
      <c r="EP23" t="e">
        <f>AND('4to. Perito_A'!J16,"AAAAAG/9/5E=")</f>
        <v>#VALUE!</v>
      </c>
      <c r="EQ23" t="e">
        <f>AND('4to. Perito_A'!K16,"AAAAAG/9/5I=")</f>
        <v>#VALUE!</v>
      </c>
      <c r="ER23" t="e">
        <f>AND('4to. Perito_A'!L16,"AAAAAG/9/5M=")</f>
        <v>#VALUE!</v>
      </c>
      <c r="ES23" t="e">
        <f>AND('4to. Perito_A'!M16,"AAAAAG/9/5Q=")</f>
        <v>#VALUE!</v>
      </c>
      <c r="ET23" t="e">
        <f>AND('4to. Perito_A'!N16,"AAAAAG/9/5U=")</f>
        <v>#VALUE!</v>
      </c>
      <c r="EU23" t="e">
        <f>AND('4to. Perito_A'!O16,"AAAAAG/9/5Y=")</f>
        <v>#VALUE!</v>
      </c>
      <c r="EV23" t="e">
        <f>AND('4to. Perito_A'!P16,"AAAAAG/9/5c=")</f>
        <v>#VALUE!</v>
      </c>
      <c r="EW23" t="e">
        <f>AND('4to. Perito_A'!Q16,"AAAAAG/9/5g=")</f>
        <v>#VALUE!</v>
      </c>
      <c r="EX23" t="e">
        <f>AND('4to. Perito_A'!R16,"AAAAAG/9/5k=")</f>
        <v>#VALUE!</v>
      </c>
      <c r="EY23" t="e">
        <f>AND('4to. Perito_A'!S16,"AAAAAG/9/5o=")</f>
        <v>#VALUE!</v>
      </c>
      <c r="EZ23" t="e">
        <f>AND('4to. Perito_A'!T16,"AAAAAG/9/5s=")</f>
        <v>#VALUE!</v>
      </c>
      <c r="FA23" t="e">
        <f>AND('4to. Perito_A'!#REF!,"AAAAAG/9/5w=")</f>
        <v>#REF!</v>
      </c>
      <c r="FB23" t="e">
        <f>AND('4to. Perito_A'!#REF!,"AAAAAG/9/50=")</f>
        <v>#REF!</v>
      </c>
      <c r="FC23" t="e">
        <f>AND('4to. Perito_A'!#REF!,"AAAAAG/9/54=")</f>
        <v>#REF!</v>
      </c>
      <c r="FD23" t="e">
        <f>AND('4to. Perito_A'!#REF!,"AAAAAG/9/58=")</f>
        <v>#REF!</v>
      </c>
      <c r="FE23" t="e">
        <f>AND('4to. Perito_A'!#REF!,"AAAAAG/9/6A=")</f>
        <v>#REF!</v>
      </c>
      <c r="FF23">
        <f>IF('4to. Perito_A'!17:17,"AAAAAG/9/6E=",0)</f>
        <v>0</v>
      </c>
      <c r="FG23" t="e">
        <f>AND('4to. Perito_A'!A17,"AAAAAG/9/6I=")</f>
        <v>#VALUE!</v>
      </c>
      <c r="FH23" t="e">
        <f>AND('4to. Perito_A'!B17,"AAAAAG/9/6M=")</f>
        <v>#VALUE!</v>
      </c>
      <c r="FI23" t="e">
        <f>AND('4to. Perito_A'!C17,"AAAAAG/9/6Q=")</f>
        <v>#VALUE!</v>
      </c>
      <c r="FJ23" t="e">
        <f>AND('4to. Perito_A'!D17,"AAAAAG/9/6U=")</f>
        <v>#VALUE!</v>
      </c>
      <c r="FK23" t="e">
        <f>AND('4to. Perito_A'!E17,"AAAAAG/9/6Y=")</f>
        <v>#VALUE!</v>
      </c>
      <c r="FL23" t="e">
        <f>AND('4to. Perito_A'!F17,"AAAAAG/9/6c=")</f>
        <v>#VALUE!</v>
      </c>
      <c r="FM23" t="e">
        <f>AND('4to. Perito_A'!G17,"AAAAAG/9/6g=")</f>
        <v>#VALUE!</v>
      </c>
      <c r="FN23" t="e">
        <f>AND('4to. Perito_A'!H17,"AAAAAG/9/6k=")</f>
        <v>#VALUE!</v>
      </c>
      <c r="FO23" t="e">
        <f>AND('4to. Perito_A'!I17,"AAAAAG/9/6o=")</f>
        <v>#VALUE!</v>
      </c>
      <c r="FP23" t="e">
        <f>AND('4to. Perito_A'!J17,"AAAAAG/9/6s=")</f>
        <v>#VALUE!</v>
      </c>
      <c r="FQ23" t="e">
        <f>AND('4to. Perito_A'!K17,"AAAAAG/9/6w=")</f>
        <v>#VALUE!</v>
      </c>
      <c r="FR23" t="e">
        <f>AND('4to. Perito_A'!L17,"AAAAAG/9/60=")</f>
        <v>#VALUE!</v>
      </c>
      <c r="FS23" t="e">
        <f>AND('4to. Perito_A'!M17,"AAAAAG/9/64=")</f>
        <v>#VALUE!</v>
      </c>
      <c r="FT23" t="e">
        <f>AND('4to. Perito_A'!N17,"AAAAAG/9/68=")</f>
        <v>#VALUE!</v>
      </c>
      <c r="FU23" t="e">
        <f>AND('4to. Perito_A'!O17,"AAAAAG/9/7A=")</f>
        <v>#VALUE!</v>
      </c>
      <c r="FV23" t="e">
        <f>AND('4to. Perito_A'!P17,"AAAAAG/9/7E=")</f>
        <v>#VALUE!</v>
      </c>
      <c r="FW23" t="e">
        <f>AND('4to. Perito_A'!Q17,"AAAAAG/9/7I=")</f>
        <v>#VALUE!</v>
      </c>
      <c r="FX23" t="e">
        <f>AND('4to. Perito_A'!R17,"AAAAAG/9/7M=")</f>
        <v>#VALUE!</v>
      </c>
      <c r="FY23" t="e">
        <f>AND('4to. Perito_A'!S17,"AAAAAG/9/7Q=")</f>
        <v>#VALUE!</v>
      </c>
      <c r="FZ23" t="e">
        <f>AND('4to. Perito_A'!T17,"AAAAAG/9/7U=")</f>
        <v>#VALUE!</v>
      </c>
      <c r="GA23" t="e">
        <f>AND('4to. Perito_A'!#REF!,"AAAAAG/9/7Y=")</f>
        <v>#REF!</v>
      </c>
      <c r="GB23" t="e">
        <f>AND('4to. Perito_A'!#REF!,"AAAAAG/9/7c=")</f>
        <v>#REF!</v>
      </c>
      <c r="GC23" t="e">
        <f>AND('4to. Perito_A'!#REF!,"AAAAAG/9/7g=")</f>
        <v>#REF!</v>
      </c>
      <c r="GD23" t="e">
        <f>AND('4to. Perito_A'!#REF!,"AAAAAG/9/7k=")</f>
        <v>#REF!</v>
      </c>
      <c r="GE23" t="e">
        <f>AND('4to. Perito_A'!#REF!,"AAAAAG/9/7o=")</f>
        <v>#REF!</v>
      </c>
      <c r="GF23">
        <f>IF('4to. Perito_A'!18:18,"AAAAAG/9/7s=",0)</f>
        <v>0</v>
      </c>
      <c r="GG23" t="e">
        <f>AND('4to. Perito_A'!A18,"AAAAAG/9/7w=")</f>
        <v>#VALUE!</v>
      </c>
      <c r="GH23" t="e">
        <f>AND('4to. Perito_A'!B18,"AAAAAG/9/70=")</f>
        <v>#VALUE!</v>
      </c>
      <c r="GI23" t="e">
        <f>AND('4to. Perito_A'!C18,"AAAAAG/9/74=")</f>
        <v>#VALUE!</v>
      </c>
      <c r="GJ23" t="e">
        <f>AND('4to. Perito_A'!D18,"AAAAAG/9/78=")</f>
        <v>#VALUE!</v>
      </c>
      <c r="GK23" t="e">
        <f>AND('4to. Perito_A'!E18,"AAAAAG/9/8A=")</f>
        <v>#VALUE!</v>
      </c>
      <c r="GL23" t="e">
        <f>AND('4to. Perito_A'!F18,"AAAAAG/9/8E=")</f>
        <v>#VALUE!</v>
      </c>
      <c r="GM23" t="e">
        <f>AND('4to. Perito_A'!G18,"AAAAAG/9/8I=")</f>
        <v>#VALUE!</v>
      </c>
      <c r="GN23" t="e">
        <f>AND('4to. Perito_A'!H18,"AAAAAG/9/8M=")</f>
        <v>#VALUE!</v>
      </c>
      <c r="GO23" t="e">
        <f>AND('4to. Perito_A'!I18,"AAAAAG/9/8Q=")</f>
        <v>#VALUE!</v>
      </c>
      <c r="GP23" t="e">
        <f>AND('4to. Perito_A'!J18,"AAAAAG/9/8U=")</f>
        <v>#VALUE!</v>
      </c>
      <c r="GQ23" t="e">
        <f>AND('4to. Perito_A'!K18,"AAAAAG/9/8Y=")</f>
        <v>#VALUE!</v>
      </c>
      <c r="GR23" t="e">
        <f>AND('4to. Perito_A'!L18,"AAAAAG/9/8c=")</f>
        <v>#VALUE!</v>
      </c>
      <c r="GS23" t="e">
        <f>AND('4to. Perito_A'!M18,"AAAAAG/9/8g=")</f>
        <v>#VALUE!</v>
      </c>
      <c r="GT23" t="e">
        <f>AND('4to. Perito_A'!N18,"AAAAAG/9/8k=")</f>
        <v>#VALUE!</v>
      </c>
      <c r="GU23" t="e">
        <f>AND('4to. Perito_A'!O18,"AAAAAG/9/8o=")</f>
        <v>#VALUE!</v>
      </c>
      <c r="GV23" t="e">
        <f>AND('4to. Perito_A'!P18,"AAAAAG/9/8s=")</f>
        <v>#VALUE!</v>
      </c>
      <c r="GW23" t="e">
        <f>AND('4to. Perito_A'!Q18,"AAAAAG/9/8w=")</f>
        <v>#VALUE!</v>
      </c>
      <c r="GX23" t="e">
        <f>AND('4to. Perito_A'!R18,"AAAAAG/9/80=")</f>
        <v>#VALUE!</v>
      </c>
      <c r="GY23" t="e">
        <f>AND('4to. Perito_A'!S18,"AAAAAG/9/84=")</f>
        <v>#VALUE!</v>
      </c>
      <c r="GZ23" t="e">
        <f>AND('4to. Perito_A'!T18,"AAAAAG/9/88=")</f>
        <v>#VALUE!</v>
      </c>
      <c r="HA23" t="e">
        <f>AND('4to. Perito_A'!#REF!,"AAAAAG/9/9A=")</f>
        <v>#REF!</v>
      </c>
      <c r="HB23" t="e">
        <f>AND('4to. Perito_A'!#REF!,"AAAAAG/9/9E=")</f>
        <v>#REF!</v>
      </c>
      <c r="HC23" t="e">
        <f>AND('4to. Perito_A'!#REF!,"AAAAAG/9/9I=")</f>
        <v>#REF!</v>
      </c>
      <c r="HD23" t="e">
        <f>AND('4to. Perito_A'!#REF!,"AAAAAG/9/9M=")</f>
        <v>#REF!</v>
      </c>
      <c r="HE23" t="e">
        <f>AND('4to. Perito_A'!#REF!,"AAAAAG/9/9Q=")</f>
        <v>#REF!</v>
      </c>
      <c r="HF23">
        <f>IF('4to. Perito_A'!19:19,"AAAAAG/9/9U=",0)</f>
        <v>0</v>
      </c>
      <c r="HG23" t="e">
        <f>AND('4to. Perito_A'!A19,"AAAAAG/9/9Y=")</f>
        <v>#VALUE!</v>
      </c>
      <c r="HH23" t="e">
        <f>AND('4to. Perito_A'!B19,"AAAAAG/9/9c=")</f>
        <v>#VALUE!</v>
      </c>
      <c r="HI23" t="e">
        <f>AND('4to. Perito_A'!C19,"AAAAAG/9/9g=")</f>
        <v>#VALUE!</v>
      </c>
      <c r="HJ23" t="e">
        <f>AND('4to. Perito_A'!D19,"AAAAAG/9/9k=")</f>
        <v>#VALUE!</v>
      </c>
      <c r="HK23" t="e">
        <f>AND('4to. Perito_A'!E19,"AAAAAG/9/9o=")</f>
        <v>#VALUE!</v>
      </c>
      <c r="HL23" t="e">
        <f>AND('4to. Perito_A'!F19,"AAAAAG/9/9s=")</f>
        <v>#VALUE!</v>
      </c>
      <c r="HM23" t="e">
        <f>AND('4to. Perito_A'!G19,"AAAAAG/9/9w=")</f>
        <v>#VALUE!</v>
      </c>
      <c r="HN23" t="e">
        <f>AND('4to. Perito_A'!H19,"AAAAAG/9/90=")</f>
        <v>#VALUE!</v>
      </c>
      <c r="HO23" t="e">
        <f>AND('4to. Perito_A'!I19,"AAAAAG/9/94=")</f>
        <v>#VALUE!</v>
      </c>
      <c r="HP23" t="e">
        <f>AND('4to. Perito_A'!J19,"AAAAAG/9/98=")</f>
        <v>#VALUE!</v>
      </c>
      <c r="HQ23" t="e">
        <f>AND('4to. Perito_A'!K19,"AAAAAG/9/+A=")</f>
        <v>#VALUE!</v>
      </c>
      <c r="HR23" t="e">
        <f>AND('4to. Perito_A'!L19,"AAAAAG/9/+E=")</f>
        <v>#VALUE!</v>
      </c>
      <c r="HS23" t="e">
        <f>AND('4to. Perito_A'!M19,"AAAAAG/9/+I=")</f>
        <v>#VALUE!</v>
      </c>
      <c r="HT23" t="e">
        <f>AND('4to. Perito_A'!N19,"AAAAAG/9/+M=")</f>
        <v>#VALUE!</v>
      </c>
      <c r="HU23" t="e">
        <f>AND('4to. Perito_A'!O19,"AAAAAG/9/+Q=")</f>
        <v>#VALUE!</v>
      </c>
      <c r="HV23" t="e">
        <f>AND('4to. Perito_A'!P19,"AAAAAG/9/+U=")</f>
        <v>#VALUE!</v>
      </c>
      <c r="HW23" t="e">
        <f>AND('4to. Perito_A'!Q19,"AAAAAG/9/+Y=")</f>
        <v>#VALUE!</v>
      </c>
      <c r="HX23" t="e">
        <f>AND('4to. Perito_A'!R19,"AAAAAG/9/+c=")</f>
        <v>#VALUE!</v>
      </c>
      <c r="HY23" t="e">
        <f>AND('4to. Perito_A'!S19,"AAAAAG/9/+g=")</f>
        <v>#VALUE!</v>
      </c>
      <c r="HZ23" t="e">
        <f>AND('4to. Perito_A'!T19,"AAAAAG/9/+k=")</f>
        <v>#VALUE!</v>
      </c>
      <c r="IA23" t="e">
        <f>AND('4to. Perito_A'!#REF!,"AAAAAG/9/+o=")</f>
        <v>#REF!</v>
      </c>
      <c r="IB23" t="e">
        <f>AND('4to. Perito_A'!#REF!,"AAAAAG/9/+s=")</f>
        <v>#REF!</v>
      </c>
      <c r="IC23" t="e">
        <f>AND('4to. Perito_A'!#REF!,"AAAAAG/9/+w=")</f>
        <v>#REF!</v>
      </c>
      <c r="ID23" t="e">
        <f>AND('4to. Perito_A'!#REF!,"AAAAAG/9/+0=")</f>
        <v>#REF!</v>
      </c>
      <c r="IE23" t="e">
        <f>AND('4to. Perito_A'!#REF!,"AAAAAG/9/+4=")</f>
        <v>#REF!</v>
      </c>
      <c r="IF23">
        <f>IF('4to. Perito_A'!20:20,"AAAAAG/9/+8=",0)</f>
        <v>0</v>
      </c>
      <c r="IG23" t="e">
        <f>AND('4to. Perito_A'!A20,"AAAAAG/9//A=")</f>
        <v>#VALUE!</v>
      </c>
      <c r="IH23" t="e">
        <f>AND('4to. Perito_A'!B20,"AAAAAG/9//E=")</f>
        <v>#VALUE!</v>
      </c>
      <c r="II23" t="e">
        <f>AND('4to. Perito_A'!C20,"AAAAAG/9//I=")</f>
        <v>#VALUE!</v>
      </c>
      <c r="IJ23" t="e">
        <f>AND('4to. Perito_A'!D20,"AAAAAG/9//M=")</f>
        <v>#VALUE!</v>
      </c>
      <c r="IK23" t="e">
        <f>AND('4to. Perito_A'!E20,"AAAAAG/9//Q=")</f>
        <v>#VALUE!</v>
      </c>
      <c r="IL23" t="e">
        <f>AND('4to. Perito_A'!F20,"AAAAAG/9//U=")</f>
        <v>#VALUE!</v>
      </c>
      <c r="IM23" t="e">
        <f>AND('4to. Perito_A'!G20,"AAAAAG/9//Y=")</f>
        <v>#VALUE!</v>
      </c>
      <c r="IN23" t="e">
        <f>AND('4to. Perito_A'!H20,"AAAAAG/9//c=")</f>
        <v>#VALUE!</v>
      </c>
      <c r="IO23" t="e">
        <f>AND('4to. Perito_A'!I20,"AAAAAG/9//g=")</f>
        <v>#VALUE!</v>
      </c>
      <c r="IP23" t="e">
        <f>AND('4to. Perito_A'!J20,"AAAAAG/9//k=")</f>
        <v>#VALUE!</v>
      </c>
      <c r="IQ23" t="e">
        <f>AND('4to. Perito_A'!K20,"AAAAAG/9//o=")</f>
        <v>#VALUE!</v>
      </c>
      <c r="IR23" t="e">
        <f>AND('4to. Perito_A'!L20,"AAAAAG/9//s=")</f>
        <v>#VALUE!</v>
      </c>
      <c r="IS23" t="e">
        <f>AND('4to. Perito_A'!M20,"AAAAAG/9//w=")</f>
        <v>#VALUE!</v>
      </c>
      <c r="IT23" t="e">
        <f>AND('4to. Perito_A'!N20,"AAAAAG/9//0=")</f>
        <v>#VALUE!</v>
      </c>
      <c r="IU23" t="e">
        <f>AND('4to. Perito_A'!O20,"AAAAAG/9//4=")</f>
        <v>#VALUE!</v>
      </c>
      <c r="IV23" t="e">
        <f>AND('4to. Perito_A'!P20,"AAAAAG/9//8=")</f>
        <v>#VALUE!</v>
      </c>
    </row>
    <row r="24" spans="1:256">
      <c r="A24" t="e">
        <f>AND('4to. Perito_A'!Q20,"AAAAAHP7XwA=")</f>
        <v>#VALUE!</v>
      </c>
      <c r="B24" t="e">
        <f>AND('4to. Perito_A'!R20,"AAAAAHP7XwE=")</f>
        <v>#VALUE!</v>
      </c>
      <c r="C24" t="e">
        <f>AND('4to. Perito_A'!S20,"AAAAAHP7XwI=")</f>
        <v>#VALUE!</v>
      </c>
      <c r="D24" t="e">
        <f>AND('4to. Perito_A'!T20,"AAAAAHP7XwM=")</f>
        <v>#VALUE!</v>
      </c>
      <c r="E24" t="e">
        <f>AND('4to. Perito_A'!#REF!,"AAAAAHP7XwQ=")</f>
        <v>#REF!</v>
      </c>
      <c r="F24" t="e">
        <f>AND('4to. Perito_A'!#REF!,"AAAAAHP7XwU=")</f>
        <v>#REF!</v>
      </c>
      <c r="G24" t="e">
        <f>AND('4to. Perito_A'!#REF!,"AAAAAHP7XwY=")</f>
        <v>#REF!</v>
      </c>
      <c r="H24" t="e">
        <f>AND('4to. Perito_A'!#REF!,"AAAAAHP7Xwc=")</f>
        <v>#REF!</v>
      </c>
      <c r="I24" t="e">
        <f>AND('4to. Perito_A'!#REF!,"AAAAAHP7Xwg=")</f>
        <v>#REF!</v>
      </c>
      <c r="J24">
        <f>IF('4to. Perito_A'!21:21,"AAAAAHP7Xwk=",0)</f>
        <v>0</v>
      </c>
      <c r="K24" t="e">
        <f>AND('4to. Perito_A'!A21,"AAAAAHP7Xwo=")</f>
        <v>#VALUE!</v>
      </c>
      <c r="L24" t="e">
        <f>AND('4to. Perito_A'!B21,"AAAAAHP7Xws=")</f>
        <v>#VALUE!</v>
      </c>
      <c r="M24" t="e">
        <f>AND('4to. Perito_A'!C21,"AAAAAHP7Xww=")</f>
        <v>#VALUE!</v>
      </c>
      <c r="N24" t="e">
        <f>AND('4to. Perito_A'!D21,"AAAAAHP7Xw0=")</f>
        <v>#VALUE!</v>
      </c>
      <c r="O24" t="e">
        <f>AND('4to. Perito_A'!E21,"AAAAAHP7Xw4=")</f>
        <v>#VALUE!</v>
      </c>
      <c r="P24" t="e">
        <f>AND('4to. Perito_A'!F21,"AAAAAHP7Xw8=")</f>
        <v>#VALUE!</v>
      </c>
      <c r="Q24" t="e">
        <f>AND('4to. Perito_A'!G21,"AAAAAHP7XxA=")</f>
        <v>#VALUE!</v>
      </c>
      <c r="R24" t="e">
        <f>AND('4to. Perito_A'!H21,"AAAAAHP7XxE=")</f>
        <v>#VALUE!</v>
      </c>
      <c r="S24" t="e">
        <f>AND('4to. Perito_A'!I21,"AAAAAHP7XxI=")</f>
        <v>#VALUE!</v>
      </c>
      <c r="T24" t="e">
        <f>AND('4to. Perito_A'!J21,"AAAAAHP7XxM=")</f>
        <v>#VALUE!</v>
      </c>
      <c r="U24" t="e">
        <f>AND('4to. Perito_A'!K21,"AAAAAHP7XxQ=")</f>
        <v>#VALUE!</v>
      </c>
      <c r="V24" t="e">
        <f>AND('4to. Perito_A'!L21,"AAAAAHP7XxU=")</f>
        <v>#VALUE!</v>
      </c>
      <c r="W24" t="e">
        <f>AND('4to. Perito_A'!M21,"AAAAAHP7XxY=")</f>
        <v>#VALUE!</v>
      </c>
      <c r="X24" t="e">
        <f>AND('4to. Perito_A'!N21,"AAAAAHP7Xxc=")</f>
        <v>#VALUE!</v>
      </c>
      <c r="Y24" t="e">
        <f>AND('4to. Perito_A'!O21,"AAAAAHP7Xxg=")</f>
        <v>#VALUE!</v>
      </c>
      <c r="Z24" t="e">
        <f>AND('4to. Perito_A'!P21,"AAAAAHP7Xxk=")</f>
        <v>#VALUE!</v>
      </c>
      <c r="AA24" t="e">
        <f>AND('4to. Perito_A'!Q21,"AAAAAHP7Xxo=")</f>
        <v>#VALUE!</v>
      </c>
      <c r="AB24" t="e">
        <f>AND('4to. Perito_A'!R21,"AAAAAHP7Xxs=")</f>
        <v>#VALUE!</v>
      </c>
      <c r="AC24" t="e">
        <f>AND('4to. Perito_A'!S21,"AAAAAHP7Xxw=")</f>
        <v>#VALUE!</v>
      </c>
      <c r="AD24" t="e">
        <f>AND('4to. Perito_A'!T21,"AAAAAHP7Xx0=")</f>
        <v>#VALUE!</v>
      </c>
      <c r="AE24" t="e">
        <f>AND('4to. Perito_A'!#REF!,"AAAAAHP7Xx4=")</f>
        <v>#REF!</v>
      </c>
      <c r="AF24" t="e">
        <f>AND('4to. Perito_A'!#REF!,"AAAAAHP7Xx8=")</f>
        <v>#REF!</v>
      </c>
      <c r="AG24" t="e">
        <f>AND('4to. Perito_A'!#REF!,"AAAAAHP7XyA=")</f>
        <v>#REF!</v>
      </c>
      <c r="AH24" t="e">
        <f>AND('4to. Perito_A'!#REF!,"AAAAAHP7XyE=")</f>
        <v>#REF!</v>
      </c>
      <c r="AI24" t="e">
        <f>AND('4to. Perito_A'!#REF!,"AAAAAHP7XyI=")</f>
        <v>#REF!</v>
      </c>
      <c r="AJ24">
        <f>IF('4to. Perito_A'!22:22,"AAAAAHP7XyM=",0)</f>
        <v>0</v>
      </c>
      <c r="AK24" t="e">
        <f>AND('4to. Perito_A'!A22,"AAAAAHP7XyQ=")</f>
        <v>#VALUE!</v>
      </c>
      <c r="AL24" t="e">
        <f>AND('4to. Perito_A'!B22,"AAAAAHP7XyU=")</f>
        <v>#VALUE!</v>
      </c>
      <c r="AM24" t="e">
        <f>AND('4to. Perito_A'!C22,"AAAAAHP7XyY=")</f>
        <v>#VALUE!</v>
      </c>
      <c r="AN24" t="e">
        <f>AND('4to. Perito_A'!D22,"AAAAAHP7Xyc=")</f>
        <v>#VALUE!</v>
      </c>
      <c r="AO24" t="e">
        <f>AND('4to. Perito_A'!E22,"AAAAAHP7Xyg=")</f>
        <v>#VALUE!</v>
      </c>
      <c r="AP24" t="e">
        <f>AND('4to. Perito_A'!F22,"AAAAAHP7Xyk=")</f>
        <v>#VALUE!</v>
      </c>
      <c r="AQ24" t="e">
        <f>AND('4to. Perito_A'!G22,"AAAAAHP7Xyo=")</f>
        <v>#VALUE!</v>
      </c>
      <c r="AR24" t="e">
        <f>AND('4to. Perito_A'!H22,"AAAAAHP7Xys=")</f>
        <v>#VALUE!</v>
      </c>
      <c r="AS24" t="e">
        <f>AND('4to. Perito_A'!I22,"AAAAAHP7Xyw=")</f>
        <v>#VALUE!</v>
      </c>
      <c r="AT24" t="e">
        <f>AND('4to. Perito_A'!J22,"AAAAAHP7Xy0=")</f>
        <v>#VALUE!</v>
      </c>
      <c r="AU24" t="e">
        <f>AND('4to. Perito_A'!K22,"AAAAAHP7Xy4=")</f>
        <v>#VALUE!</v>
      </c>
      <c r="AV24" t="e">
        <f>AND('4to. Perito_A'!L22,"AAAAAHP7Xy8=")</f>
        <v>#VALUE!</v>
      </c>
      <c r="AW24" t="e">
        <f>AND('4to. Perito_A'!M22,"AAAAAHP7XzA=")</f>
        <v>#VALUE!</v>
      </c>
      <c r="AX24" t="e">
        <f>AND('4to. Perito_A'!N22,"AAAAAHP7XzE=")</f>
        <v>#VALUE!</v>
      </c>
      <c r="AY24" t="e">
        <f>AND('4to. Perito_A'!O22,"AAAAAHP7XzI=")</f>
        <v>#VALUE!</v>
      </c>
      <c r="AZ24" t="e">
        <f>AND('4to. Perito_A'!P22,"AAAAAHP7XzM=")</f>
        <v>#VALUE!</v>
      </c>
      <c r="BA24" t="e">
        <f>AND('4to. Perito_A'!Q22,"AAAAAHP7XzQ=")</f>
        <v>#VALUE!</v>
      </c>
      <c r="BB24" t="e">
        <f>AND('4to. Perito_A'!R22,"AAAAAHP7XzU=")</f>
        <v>#VALUE!</v>
      </c>
      <c r="BC24" t="e">
        <f>AND('4to. Perito_A'!S22,"AAAAAHP7XzY=")</f>
        <v>#VALUE!</v>
      </c>
      <c r="BD24" t="e">
        <f>AND('4to. Perito_A'!T22,"AAAAAHP7Xzc=")</f>
        <v>#VALUE!</v>
      </c>
      <c r="BE24" t="e">
        <f>AND('4to. Perito_A'!#REF!,"AAAAAHP7Xzg=")</f>
        <v>#REF!</v>
      </c>
      <c r="BF24" t="e">
        <f>AND('4to. Perito_A'!#REF!,"AAAAAHP7Xzk=")</f>
        <v>#REF!</v>
      </c>
      <c r="BG24" t="e">
        <f>AND('4to. Perito_A'!#REF!,"AAAAAHP7Xzo=")</f>
        <v>#REF!</v>
      </c>
      <c r="BH24" t="e">
        <f>AND('4to. Perito_A'!#REF!,"AAAAAHP7Xzs=")</f>
        <v>#REF!</v>
      </c>
      <c r="BI24" t="e">
        <f>AND('4to. Perito_A'!#REF!,"AAAAAHP7Xzw=")</f>
        <v>#REF!</v>
      </c>
      <c r="BJ24">
        <f>IF('4to. Perito_A'!23:23,"AAAAAHP7Xz0=",0)</f>
        <v>0</v>
      </c>
      <c r="BK24" t="e">
        <f>AND('4to. Perito_A'!A23,"AAAAAHP7Xz4=")</f>
        <v>#VALUE!</v>
      </c>
      <c r="BL24" t="e">
        <f>AND('4to. Perito_A'!B23,"AAAAAHP7Xz8=")</f>
        <v>#VALUE!</v>
      </c>
      <c r="BM24" t="e">
        <f>AND('4to. Perito_A'!C23,"AAAAAHP7X0A=")</f>
        <v>#VALUE!</v>
      </c>
      <c r="BN24" t="e">
        <f>AND('4to. Perito_A'!D23,"AAAAAHP7X0E=")</f>
        <v>#VALUE!</v>
      </c>
      <c r="BO24" t="e">
        <f>AND('4to. Perito_A'!E23,"AAAAAHP7X0I=")</f>
        <v>#VALUE!</v>
      </c>
      <c r="BP24" t="e">
        <f>AND('4to. Perito_A'!F23,"AAAAAHP7X0M=")</f>
        <v>#VALUE!</v>
      </c>
      <c r="BQ24" t="e">
        <f>AND('4to. Perito_A'!G23,"AAAAAHP7X0Q=")</f>
        <v>#VALUE!</v>
      </c>
      <c r="BR24" t="e">
        <f>AND('4to. Perito_A'!H23,"AAAAAHP7X0U=")</f>
        <v>#VALUE!</v>
      </c>
      <c r="BS24" t="e">
        <f>AND('4to. Perito_A'!I23,"AAAAAHP7X0Y=")</f>
        <v>#VALUE!</v>
      </c>
      <c r="BT24" t="e">
        <f>AND('4to. Perito_A'!J23,"AAAAAHP7X0c=")</f>
        <v>#VALUE!</v>
      </c>
      <c r="BU24" t="e">
        <f>AND('4to. Perito_A'!K23,"AAAAAHP7X0g=")</f>
        <v>#VALUE!</v>
      </c>
      <c r="BV24" t="e">
        <f>AND('4to. Perito_A'!L23,"AAAAAHP7X0k=")</f>
        <v>#VALUE!</v>
      </c>
      <c r="BW24" t="e">
        <f>AND('4to. Perito_A'!M23,"AAAAAHP7X0o=")</f>
        <v>#VALUE!</v>
      </c>
      <c r="BX24" t="e">
        <f>AND('4to. Perito_A'!N23,"AAAAAHP7X0s=")</f>
        <v>#VALUE!</v>
      </c>
      <c r="BY24" t="e">
        <f>AND('4to. Perito_A'!O23,"AAAAAHP7X0w=")</f>
        <v>#VALUE!</v>
      </c>
      <c r="BZ24" t="e">
        <f>AND('4to. Perito_A'!P23,"AAAAAHP7X00=")</f>
        <v>#VALUE!</v>
      </c>
      <c r="CA24" t="e">
        <f>AND('4to. Perito_A'!Q23,"AAAAAHP7X04=")</f>
        <v>#VALUE!</v>
      </c>
      <c r="CB24" t="e">
        <f>AND('4to. Perito_A'!R23,"AAAAAHP7X08=")</f>
        <v>#VALUE!</v>
      </c>
      <c r="CC24" t="e">
        <f>AND('4to. Perito_A'!S23,"AAAAAHP7X1A=")</f>
        <v>#VALUE!</v>
      </c>
      <c r="CD24" t="e">
        <f>AND('4to. Perito_A'!T23,"AAAAAHP7X1E=")</f>
        <v>#VALUE!</v>
      </c>
      <c r="CE24" t="e">
        <f>AND('4to. Perito_A'!#REF!,"AAAAAHP7X1I=")</f>
        <v>#REF!</v>
      </c>
      <c r="CF24" t="e">
        <f>AND('4to. Perito_A'!#REF!,"AAAAAHP7X1M=")</f>
        <v>#REF!</v>
      </c>
      <c r="CG24" t="e">
        <f>AND('4to. Perito_A'!#REF!,"AAAAAHP7X1Q=")</f>
        <v>#REF!</v>
      </c>
      <c r="CH24" t="e">
        <f>AND('4to. Perito_A'!#REF!,"AAAAAHP7X1U=")</f>
        <v>#REF!</v>
      </c>
      <c r="CI24" t="e">
        <f>AND('4to. Perito_A'!#REF!,"AAAAAHP7X1Y=")</f>
        <v>#REF!</v>
      </c>
      <c r="CJ24">
        <f>IF('4to. Perito_A'!24:24,"AAAAAHP7X1c=",0)</f>
        <v>0</v>
      </c>
      <c r="CK24" t="e">
        <f>AND('4to. Perito_A'!A24,"AAAAAHP7X1g=")</f>
        <v>#VALUE!</v>
      </c>
      <c r="CL24" t="e">
        <f>AND('4to. Perito_A'!B24,"AAAAAHP7X1k=")</f>
        <v>#VALUE!</v>
      </c>
      <c r="CM24" t="e">
        <f>AND('4to. Perito_A'!C24,"AAAAAHP7X1o=")</f>
        <v>#VALUE!</v>
      </c>
      <c r="CN24" t="e">
        <f>AND('4to. Perito_A'!D24,"AAAAAHP7X1s=")</f>
        <v>#VALUE!</v>
      </c>
      <c r="CO24" t="e">
        <f>AND('4to. Perito_A'!E24,"AAAAAHP7X1w=")</f>
        <v>#VALUE!</v>
      </c>
      <c r="CP24" t="e">
        <f>AND('4to. Perito_A'!F24,"AAAAAHP7X10=")</f>
        <v>#VALUE!</v>
      </c>
      <c r="CQ24" t="e">
        <f>AND('4to. Perito_A'!G24,"AAAAAHP7X14=")</f>
        <v>#VALUE!</v>
      </c>
      <c r="CR24" t="e">
        <f>AND('4to. Perito_A'!H24,"AAAAAHP7X18=")</f>
        <v>#VALUE!</v>
      </c>
      <c r="CS24" t="e">
        <f>AND('4to. Perito_A'!I24,"AAAAAHP7X2A=")</f>
        <v>#VALUE!</v>
      </c>
      <c r="CT24" t="e">
        <f>AND('4to. Perito_A'!J24,"AAAAAHP7X2E=")</f>
        <v>#VALUE!</v>
      </c>
      <c r="CU24" t="e">
        <f>AND('4to. Perito_A'!K24,"AAAAAHP7X2I=")</f>
        <v>#VALUE!</v>
      </c>
      <c r="CV24" t="e">
        <f>AND('4to. Perito_A'!L24,"AAAAAHP7X2M=")</f>
        <v>#VALUE!</v>
      </c>
      <c r="CW24" t="e">
        <f>AND('4to. Perito_A'!M24,"AAAAAHP7X2Q=")</f>
        <v>#VALUE!</v>
      </c>
      <c r="CX24" t="e">
        <f>AND('4to. Perito_A'!N24,"AAAAAHP7X2U=")</f>
        <v>#VALUE!</v>
      </c>
      <c r="CY24" t="e">
        <f>AND('4to. Perito_A'!O24,"AAAAAHP7X2Y=")</f>
        <v>#VALUE!</v>
      </c>
      <c r="CZ24" t="e">
        <f>AND('4to. Perito_A'!P24,"AAAAAHP7X2c=")</f>
        <v>#VALUE!</v>
      </c>
      <c r="DA24" t="e">
        <f>AND('4to. Perito_A'!Q24,"AAAAAHP7X2g=")</f>
        <v>#VALUE!</v>
      </c>
      <c r="DB24" t="e">
        <f>AND('4to. Perito_A'!R24,"AAAAAHP7X2k=")</f>
        <v>#VALUE!</v>
      </c>
      <c r="DC24" t="e">
        <f>AND('4to. Perito_A'!S24,"AAAAAHP7X2o=")</f>
        <v>#VALUE!</v>
      </c>
      <c r="DD24" t="e">
        <f>AND('4to. Perito_A'!T24,"AAAAAHP7X2s=")</f>
        <v>#VALUE!</v>
      </c>
      <c r="DE24" t="e">
        <f>AND('4to. Perito_A'!#REF!,"AAAAAHP7X2w=")</f>
        <v>#REF!</v>
      </c>
      <c r="DF24" t="e">
        <f>AND('4to. Perito_A'!#REF!,"AAAAAHP7X20=")</f>
        <v>#REF!</v>
      </c>
      <c r="DG24" t="e">
        <f>AND('4to. Perito_A'!#REF!,"AAAAAHP7X24=")</f>
        <v>#REF!</v>
      </c>
      <c r="DH24" t="e">
        <f>AND('4to. Perito_A'!#REF!,"AAAAAHP7X28=")</f>
        <v>#REF!</v>
      </c>
      <c r="DI24" t="e">
        <f>AND('4to. Perito_A'!#REF!,"AAAAAHP7X3A=")</f>
        <v>#REF!</v>
      </c>
      <c r="DJ24">
        <f>IF('4to. Perito_A'!25:25,"AAAAAHP7X3E=",0)</f>
        <v>0</v>
      </c>
      <c r="DK24" t="e">
        <f>AND('4to. Perito_A'!A25,"AAAAAHP7X3I=")</f>
        <v>#VALUE!</v>
      </c>
      <c r="DL24" t="e">
        <f>AND('4to. Perito_A'!B25,"AAAAAHP7X3M=")</f>
        <v>#VALUE!</v>
      </c>
      <c r="DM24" t="e">
        <f>AND('4to. Perito_A'!C25,"AAAAAHP7X3Q=")</f>
        <v>#VALUE!</v>
      </c>
      <c r="DN24" t="e">
        <f>AND('4to. Perito_A'!D25,"AAAAAHP7X3U=")</f>
        <v>#VALUE!</v>
      </c>
      <c r="DO24" t="e">
        <f>AND('4to. Perito_A'!E25,"AAAAAHP7X3Y=")</f>
        <v>#VALUE!</v>
      </c>
      <c r="DP24" t="e">
        <f>AND('4to. Perito_A'!F25,"AAAAAHP7X3c=")</f>
        <v>#VALUE!</v>
      </c>
      <c r="DQ24" t="e">
        <f>AND('4to. Perito_A'!G25,"AAAAAHP7X3g=")</f>
        <v>#VALUE!</v>
      </c>
      <c r="DR24" t="e">
        <f>AND('4to. Perito_A'!H25,"AAAAAHP7X3k=")</f>
        <v>#VALUE!</v>
      </c>
      <c r="DS24" t="e">
        <f>AND('4to. Perito_A'!I25,"AAAAAHP7X3o=")</f>
        <v>#VALUE!</v>
      </c>
      <c r="DT24" t="e">
        <f>AND('4to. Perito_A'!J25,"AAAAAHP7X3s=")</f>
        <v>#VALUE!</v>
      </c>
      <c r="DU24" t="e">
        <f>AND('4to. Perito_A'!K25,"AAAAAHP7X3w=")</f>
        <v>#VALUE!</v>
      </c>
      <c r="DV24" t="e">
        <f>AND('4to. Perito_A'!L25,"AAAAAHP7X30=")</f>
        <v>#VALUE!</v>
      </c>
      <c r="DW24" t="e">
        <f>AND('4to. Perito_A'!M25,"AAAAAHP7X34=")</f>
        <v>#VALUE!</v>
      </c>
      <c r="DX24" t="e">
        <f>AND('4to. Perito_A'!N25,"AAAAAHP7X38=")</f>
        <v>#VALUE!</v>
      </c>
      <c r="DY24" t="e">
        <f>AND('4to. Perito_A'!O25,"AAAAAHP7X4A=")</f>
        <v>#VALUE!</v>
      </c>
      <c r="DZ24" t="e">
        <f>AND('4to. Perito_A'!P25,"AAAAAHP7X4E=")</f>
        <v>#VALUE!</v>
      </c>
      <c r="EA24" t="e">
        <f>AND('4to. Perito_A'!Q25,"AAAAAHP7X4I=")</f>
        <v>#VALUE!</v>
      </c>
      <c r="EB24" t="e">
        <f>AND('4to. Perito_A'!R25,"AAAAAHP7X4M=")</f>
        <v>#VALUE!</v>
      </c>
      <c r="EC24" t="e">
        <f>AND('4to. Perito_A'!S25,"AAAAAHP7X4Q=")</f>
        <v>#VALUE!</v>
      </c>
      <c r="ED24" t="e">
        <f>AND('4to. Perito_A'!T25,"AAAAAHP7X4U=")</f>
        <v>#VALUE!</v>
      </c>
      <c r="EE24" t="e">
        <f>AND('4to. Perito_A'!#REF!,"AAAAAHP7X4Y=")</f>
        <v>#REF!</v>
      </c>
      <c r="EF24" t="e">
        <f>AND('4to. Perito_A'!#REF!,"AAAAAHP7X4c=")</f>
        <v>#REF!</v>
      </c>
      <c r="EG24" t="e">
        <f>AND('4to. Perito_A'!#REF!,"AAAAAHP7X4g=")</f>
        <v>#REF!</v>
      </c>
      <c r="EH24" t="e">
        <f>AND('4to. Perito_A'!#REF!,"AAAAAHP7X4k=")</f>
        <v>#REF!</v>
      </c>
      <c r="EI24" t="e">
        <f>AND('4to. Perito_A'!#REF!,"AAAAAHP7X4o=")</f>
        <v>#REF!</v>
      </c>
      <c r="EJ24">
        <f>IF('4to. Perito_A'!26:26,"AAAAAHP7X4s=",0)</f>
        <v>0</v>
      </c>
      <c r="EK24" t="e">
        <f>AND('4to. Perito_A'!A26,"AAAAAHP7X4w=")</f>
        <v>#VALUE!</v>
      </c>
      <c r="EL24" t="e">
        <f>AND('4to. Perito_A'!B26,"AAAAAHP7X40=")</f>
        <v>#VALUE!</v>
      </c>
      <c r="EM24" t="e">
        <f>AND('4to. Perito_A'!C26,"AAAAAHP7X44=")</f>
        <v>#VALUE!</v>
      </c>
      <c r="EN24" t="e">
        <f>AND('4to. Perito_A'!D26,"AAAAAHP7X48=")</f>
        <v>#VALUE!</v>
      </c>
      <c r="EO24" t="e">
        <f>AND('4to. Perito_A'!E26,"AAAAAHP7X5A=")</f>
        <v>#VALUE!</v>
      </c>
      <c r="EP24" t="e">
        <f>AND('4to. Perito_A'!F26,"AAAAAHP7X5E=")</f>
        <v>#VALUE!</v>
      </c>
      <c r="EQ24" t="e">
        <f>AND('4to. Perito_A'!G26,"AAAAAHP7X5I=")</f>
        <v>#VALUE!</v>
      </c>
      <c r="ER24" t="e">
        <f>AND('4to. Perito_A'!H26,"AAAAAHP7X5M=")</f>
        <v>#VALUE!</v>
      </c>
      <c r="ES24" t="e">
        <f>AND('4to. Perito_A'!I26,"AAAAAHP7X5Q=")</f>
        <v>#VALUE!</v>
      </c>
      <c r="ET24" t="e">
        <f>AND('4to. Perito_A'!J26,"AAAAAHP7X5U=")</f>
        <v>#VALUE!</v>
      </c>
      <c r="EU24" t="e">
        <f>AND('4to. Perito_A'!K26,"AAAAAHP7X5Y=")</f>
        <v>#VALUE!</v>
      </c>
      <c r="EV24" t="e">
        <f>AND('4to. Perito_A'!L26,"AAAAAHP7X5c=")</f>
        <v>#VALUE!</v>
      </c>
      <c r="EW24" t="e">
        <f>AND('4to. Perito_A'!M26,"AAAAAHP7X5g=")</f>
        <v>#VALUE!</v>
      </c>
      <c r="EX24" t="e">
        <f>AND('4to. Perito_A'!N26,"AAAAAHP7X5k=")</f>
        <v>#VALUE!</v>
      </c>
      <c r="EY24" t="e">
        <f>AND('4to. Perito_A'!O26,"AAAAAHP7X5o=")</f>
        <v>#VALUE!</v>
      </c>
      <c r="EZ24" t="e">
        <f>AND('4to. Perito_A'!P26,"AAAAAHP7X5s=")</f>
        <v>#VALUE!</v>
      </c>
      <c r="FA24" t="e">
        <f>AND('4to. Perito_A'!Q26,"AAAAAHP7X5w=")</f>
        <v>#VALUE!</v>
      </c>
      <c r="FB24" t="e">
        <f>AND('4to. Perito_A'!R26,"AAAAAHP7X50=")</f>
        <v>#VALUE!</v>
      </c>
      <c r="FC24" t="e">
        <f>AND('4to. Perito_A'!S26,"AAAAAHP7X54=")</f>
        <v>#VALUE!</v>
      </c>
      <c r="FD24" t="e">
        <f>AND('4to. Perito_A'!T26,"AAAAAHP7X58=")</f>
        <v>#VALUE!</v>
      </c>
      <c r="FE24" t="e">
        <f>AND('4to. Perito_A'!#REF!,"AAAAAHP7X6A=")</f>
        <v>#REF!</v>
      </c>
      <c r="FF24" t="e">
        <f>AND('4to. Perito_A'!#REF!,"AAAAAHP7X6E=")</f>
        <v>#REF!</v>
      </c>
      <c r="FG24" t="e">
        <f>AND('4to. Perito_A'!#REF!,"AAAAAHP7X6I=")</f>
        <v>#REF!</v>
      </c>
      <c r="FH24" t="e">
        <f>AND('4to. Perito_A'!#REF!,"AAAAAHP7X6M=")</f>
        <v>#REF!</v>
      </c>
      <c r="FI24" t="e">
        <f>AND('4to. Perito_A'!#REF!,"AAAAAHP7X6Q=")</f>
        <v>#REF!</v>
      </c>
      <c r="FJ24">
        <f>IF('4to. Perito_A'!27:27,"AAAAAHP7X6U=",0)</f>
        <v>0</v>
      </c>
      <c r="FK24" t="e">
        <f>AND('4to. Perito_A'!A27,"AAAAAHP7X6Y=")</f>
        <v>#VALUE!</v>
      </c>
      <c r="FL24" t="e">
        <f>AND('4to. Perito_A'!B27,"AAAAAHP7X6c=")</f>
        <v>#VALUE!</v>
      </c>
      <c r="FM24" t="e">
        <f>AND('4to. Perito_A'!C27,"AAAAAHP7X6g=")</f>
        <v>#VALUE!</v>
      </c>
      <c r="FN24" t="e">
        <f>AND('4to. Perito_A'!D27,"AAAAAHP7X6k=")</f>
        <v>#VALUE!</v>
      </c>
      <c r="FO24" t="e">
        <f>AND('4to. Perito_A'!E27,"AAAAAHP7X6o=")</f>
        <v>#VALUE!</v>
      </c>
      <c r="FP24" t="e">
        <f>AND('4to. Perito_A'!F27,"AAAAAHP7X6s=")</f>
        <v>#VALUE!</v>
      </c>
      <c r="FQ24" t="e">
        <f>AND('4to. Perito_A'!G27,"AAAAAHP7X6w=")</f>
        <v>#VALUE!</v>
      </c>
      <c r="FR24" t="e">
        <f>AND('4to. Perito_A'!H27,"AAAAAHP7X60=")</f>
        <v>#VALUE!</v>
      </c>
      <c r="FS24" t="e">
        <f>AND('4to. Perito_A'!I27,"AAAAAHP7X64=")</f>
        <v>#VALUE!</v>
      </c>
      <c r="FT24" t="e">
        <f>AND('4to. Perito_A'!J27,"AAAAAHP7X68=")</f>
        <v>#VALUE!</v>
      </c>
      <c r="FU24" t="e">
        <f>AND('4to. Perito_A'!K27,"AAAAAHP7X7A=")</f>
        <v>#VALUE!</v>
      </c>
      <c r="FV24" t="e">
        <f>AND('4to. Perito_A'!L27,"AAAAAHP7X7E=")</f>
        <v>#VALUE!</v>
      </c>
      <c r="FW24" t="e">
        <f>AND('4to. Perito_A'!M27,"AAAAAHP7X7I=")</f>
        <v>#VALUE!</v>
      </c>
      <c r="FX24" t="e">
        <f>AND('4to. Perito_A'!N27,"AAAAAHP7X7M=")</f>
        <v>#VALUE!</v>
      </c>
      <c r="FY24" t="e">
        <f>AND('4to. Perito_A'!O27,"AAAAAHP7X7Q=")</f>
        <v>#VALUE!</v>
      </c>
      <c r="FZ24" t="e">
        <f>AND('4to. Perito_A'!P27,"AAAAAHP7X7U=")</f>
        <v>#VALUE!</v>
      </c>
      <c r="GA24" t="e">
        <f>AND('4to. Perito_A'!Q27,"AAAAAHP7X7Y=")</f>
        <v>#VALUE!</v>
      </c>
      <c r="GB24" t="e">
        <f>AND('4to. Perito_A'!R27,"AAAAAHP7X7c=")</f>
        <v>#VALUE!</v>
      </c>
      <c r="GC24" t="e">
        <f>AND('4to. Perito_A'!S27,"AAAAAHP7X7g=")</f>
        <v>#VALUE!</v>
      </c>
      <c r="GD24" t="e">
        <f>AND('4to. Perito_A'!T27,"AAAAAHP7X7k=")</f>
        <v>#VALUE!</v>
      </c>
      <c r="GE24" t="e">
        <f>AND('4to. Perito_A'!#REF!,"AAAAAHP7X7o=")</f>
        <v>#REF!</v>
      </c>
      <c r="GF24" t="e">
        <f>AND('4to. Perito_A'!#REF!,"AAAAAHP7X7s=")</f>
        <v>#REF!</v>
      </c>
      <c r="GG24" t="e">
        <f>AND('4to. Perito_A'!#REF!,"AAAAAHP7X7w=")</f>
        <v>#REF!</v>
      </c>
      <c r="GH24" t="e">
        <f>AND('4to. Perito_A'!#REF!,"AAAAAHP7X70=")</f>
        <v>#REF!</v>
      </c>
      <c r="GI24" t="e">
        <f>AND('4to. Perito_A'!#REF!,"AAAAAHP7X74=")</f>
        <v>#REF!</v>
      </c>
      <c r="GJ24">
        <f>IF('4to. Perito_A'!28:28,"AAAAAHP7X78=",0)</f>
        <v>0</v>
      </c>
      <c r="GK24" t="e">
        <f>AND('4to. Perito_A'!A28,"AAAAAHP7X8A=")</f>
        <v>#VALUE!</v>
      </c>
      <c r="GL24" t="e">
        <f>AND('4to. Perito_A'!B28,"AAAAAHP7X8E=")</f>
        <v>#VALUE!</v>
      </c>
      <c r="GM24" t="e">
        <f>AND('4to. Perito_A'!C28,"AAAAAHP7X8I=")</f>
        <v>#VALUE!</v>
      </c>
      <c r="GN24" t="e">
        <f>AND('4to. Perito_A'!D28,"AAAAAHP7X8M=")</f>
        <v>#VALUE!</v>
      </c>
      <c r="GO24" t="e">
        <f>AND('4to. Perito_A'!E28,"AAAAAHP7X8Q=")</f>
        <v>#VALUE!</v>
      </c>
      <c r="GP24" t="e">
        <f>AND('4to. Perito_A'!F28,"AAAAAHP7X8U=")</f>
        <v>#VALUE!</v>
      </c>
      <c r="GQ24" t="e">
        <f>AND('4to. Perito_A'!G28,"AAAAAHP7X8Y=")</f>
        <v>#VALUE!</v>
      </c>
      <c r="GR24" t="e">
        <f>AND('4to. Perito_A'!H28,"AAAAAHP7X8c=")</f>
        <v>#VALUE!</v>
      </c>
      <c r="GS24" t="e">
        <f>AND('4to. Perito_A'!I28,"AAAAAHP7X8g=")</f>
        <v>#VALUE!</v>
      </c>
      <c r="GT24" t="e">
        <f>AND('4to. Perito_A'!J28,"AAAAAHP7X8k=")</f>
        <v>#VALUE!</v>
      </c>
      <c r="GU24" t="e">
        <f>AND('4to. Perito_A'!K28,"AAAAAHP7X8o=")</f>
        <v>#VALUE!</v>
      </c>
      <c r="GV24" t="e">
        <f>AND('4to. Perito_A'!L28,"AAAAAHP7X8s=")</f>
        <v>#VALUE!</v>
      </c>
      <c r="GW24" t="e">
        <f>AND('4to. Perito_A'!M28,"AAAAAHP7X8w=")</f>
        <v>#VALUE!</v>
      </c>
      <c r="GX24" t="e">
        <f>AND('4to. Perito_A'!N28,"AAAAAHP7X80=")</f>
        <v>#VALUE!</v>
      </c>
      <c r="GY24" t="e">
        <f>AND('4to. Perito_A'!O28,"AAAAAHP7X84=")</f>
        <v>#VALUE!</v>
      </c>
      <c r="GZ24" t="e">
        <f>AND('4to. Perito_A'!P28,"AAAAAHP7X88=")</f>
        <v>#VALUE!</v>
      </c>
      <c r="HA24" t="e">
        <f>AND('4to. Perito_A'!Q28,"AAAAAHP7X9A=")</f>
        <v>#VALUE!</v>
      </c>
      <c r="HB24" t="e">
        <f>AND('4to. Perito_A'!R28,"AAAAAHP7X9E=")</f>
        <v>#VALUE!</v>
      </c>
      <c r="HC24" t="e">
        <f>AND('4to. Perito_A'!S28,"AAAAAHP7X9I=")</f>
        <v>#VALUE!</v>
      </c>
      <c r="HD24" t="e">
        <f>AND('4to. Perito_A'!T28,"AAAAAHP7X9M=")</f>
        <v>#VALUE!</v>
      </c>
      <c r="HE24" t="e">
        <f>AND('4to. Perito_A'!#REF!,"AAAAAHP7X9Q=")</f>
        <v>#REF!</v>
      </c>
      <c r="HF24" t="e">
        <f>AND('4to. Perito_A'!#REF!,"AAAAAHP7X9U=")</f>
        <v>#REF!</v>
      </c>
      <c r="HG24" t="e">
        <f>AND('4to. Perito_A'!#REF!,"AAAAAHP7X9Y=")</f>
        <v>#REF!</v>
      </c>
      <c r="HH24" t="e">
        <f>AND('4to. Perito_A'!#REF!,"AAAAAHP7X9c=")</f>
        <v>#REF!</v>
      </c>
      <c r="HI24" t="e">
        <f>AND('4to. Perito_A'!#REF!,"AAAAAHP7X9g=")</f>
        <v>#REF!</v>
      </c>
      <c r="HJ24">
        <f>IF('4to. Perito_A'!29:29,"AAAAAHP7X9k=",0)</f>
        <v>0</v>
      </c>
      <c r="HK24" t="e">
        <f>AND('4to. Perito_A'!A29,"AAAAAHP7X9o=")</f>
        <v>#VALUE!</v>
      </c>
      <c r="HL24" t="e">
        <f>AND('4to. Perito_A'!B29,"AAAAAHP7X9s=")</f>
        <v>#VALUE!</v>
      </c>
      <c r="HM24" t="e">
        <f>AND('4to. Perito_A'!C29,"AAAAAHP7X9w=")</f>
        <v>#VALUE!</v>
      </c>
      <c r="HN24" t="e">
        <f>AND('4to. Perito_A'!D29,"AAAAAHP7X90=")</f>
        <v>#VALUE!</v>
      </c>
      <c r="HO24" t="e">
        <f>AND('4to. Perito_A'!E29,"AAAAAHP7X94=")</f>
        <v>#VALUE!</v>
      </c>
      <c r="HP24" t="e">
        <f>AND('4to. Perito_A'!F29,"AAAAAHP7X98=")</f>
        <v>#VALUE!</v>
      </c>
      <c r="HQ24" t="e">
        <f>AND('4to. Perito_A'!G29,"AAAAAHP7X+A=")</f>
        <v>#VALUE!</v>
      </c>
      <c r="HR24" t="e">
        <f>AND('4to. Perito_A'!H29,"AAAAAHP7X+E=")</f>
        <v>#VALUE!</v>
      </c>
      <c r="HS24" t="e">
        <f>AND('4to. Perito_A'!I29,"AAAAAHP7X+I=")</f>
        <v>#VALUE!</v>
      </c>
      <c r="HT24" t="e">
        <f>AND('4to. Perito_A'!J29,"AAAAAHP7X+M=")</f>
        <v>#VALUE!</v>
      </c>
      <c r="HU24" t="e">
        <f>AND('4to. Perito_A'!K29,"AAAAAHP7X+Q=")</f>
        <v>#VALUE!</v>
      </c>
      <c r="HV24" t="e">
        <f>AND('4to. Perito_A'!L29,"AAAAAHP7X+U=")</f>
        <v>#VALUE!</v>
      </c>
      <c r="HW24" t="e">
        <f>AND('4to. Perito_A'!M29,"AAAAAHP7X+Y=")</f>
        <v>#VALUE!</v>
      </c>
      <c r="HX24" t="e">
        <f>AND('4to. Perito_A'!N29,"AAAAAHP7X+c=")</f>
        <v>#VALUE!</v>
      </c>
      <c r="HY24" t="e">
        <f>AND('4to. Perito_A'!O29,"AAAAAHP7X+g=")</f>
        <v>#VALUE!</v>
      </c>
      <c r="HZ24" t="e">
        <f>AND('4to. Perito_A'!P29,"AAAAAHP7X+k=")</f>
        <v>#VALUE!</v>
      </c>
      <c r="IA24" t="e">
        <f>AND('4to. Perito_A'!Q29,"AAAAAHP7X+o=")</f>
        <v>#VALUE!</v>
      </c>
      <c r="IB24" t="e">
        <f>AND('4to. Perito_A'!R29,"AAAAAHP7X+s=")</f>
        <v>#VALUE!</v>
      </c>
      <c r="IC24" t="e">
        <f>AND('4to. Perito_A'!S29,"AAAAAHP7X+w=")</f>
        <v>#VALUE!</v>
      </c>
      <c r="ID24" t="e">
        <f>AND('4to. Perito_A'!T29,"AAAAAHP7X+0=")</f>
        <v>#VALUE!</v>
      </c>
      <c r="IE24" t="e">
        <f>AND('4to. Perito_A'!#REF!,"AAAAAHP7X+4=")</f>
        <v>#REF!</v>
      </c>
      <c r="IF24" t="e">
        <f>AND('4to. Perito_A'!#REF!,"AAAAAHP7X+8=")</f>
        <v>#REF!</v>
      </c>
      <c r="IG24" t="e">
        <f>AND('4to. Perito_A'!#REF!,"AAAAAHP7X/A=")</f>
        <v>#REF!</v>
      </c>
      <c r="IH24" t="e">
        <f>AND('4to. Perito_A'!#REF!,"AAAAAHP7X/E=")</f>
        <v>#REF!</v>
      </c>
      <c r="II24" t="e">
        <f>AND('4to. Perito_A'!#REF!,"AAAAAHP7X/I=")</f>
        <v>#REF!</v>
      </c>
      <c r="IJ24">
        <f>IF('4to. Perito_A'!30:30,"AAAAAHP7X/M=",0)</f>
        <v>0</v>
      </c>
      <c r="IK24" t="e">
        <f>AND('4to. Perito_A'!A30,"AAAAAHP7X/Q=")</f>
        <v>#VALUE!</v>
      </c>
      <c r="IL24" t="e">
        <f>AND('4to. Perito_A'!B30,"AAAAAHP7X/U=")</f>
        <v>#VALUE!</v>
      </c>
      <c r="IM24" t="e">
        <f>AND('4to. Perito_A'!C30,"AAAAAHP7X/Y=")</f>
        <v>#VALUE!</v>
      </c>
      <c r="IN24" t="e">
        <f>AND('4to. Perito_A'!D30,"AAAAAHP7X/c=")</f>
        <v>#VALUE!</v>
      </c>
      <c r="IO24" t="e">
        <f>AND('4to. Perito_A'!E30,"AAAAAHP7X/g=")</f>
        <v>#VALUE!</v>
      </c>
      <c r="IP24" t="e">
        <f>AND('4to. Perito_A'!F30,"AAAAAHP7X/k=")</f>
        <v>#VALUE!</v>
      </c>
      <c r="IQ24" t="e">
        <f>AND('4to. Perito_A'!G30,"AAAAAHP7X/o=")</f>
        <v>#VALUE!</v>
      </c>
      <c r="IR24" t="e">
        <f>AND('4to. Perito_A'!H30,"AAAAAHP7X/s=")</f>
        <v>#VALUE!</v>
      </c>
      <c r="IS24" t="e">
        <f>AND('4to. Perito_A'!I30,"AAAAAHP7X/w=")</f>
        <v>#VALUE!</v>
      </c>
      <c r="IT24" t="e">
        <f>AND('4to. Perito_A'!J30,"AAAAAHP7X/0=")</f>
        <v>#VALUE!</v>
      </c>
      <c r="IU24" t="e">
        <f>AND('4to. Perito_A'!K30,"AAAAAHP7X/4=")</f>
        <v>#VALUE!</v>
      </c>
      <c r="IV24" t="e">
        <f>AND('4to. Perito_A'!L30,"AAAAAHP7X/8=")</f>
        <v>#VALUE!</v>
      </c>
    </row>
    <row r="25" spans="1:256">
      <c r="A25" t="e">
        <f>AND('4to. Perito_A'!M30,"AAAAAD+X7wA=")</f>
        <v>#VALUE!</v>
      </c>
      <c r="B25" t="e">
        <f>AND('4to. Perito_A'!N30,"AAAAAD+X7wE=")</f>
        <v>#VALUE!</v>
      </c>
      <c r="C25" t="e">
        <f>AND('4to. Perito_A'!O30,"AAAAAD+X7wI=")</f>
        <v>#VALUE!</v>
      </c>
      <c r="D25" t="e">
        <f>AND('4to. Perito_A'!P30,"AAAAAD+X7wM=")</f>
        <v>#VALUE!</v>
      </c>
      <c r="E25" t="e">
        <f>AND('4to. Perito_A'!Q30,"AAAAAD+X7wQ=")</f>
        <v>#VALUE!</v>
      </c>
      <c r="F25" t="e">
        <f>AND('4to. Perito_A'!R30,"AAAAAD+X7wU=")</f>
        <v>#VALUE!</v>
      </c>
      <c r="G25" t="e">
        <f>AND('4to. Perito_A'!S30,"AAAAAD+X7wY=")</f>
        <v>#VALUE!</v>
      </c>
      <c r="H25" t="e">
        <f>AND('4to. Perito_A'!T30,"AAAAAD+X7wc=")</f>
        <v>#VALUE!</v>
      </c>
      <c r="I25" t="e">
        <f>AND('4to. Perito_A'!#REF!,"AAAAAD+X7wg=")</f>
        <v>#REF!</v>
      </c>
      <c r="J25" t="e">
        <f>AND('4to. Perito_A'!#REF!,"AAAAAD+X7wk=")</f>
        <v>#REF!</v>
      </c>
      <c r="K25" t="e">
        <f>AND('4to. Perito_A'!#REF!,"AAAAAD+X7wo=")</f>
        <v>#REF!</v>
      </c>
      <c r="L25" t="e">
        <f>AND('4to. Perito_A'!#REF!,"AAAAAD+X7ws=")</f>
        <v>#REF!</v>
      </c>
      <c r="M25" t="e">
        <f>AND('4to. Perito_A'!#REF!,"AAAAAD+X7ww=")</f>
        <v>#REF!</v>
      </c>
      <c r="N25">
        <f>IF('4to. Perito_A'!31:31,"AAAAAD+X7w0=",0)</f>
        <v>0</v>
      </c>
      <c r="O25" t="e">
        <f>AND('4to. Perito_A'!A31,"AAAAAD+X7w4=")</f>
        <v>#VALUE!</v>
      </c>
      <c r="P25" t="e">
        <f>AND('4to. Perito_A'!B31,"AAAAAD+X7w8=")</f>
        <v>#VALUE!</v>
      </c>
      <c r="Q25" t="e">
        <f>AND('4to. Perito_A'!C31,"AAAAAD+X7xA=")</f>
        <v>#VALUE!</v>
      </c>
      <c r="R25" t="e">
        <f>AND('4to. Perito_A'!D31,"AAAAAD+X7xE=")</f>
        <v>#VALUE!</v>
      </c>
      <c r="S25" t="e">
        <f>AND('4to. Perito_A'!E31,"AAAAAD+X7xI=")</f>
        <v>#VALUE!</v>
      </c>
      <c r="T25" t="e">
        <f>AND('4to. Perito_A'!F31,"AAAAAD+X7xM=")</f>
        <v>#VALUE!</v>
      </c>
      <c r="U25" t="e">
        <f>AND('4to. Perito_A'!G31,"AAAAAD+X7xQ=")</f>
        <v>#VALUE!</v>
      </c>
      <c r="V25" t="e">
        <f>AND('4to. Perito_A'!H31,"AAAAAD+X7xU=")</f>
        <v>#VALUE!</v>
      </c>
      <c r="W25" t="e">
        <f>AND('4to. Perito_A'!I31,"AAAAAD+X7xY=")</f>
        <v>#VALUE!</v>
      </c>
      <c r="X25" t="e">
        <f>AND('4to. Perito_A'!J31,"AAAAAD+X7xc=")</f>
        <v>#VALUE!</v>
      </c>
      <c r="Y25" t="e">
        <f>AND('4to. Perito_A'!K31,"AAAAAD+X7xg=")</f>
        <v>#VALUE!</v>
      </c>
      <c r="Z25" t="e">
        <f>AND('4to. Perito_A'!L31,"AAAAAD+X7xk=")</f>
        <v>#VALUE!</v>
      </c>
      <c r="AA25" t="e">
        <f>AND('4to. Perito_A'!M31,"AAAAAD+X7xo=")</f>
        <v>#VALUE!</v>
      </c>
      <c r="AB25" t="e">
        <f>AND('4to. Perito_A'!N31,"AAAAAD+X7xs=")</f>
        <v>#VALUE!</v>
      </c>
      <c r="AC25" t="e">
        <f>AND('4to. Perito_A'!O31,"AAAAAD+X7xw=")</f>
        <v>#VALUE!</v>
      </c>
      <c r="AD25" t="e">
        <f>AND('4to. Perito_A'!P31,"AAAAAD+X7x0=")</f>
        <v>#VALUE!</v>
      </c>
      <c r="AE25" t="e">
        <f>AND('4to. Perito_A'!Q31,"AAAAAD+X7x4=")</f>
        <v>#VALUE!</v>
      </c>
      <c r="AF25" t="e">
        <f>AND('4to. Perito_A'!R31,"AAAAAD+X7x8=")</f>
        <v>#VALUE!</v>
      </c>
      <c r="AG25" t="e">
        <f>AND('4to. Perito_A'!S31,"AAAAAD+X7yA=")</f>
        <v>#VALUE!</v>
      </c>
      <c r="AH25" t="e">
        <f>AND('4to. Perito_A'!T31,"AAAAAD+X7yE=")</f>
        <v>#VALUE!</v>
      </c>
      <c r="AI25" t="e">
        <f>AND('4to. Perito_A'!#REF!,"AAAAAD+X7yI=")</f>
        <v>#REF!</v>
      </c>
      <c r="AJ25" t="e">
        <f>AND('4to. Perito_A'!#REF!,"AAAAAD+X7yM=")</f>
        <v>#REF!</v>
      </c>
      <c r="AK25" t="e">
        <f>AND('4to. Perito_A'!#REF!,"AAAAAD+X7yQ=")</f>
        <v>#REF!</v>
      </c>
      <c r="AL25" t="e">
        <f>AND('4to. Perito_A'!#REF!,"AAAAAD+X7yU=")</f>
        <v>#REF!</v>
      </c>
      <c r="AM25" t="e">
        <f>AND('4to. Perito_A'!#REF!,"AAAAAD+X7yY=")</f>
        <v>#REF!</v>
      </c>
      <c r="AN25">
        <f>IF('4to. Perito_A'!32:32,"AAAAAD+X7yc=",0)</f>
        <v>0</v>
      </c>
      <c r="AO25" t="e">
        <f>AND('4to. Perito_A'!A32,"AAAAAD+X7yg=")</f>
        <v>#VALUE!</v>
      </c>
      <c r="AP25" t="e">
        <f>AND('4to. Perito_A'!B32,"AAAAAD+X7yk=")</f>
        <v>#VALUE!</v>
      </c>
      <c r="AQ25" t="e">
        <f>AND('4to. Perito_A'!C32,"AAAAAD+X7yo=")</f>
        <v>#VALUE!</v>
      </c>
      <c r="AR25" t="e">
        <f>AND('4to. Perito_A'!D32,"AAAAAD+X7ys=")</f>
        <v>#VALUE!</v>
      </c>
      <c r="AS25" t="e">
        <f>AND('4to. Perito_A'!E32,"AAAAAD+X7yw=")</f>
        <v>#VALUE!</v>
      </c>
      <c r="AT25" t="e">
        <f>AND('4to. Perito_A'!F32,"AAAAAD+X7y0=")</f>
        <v>#VALUE!</v>
      </c>
      <c r="AU25" t="e">
        <f>AND('4to. Perito_A'!G32,"AAAAAD+X7y4=")</f>
        <v>#VALUE!</v>
      </c>
      <c r="AV25" t="e">
        <f>AND('4to. Perito_A'!H32,"AAAAAD+X7y8=")</f>
        <v>#VALUE!</v>
      </c>
      <c r="AW25" t="e">
        <f>AND('4to. Perito_A'!I32,"AAAAAD+X7zA=")</f>
        <v>#VALUE!</v>
      </c>
      <c r="AX25" t="e">
        <f>AND('4to. Perito_A'!J32,"AAAAAD+X7zE=")</f>
        <v>#VALUE!</v>
      </c>
      <c r="AY25" t="e">
        <f>AND('4to. Perito_A'!K32,"AAAAAD+X7zI=")</f>
        <v>#VALUE!</v>
      </c>
      <c r="AZ25" t="e">
        <f>AND('4to. Perito_A'!L32,"AAAAAD+X7zM=")</f>
        <v>#VALUE!</v>
      </c>
      <c r="BA25" t="e">
        <f>AND('4to. Perito_A'!M32,"AAAAAD+X7zQ=")</f>
        <v>#VALUE!</v>
      </c>
      <c r="BB25" t="e">
        <f>AND('4to. Perito_A'!N32,"AAAAAD+X7zU=")</f>
        <v>#VALUE!</v>
      </c>
      <c r="BC25" t="e">
        <f>AND('4to. Perito_A'!O32,"AAAAAD+X7zY=")</f>
        <v>#VALUE!</v>
      </c>
      <c r="BD25" t="e">
        <f>AND('4to. Perito_A'!P32,"AAAAAD+X7zc=")</f>
        <v>#VALUE!</v>
      </c>
      <c r="BE25" t="e">
        <f>AND('4to. Perito_A'!Q32,"AAAAAD+X7zg=")</f>
        <v>#VALUE!</v>
      </c>
      <c r="BF25" t="e">
        <f>AND('4to. Perito_A'!R32,"AAAAAD+X7zk=")</f>
        <v>#VALUE!</v>
      </c>
      <c r="BG25" t="e">
        <f>AND('4to. Perito_A'!S32,"AAAAAD+X7zo=")</f>
        <v>#VALUE!</v>
      </c>
      <c r="BH25" t="e">
        <f>AND('4to. Perito_A'!T32,"AAAAAD+X7zs=")</f>
        <v>#VALUE!</v>
      </c>
      <c r="BI25" t="e">
        <f>AND('4to. Perito_A'!#REF!,"AAAAAD+X7zw=")</f>
        <v>#REF!</v>
      </c>
      <c r="BJ25" t="e">
        <f>AND('4to. Perito_A'!#REF!,"AAAAAD+X7z0=")</f>
        <v>#REF!</v>
      </c>
      <c r="BK25" t="e">
        <f>AND('4to. Perito_A'!#REF!,"AAAAAD+X7z4=")</f>
        <v>#REF!</v>
      </c>
      <c r="BL25" t="e">
        <f>AND('4to. Perito_A'!#REF!,"AAAAAD+X7z8=")</f>
        <v>#REF!</v>
      </c>
      <c r="BM25" t="e">
        <f>AND('4to. Perito_A'!#REF!,"AAAAAD+X70A=")</f>
        <v>#REF!</v>
      </c>
      <c r="BN25">
        <f>IF('4to. Perito_A'!33:33,"AAAAAD+X70E=",0)</f>
        <v>0</v>
      </c>
      <c r="BO25" t="e">
        <f>AND('4to. Perito_A'!A33,"AAAAAD+X70I=")</f>
        <v>#VALUE!</v>
      </c>
      <c r="BP25" t="e">
        <f>AND('4to. Perito_A'!B33,"AAAAAD+X70M=")</f>
        <v>#VALUE!</v>
      </c>
      <c r="BQ25" t="e">
        <f>AND('4to. Perito_A'!C33,"AAAAAD+X70Q=")</f>
        <v>#VALUE!</v>
      </c>
      <c r="BR25" t="e">
        <f>AND('4to. Perito_A'!D33,"AAAAAD+X70U=")</f>
        <v>#VALUE!</v>
      </c>
      <c r="BS25" t="e">
        <f>AND('4to. Perito_A'!E33,"AAAAAD+X70Y=")</f>
        <v>#VALUE!</v>
      </c>
      <c r="BT25" t="e">
        <f>AND('4to. Perito_A'!F33,"AAAAAD+X70c=")</f>
        <v>#VALUE!</v>
      </c>
      <c r="BU25" t="e">
        <f>AND('4to. Perito_A'!G33,"AAAAAD+X70g=")</f>
        <v>#VALUE!</v>
      </c>
      <c r="BV25" t="e">
        <f>AND('4to. Perito_A'!H33,"AAAAAD+X70k=")</f>
        <v>#VALUE!</v>
      </c>
      <c r="BW25" t="e">
        <f>AND('4to. Perito_A'!I33,"AAAAAD+X70o=")</f>
        <v>#VALUE!</v>
      </c>
      <c r="BX25" t="e">
        <f>AND('4to. Perito_A'!J33,"AAAAAD+X70s=")</f>
        <v>#VALUE!</v>
      </c>
      <c r="BY25" t="e">
        <f>AND('4to. Perito_A'!K33,"AAAAAD+X70w=")</f>
        <v>#VALUE!</v>
      </c>
      <c r="BZ25" t="e">
        <f>AND('4to. Perito_A'!L33,"AAAAAD+X700=")</f>
        <v>#VALUE!</v>
      </c>
      <c r="CA25" t="e">
        <f>AND('4to. Perito_A'!M33,"AAAAAD+X704=")</f>
        <v>#VALUE!</v>
      </c>
      <c r="CB25" t="e">
        <f>AND('4to. Perito_A'!N33,"AAAAAD+X708=")</f>
        <v>#VALUE!</v>
      </c>
      <c r="CC25" t="e">
        <f>AND('4to. Perito_A'!O33,"AAAAAD+X71A=")</f>
        <v>#VALUE!</v>
      </c>
      <c r="CD25" t="e">
        <f>AND('4to. Perito_A'!P33,"AAAAAD+X71E=")</f>
        <v>#VALUE!</v>
      </c>
      <c r="CE25" t="e">
        <f>AND('4to. Perito_A'!Q33,"AAAAAD+X71I=")</f>
        <v>#VALUE!</v>
      </c>
      <c r="CF25" t="e">
        <f>AND('4to. Perito_A'!R33,"AAAAAD+X71M=")</f>
        <v>#VALUE!</v>
      </c>
      <c r="CG25" t="e">
        <f>AND('4to. Perito_A'!S33,"AAAAAD+X71Q=")</f>
        <v>#VALUE!</v>
      </c>
      <c r="CH25" t="e">
        <f>AND('4to. Perito_A'!T33,"AAAAAD+X71U=")</f>
        <v>#VALUE!</v>
      </c>
      <c r="CI25" t="e">
        <f>AND('4to. Perito_A'!#REF!,"AAAAAD+X71Y=")</f>
        <v>#REF!</v>
      </c>
      <c r="CJ25" t="e">
        <f>AND('4to. Perito_A'!#REF!,"AAAAAD+X71c=")</f>
        <v>#REF!</v>
      </c>
      <c r="CK25" t="e">
        <f>AND('4to. Perito_A'!#REF!,"AAAAAD+X71g=")</f>
        <v>#REF!</v>
      </c>
      <c r="CL25" t="e">
        <f>AND('4to. Perito_A'!#REF!,"AAAAAD+X71k=")</f>
        <v>#REF!</v>
      </c>
      <c r="CM25" t="e">
        <f>AND('4to. Perito_A'!#REF!,"AAAAAD+X71o=")</f>
        <v>#REF!</v>
      </c>
      <c r="CN25">
        <f>IF('4to. Perito_A'!34:34,"AAAAAD+X71s=",0)</f>
        <v>0</v>
      </c>
      <c r="CO25" t="e">
        <f>AND('4to. Perito_A'!A34,"AAAAAD+X71w=")</f>
        <v>#VALUE!</v>
      </c>
      <c r="CP25" t="e">
        <f>AND('4to. Perito_A'!B34,"AAAAAD+X710=")</f>
        <v>#VALUE!</v>
      </c>
      <c r="CQ25" t="e">
        <f>AND('4to. Perito_A'!C34,"AAAAAD+X714=")</f>
        <v>#VALUE!</v>
      </c>
      <c r="CR25" t="e">
        <f>AND('4to. Perito_A'!D34,"AAAAAD+X718=")</f>
        <v>#VALUE!</v>
      </c>
      <c r="CS25" t="e">
        <f>AND('4to. Perito_A'!E34,"AAAAAD+X72A=")</f>
        <v>#VALUE!</v>
      </c>
      <c r="CT25" t="e">
        <f>AND('4to. Perito_A'!F34,"AAAAAD+X72E=")</f>
        <v>#VALUE!</v>
      </c>
      <c r="CU25" t="e">
        <f>AND('4to. Perito_A'!G34,"AAAAAD+X72I=")</f>
        <v>#VALUE!</v>
      </c>
      <c r="CV25" t="e">
        <f>AND('4to. Perito_A'!H34,"AAAAAD+X72M=")</f>
        <v>#VALUE!</v>
      </c>
      <c r="CW25" t="e">
        <f>AND('4to. Perito_A'!I34,"AAAAAD+X72Q=")</f>
        <v>#VALUE!</v>
      </c>
      <c r="CX25" t="e">
        <f>AND('4to. Perito_A'!J34,"AAAAAD+X72U=")</f>
        <v>#VALUE!</v>
      </c>
      <c r="CY25" t="e">
        <f>AND('4to. Perito_A'!K34,"AAAAAD+X72Y=")</f>
        <v>#VALUE!</v>
      </c>
      <c r="CZ25" t="e">
        <f>AND('4to. Perito_A'!L34,"AAAAAD+X72c=")</f>
        <v>#VALUE!</v>
      </c>
      <c r="DA25" t="e">
        <f>AND('4to. Perito_A'!M34,"AAAAAD+X72g=")</f>
        <v>#VALUE!</v>
      </c>
      <c r="DB25" t="e">
        <f>AND('4to. Perito_A'!N34,"AAAAAD+X72k=")</f>
        <v>#VALUE!</v>
      </c>
      <c r="DC25" t="e">
        <f>AND('4to. Perito_A'!O34,"AAAAAD+X72o=")</f>
        <v>#VALUE!</v>
      </c>
      <c r="DD25" t="e">
        <f>AND('4to. Perito_A'!P34,"AAAAAD+X72s=")</f>
        <v>#VALUE!</v>
      </c>
      <c r="DE25" t="e">
        <f>AND('4to. Perito_A'!Q34,"AAAAAD+X72w=")</f>
        <v>#VALUE!</v>
      </c>
      <c r="DF25" t="e">
        <f>AND('4to. Perito_A'!R34,"AAAAAD+X720=")</f>
        <v>#VALUE!</v>
      </c>
      <c r="DG25" t="e">
        <f>AND('4to. Perito_A'!S34,"AAAAAD+X724=")</f>
        <v>#VALUE!</v>
      </c>
      <c r="DH25" t="e">
        <f>AND('4to. Perito_A'!T34,"AAAAAD+X728=")</f>
        <v>#VALUE!</v>
      </c>
      <c r="DI25" t="e">
        <f>AND('4to. Perito_A'!#REF!,"AAAAAD+X73A=")</f>
        <v>#REF!</v>
      </c>
      <c r="DJ25" t="e">
        <f>AND('4to. Perito_A'!#REF!,"AAAAAD+X73E=")</f>
        <v>#REF!</v>
      </c>
      <c r="DK25" t="e">
        <f>AND('4to. Perito_A'!#REF!,"AAAAAD+X73I=")</f>
        <v>#REF!</v>
      </c>
      <c r="DL25" t="e">
        <f>AND('4to. Perito_A'!#REF!,"AAAAAD+X73M=")</f>
        <v>#REF!</v>
      </c>
      <c r="DM25" t="e">
        <f>AND('4to. Perito_A'!#REF!,"AAAAAD+X73Q=")</f>
        <v>#REF!</v>
      </c>
      <c r="DN25">
        <f>IF('4to. Perito_A'!35:35,"AAAAAD+X73U=",0)</f>
        <v>0</v>
      </c>
      <c r="DO25" t="e">
        <f>AND('4to. Perito_A'!A35,"AAAAAD+X73Y=")</f>
        <v>#VALUE!</v>
      </c>
      <c r="DP25" t="e">
        <f>AND('4to. Perito_A'!B35,"AAAAAD+X73c=")</f>
        <v>#VALUE!</v>
      </c>
      <c r="DQ25" t="e">
        <f>AND('4to. Perito_A'!C35,"AAAAAD+X73g=")</f>
        <v>#VALUE!</v>
      </c>
      <c r="DR25" t="e">
        <f>AND('4to. Perito_A'!D35,"AAAAAD+X73k=")</f>
        <v>#VALUE!</v>
      </c>
      <c r="DS25" t="e">
        <f>AND('4to. Perito_A'!E35,"AAAAAD+X73o=")</f>
        <v>#VALUE!</v>
      </c>
      <c r="DT25" t="e">
        <f>AND('4to. Perito_A'!F35,"AAAAAD+X73s=")</f>
        <v>#VALUE!</v>
      </c>
      <c r="DU25" t="e">
        <f>AND('4to. Perito_A'!G35,"AAAAAD+X73w=")</f>
        <v>#VALUE!</v>
      </c>
      <c r="DV25" t="e">
        <f>AND('4to. Perito_A'!H35,"AAAAAD+X730=")</f>
        <v>#VALUE!</v>
      </c>
      <c r="DW25" t="e">
        <f>AND('4to. Perito_A'!I35,"AAAAAD+X734=")</f>
        <v>#VALUE!</v>
      </c>
      <c r="DX25" t="e">
        <f>AND('4to. Perito_A'!J35,"AAAAAD+X738=")</f>
        <v>#VALUE!</v>
      </c>
      <c r="DY25" t="e">
        <f>AND('4to. Perito_A'!K35,"AAAAAD+X74A=")</f>
        <v>#VALUE!</v>
      </c>
      <c r="DZ25" t="e">
        <f>AND('4to. Perito_A'!L35,"AAAAAD+X74E=")</f>
        <v>#VALUE!</v>
      </c>
      <c r="EA25" t="e">
        <f>AND('4to. Perito_A'!M35,"AAAAAD+X74I=")</f>
        <v>#VALUE!</v>
      </c>
      <c r="EB25" t="e">
        <f>AND('4to. Perito_A'!N35,"AAAAAD+X74M=")</f>
        <v>#VALUE!</v>
      </c>
      <c r="EC25" t="e">
        <f>AND('4to. Perito_A'!O35,"AAAAAD+X74Q=")</f>
        <v>#VALUE!</v>
      </c>
      <c r="ED25" t="e">
        <f>AND('4to. Perito_A'!P35,"AAAAAD+X74U=")</f>
        <v>#VALUE!</v>
      </c>
      <c r="EE25" t="e">
        <f>AND('4to. Perito_A'!Q35,"AAAAAD+X74Y=")</f>
        <v>#VALUE!</v>
      </c>
      <c r="EF25" t="e">
        <f>AND('4to. Perito_A'!R35,"AAAAAD+X74c=")</f>
        <v>#VALUE!</v>
      </c>
      <c r="EG25" t="e">
        <f>AND('4to. Perito_A'!S35,"AAAAAD+X74g=")</f>
        <v>#VALUE!</v>
      </c>
      <c r="EH25" t="e">
        <f>AND('4to. Perito_A'!T35,"AAAAAD+X74k=")</f>
        <v>#VALUE!</v>
      </c>
      <c r="EI25" t="e">
        <f>AND('4to. Perito_A'!#REF!,"AAAAAD+X74o=")</f>
        <v>#REF!</v>
      </c>
      <c r="EJ25" t="e">
        <f>AND('4to. Perito_A'!#REF!,"AAAAAD+X74s=")</f>
        <v>#REF!</v>
      </c>
      <c r="EK25" t="e">
        <f>AND('4to. Perito_A'!#REF!,"AAAAAD+X74w=")</f>
        <v>#REF!</v>
      </c>
      <c r="EL25" t="e">
        <f>AND('4to. Perito_A'!#REF!,"AAAAAD+X740=")</f>
        <v>#REF!</v>
      </c>
      <c r="EM25" t="e">
        <f>AND('4to. Perito_A'!#REF!,"AAAAAD+X744=")</f>
        <v>#REF!</v>
      </c>
      <c r="EN25">
        <f>IF('4to. Perito_A'!36:36,"AAAAAD+X748=",0)</f>
        <v>0</v>
      </c>
      <c r="EO25" t="e">
        <f>AND('4to. Perito_A'!A36,"AAAAAD+X75A=")</f>
        <v>#VALUE!</v>
      </c>
      <c r="EP25" t="e">
        <f>AND('4to. Perito_A'!B36,"AAAAAD+X75E=")</f>
        <v>#VALUE!</v>
      </c>
      <c r="EQ25" t="e">
        <f>AND('4to. Perito_A'!C36,"AAAAAD+X75I=")</f>
        <v>#VALUE!</v>
      </c>
      <c r="ER25" t="e">
        <f>AND('4to. Perito_A'!D36,"AAAAAD+X75M=")</f>
        <v>#VALUE!</v>
      </c>
      <c r="ES25" t="e">
        <f>AND('4to. Perito_A'!E36,"AAAAAD+X75Q=")</f>
        <v>#VALUE!</v>
      </c>
      <c r="ET25" t="e">
        <f>AND('4to. Perito_A'!F36,"AAAAAD+X75U=")</f>
        <v>#VALUE!</v>
      </c>
      <c r="EU25" t="e">
        <f>AND('4to. Perito_A'!G36,"AAAAAD+X75Y=")</f>
        <v>#VALUE!</v>
      </c>
      <c r="EV25" t="e">
        <f>AND('4to. Perito_A'!H36,"AAAAAD+X75c=")</f>
        <v>#VALUE!</v>
      </c>
      <c r="EW25" t="e">
        <f>AND('4to. Perito_A'!I36,"AAAAAD+X75g=")</f>
        <v>#VALUE!</v>
      </c>
      <c r="EX25" t="e">
        <f>AND('4to. Perito_A'!J36,"AAAAAD+X75k=")</f>
        <v>#VALUE!</v>
      </c>
      <c r="EY25" t="e">
        <f>AND('4to. Perito_A'!K36,"AAAAAD+X75o=")</f>
        <v>#VALUE!</v>
      </c>
      <c r="EZ25" t="e">
        <f>AND('4to. Perito_A'!L36,"AAAAAD+X75s=")</f>
        <v>#VALUE!</v>
      </c>
      <c r="FA25" t="e">
        <f>AND('4to. Perito_A'!M36,"AAAAAD+X75w=")</f>
        <v>#VALUE!</v>
      </c>
      <c r="FB25" t="e">
        <f>AND('4to. Perito_A'!N36,"AAAAAD+X750=")</f>
        <v>#VALUE!</v>
      </c>
      <c r="FC25" t="e">
        <f>AND('4to. Perito_A'!O36,"AAAAAD+X754=")</f>
        <v>#VALUE!</v>
      </c>
      <c r="FD25" t="e">
        <f>AND('4to. Perito_A'!P36,"AAAAAD+X758=")</f>
        <v>#VALUE!</v>
      </c>
      <c r="FE25" t="e">
        <f>AND('4to. Perito_A'!Q36,"AAAAAD+X76A=")</f>
        <v>#VALUE!</v>
      </c>
      <c r="FF25" t="e">
        <f>AND('4to. Perito_A'!R36,"AAAAAD+X76E=")</f>
        <v>#VALUE!</v>
      </c>
      <c r="FG25" t="e">
        <f>AND('4to. Perito_A'!S36,"AAAAAD+X76I=")</f>
        <v>#VALUE!</v>
      </c>
      <c r="FH25" t="e">
        <f>AND('4to. Perito_A'!T36,"AAAAAD+X76M=")</f>
        <v>#VALUE!</v>
      </c>
      <c r="FI25" t="e">
        <f>AND('4to. Perito_A'!#REF!,"AAAAAD+X76Q=")</f>
        <v>#REF!</v>
      </c>
      <c r="FJ25" t="e">
        <f>AND('4to. Perito_A'!#REF!,"AAAAAD+X76U=")</f>
        <v>#REF!</v>
      </c>
      <c r="FK25" t="e">
        <f>AND('4to. Perito_A'!#REF!,"AAAAAD+X76Y=")</f>
        <v>#REF!</v>
      </c>
      <c r="FL25" t="e">
        <f>AND('4to. Perito_A'!#REF!,"AAAAAD+X76c=")</f>
        <v>#REF!</v>
      </c>
      <c r="FM25" t="e">
        <f>AND('4to. Perito_A'!#REF!,"AAAAAD+X76g=")</f>
        <v>#REF!</v>
      </c>
      <c r="FN25">
        <f>IF('4to. Perito_A'!37:37,"AAAAAD+X76k=",0)</f>
        <v>0</v>
      </c>
      <c r="FO25" t="e">
        <f>AND('4to. Perito_A'!A37,"AAAAAD+X76o=")</f>
        <v>#VALUE!</v>
      </c>
      <c r="FP25" t="e">
        <f>AND('4to. Perito_A'!B37,"AAAAAD+X76s=")</f>
        <v>#VALUE!</v>
      </c>
      <c r="FQ25" t="e">
        <f>AND('4to. Perito_A'!C37,"AAAAAD+X76w=")</f>
        <v>#VALUE!</v>
      </c>
      <c r="FR25" t="e">
        <f>AND('4to. Perito_A'!D37,"AAAAAD+X760=")</f>
        <v>#VALUE!</v>
      </c>
      <c r="FS25" t="e">
        <f>AND('4to. Perito_A'!E37,"AAAAAD+X764=")</f>
        <v>#VALUE!</v>
      </c>
      <c r="FT25" t="e">
        <f>AND('4to. Perito_A'!F37,"AAAAAD+X768=")</f>
        <v>#VALUE!</v>
      </c>
      <c r="FU25" t="e">
        <f>AND('4to. Perito_A'!G37,"AAAAAD+X77A=")</f>
        <v>#VALUE!</v>
      </c>
      <c r="FV25" t="e">
        <f>AND('4to. Perito_A'!H37,"AAAAAD+X77E=")</f>
        <v>#VALUE!</v>
      </c>
      <c r="FW25" t="e">
        <f>AND('4to. Perito_A'!I37,"AAAAAD+X77I=")</f>
        <v>#VALUE!</v>
      </c>
      <c r="FX25" t="e">
        <f>AND('4to. Perito_A'!J37,"AAAAAD+X77M=")</f>
        <v>#VALUE!</v>
      </c>
      <c r="FY25" t="e">
        <f>AND('4to. Perito_A'!K37,"AAAAAD+X77Q=")</f>
        <v>#VALUE!</v>
      </c>
      <c r="FZ25" t="e">
        <f>AND('4to. Perito_A'!L37,"AAAAAD+X77U=")</f>
        <v>#VALUE!</v>
      </c>
      <c r="GA25" t="e">
        <f>AND('4to. Perito_A'!M37,"AAAAAD+X77Y=")</f>
        <v>#VALUE!</v>
      </c>
      <c r="GB25" t="e">
        <f>AND('4to. Perito_A'!N37,"AAAAAD+X77c=")</f>
        <v>#VALUE!</v>
      </c>
      <c r="GC25" t="e">
        <f>AND('4to. Perito_A'!O37,"AAAAAD+X77g=")</f>
        <v>#VALUE!</v>
      </c>
      <c r="GD25" t="e">
        <f>AND('4to. Perito_A'!P37,"AAAAAD+X77k=")</f>
        <v>#VALUE!</v>
      </c>
      <c r="GE25" t="e">
        <f>AND('4to. Perito_A'!Q37,"AAAAAD+X77o=")</f>
        <v>#VALUE!</v>
      </c>
      <c r="GF25" t="e">
        <f>AND('4to. Perito_A'!R37,"AAAAAD+X77s=")</f>
        <v>#VALUE!</v>
      </c>
      <c r="GG25" t="e">
        <f>AND('4to. Perito_A'!S37,"AAAAAD+X77w=")</f>
        <v>#VALUE!</v>
      </c>
      <c r="GH25" t="e">
        <f>AND('4to. Perito_A'!T37,"AAAAAD+X770=")</f>
        <v>#VALUE!</v>
      </c>
      <c r="GI25" t="e">
        <f>AND('4to. Perito_A'!#REF!,"AAAAAD+X774=")</f>
        <v>#REF!</v>
      </c>
      <c r="GJ25" t="e">
        <f>AND('4to. Perito_A'!#REF!,"AAAAAD+X778=")</f>
        <v>#REF!</v>
      </c>
      <c r="GK25" t="e">
        <f>AND('4to. Perito_A'!#REF!,"AAAAAD+X78A=")</f>
        <v>#REF!</v>
      </c>
      <c r="GL25" t="e">
        <f>AND('4to. Perito_A'!#REF!,"AAAAAD+X78E=")</f>
        <v>#REF!</v>
      </c>
      <c r="GM25" t="e">
        <f>AND('4to. Perito_A'!#REF!,"AAAAAD+X78I=")</f>
        <v>#REF!</v>
      </c>
      <c r="GN25">
        <f>IF('4to. Perito_A'!38:38,"AAAAAD+X78M=",0)</f>
        <v>0</v>
      </c>
      <c r="GO25" t="e">
        <f>AND('4to. Perito_A'!A38,"AAAAAD+X78Q=")</f>
        <v>#VALUE!</v>
      </c>
      <c r="GP25" t="e">
        <f>AND('4to. Perito_A'!B38,"AAAAAD+X78U=")</f>
        <v>#VALUE!</v>
      </c>
      <c r="GQ25" t="e">
        <f>AND('4to. Perito_A'!C38,"AAAAAD+X78Y=")</f>
        <v>#VALUE!</v>
      </c>
      <c r="GR25" t="e">
        <f>AND('4to. Perito_A'!D38,"AAAAAD+X78c=")</f>
        <v>#VALUE!</v>
      </c>
      <c r="GS25" t="e">
        <f>AND('4to. Perito_A'!E38,"AAAAAD+X78g=")</f>
        <v>#VALUE!</v>
      </c>
      <c r="GT25" t="e">
        <f>AND('4to. Perito_A'!F38,"AAAAAD+X78k=")</f>
        <v>#VALUE!</v>
      </c>
      <c r="GU25" t="e">
        <f>AND('4to. Perito_A'!G38,"AAAAAD+X78o=")</f>
        <v>#VALUE!</v>
      </c>
      <c r="GV25" t="e">
        <f>AND('4to. Perito_A'!H38,"AAAAAD+X78s=")</f>
        <v>#VALUE!</v>
      </c>
      <c r="GW25" t="e">
        <f>AND('4to. Perito_A'!I38,"AAAAAD+X78w=")</f>
        <v>#VALUE!</v>
      </c>
      <c r="GX25" t="e">
        <f>AND('4to. Perito_A'!J38,"AAAAAD+X780=")</f>
        <v>#VALUE!</v>
      </c>
      <c r="GY25" t="e">
        <f>AND('4to. Perito_A'!K38,"AAAAAD+X784=")</f>
        <v>#VALUE!</v>
      </c>
      <c r="GZ25" t="e">
        <f>AND('4to. Perito_A'!L38,"AAAAAD+X788=")</f>
        <v>#VALUE!</v>
      </c>
      <c r="HA25" t="e">
        <f>AND('4to. Perito_A'!M38,"AAAAAD+X79A=")</f>
        <v>#VALUE!</v>
      </c>
      <c r="HB25" t="e">
        <f>AND('4to. Perito_A'!N38,"AAAAAD+X79E=")</f>
        <v>#VALUE!</v>
      </c>
      <c r="HC25" t="e">
        <f>AND('4to. Perito_A'!O38,"AAAAAD+X79I=")</f>
        <v>#VALUE!</v>
      </c>
      <c r="HD25" t="e">
        <f>AND('4to. Perito_A'!P38,"AAAAAD+X79M=")</f>
        <v>#VALUE!</v>
      </c>
      <c r="HE25" t="e">
        <f>AND('4to. Perito_A'!Q38,"AAAAAD+X79Q=")</f>
        <v>#VALUE!</v>
      </c>
      <c r="HF25" t="e">
        <f>AND('4to. Perito_A'!R38,"AAAAAD+X79U=")</f>
        <v>#VALUE!</v>
      </c>
      <c r="HG25" t="e">
        <f>AND('4to. Perito_A'!S38,"AAAAAD+X79Y=")</f>
        <v>#VALUE!</v>
      </c>
      <c r="HH25" t="e">
        <f>AND('4to. Perito_A'!T38,"AAAAAD+X79c=")</f>
        <v>#VALUE!</v>
      </c>
      <c r="HI25" t="e">
        <f>AND('4to. Perito_A'!#REF!,"AAAAAD+X79g=")</f>
        <v>#REF!</v>
      </c>
      <c r="HJ25" t="e">
        <f>AND('4to. Perito_A'!#REF!,"AAAAAD+X79k=")</f>
        <v>#REF!</v>
      </c>
      <c r="HK25" t="e">
        <f>AND('4to. Perito_A'!#REF!,"AAAAAD+X79o=")</f>
        <v>#REF!</v>
      </c>
      <c r="HL25" t="e">
        <f>AND('4to. Perito_A'!#REF!,"AAAAAD+X79s=")</f>
        <v>#REF!</v>
      </c>
      <c r="HM25" t="e">
        <f>AND('4to. Perito_A'!#REF!,"AAAAAD+X79w=")</f>
        <v>#REF!</v>
      </c>
      <c r="HN25">
        <f>IF('4to. Perito_A'!39:39,"AAAAAD+X790=",0)</f>
        <v>0</v>
      </c>
      <c r="HO25" t="e">
        <f>AND('4to. Perito_A'!A39,"AAAAAD+X794=")</f>
        <v>#VALUE!</v>
      </c>
      <c r="HP25" t="e">
        <f>AND('4to. Perito_A'!B39,"AAAAAD+X798=")</f>
        <v>#VALUE!</v>
      </c>
      <c r="HQ25" t="e">
        <f>AND('4to. Perito_A'!C39,"AAAAAD+X7+A=")</f>
        <v>#VALUE!</v>
      </c>
      <c r="HR25" t="e">
        <f>AND('4to. Perito_A'!D39,"AAAAAD+X7+E=")</f>
        <v>#VALUE!</v>
      </c>
      <c r="HS25" t="e">
        <f>AND('4to. Perito_A'!E39,"AAAAAD+X7+I=")</f>
        <v>#VALUE!</v>
      </c>
      <c r="HT25" t="e">
        <f>AND('4to. Perito_A'!F39,"AAAAAD+X7+M=")</f>
        <v>#VALUE!</v>
      </c>
      <c r="HU25" t="e">
        <f>AND('4to. Perito_A'!G39,"AAAAAD+X7+Q=")</f>
        <v>#VALUE!</v>
      </c>
      <c r="HV25" t="e">
        <f>AND('4to. Perito_A'!H39,"AAAAAD+X7+U=")</f>
        <v>#VALUE!</v>
      </c>
      <c r="HW25" t="e">
        <f>AND('4to. Perito_A'!I39,"AAAAAD+X7+Y=")</f>
        <v>#VALUE!</v>
      </c>
      <c r="HX25" t="e">
        <f>AND('4to. Perito_A'!J39,"AAAAAD+X7+c=")</f>
        <v>#VALUE!</v>
      </c>
      <c r="HY25" t="e">
        <f>AND('4to. Perito_A'!K39,"AAAAAD+X7+g=")</f>
        <v>#VALUE!</v>
      </c>
      <c r="HZ25" t="e">
        <f>AND('4to. Perito_A'!L39,"AAAAAD+X7+k=")</f>
        <v>#VALUE!</v>
      </c>
      <c r="IA25" t="e">
        <f>AND('4to. Perito_A'!M39,"AAAAAD+X7+o=")</f>
        <v>#VALUE!</v>
      </c>
      <c r="IB25" t="e">
        <f>AND('4to. Perito_A'!N39,"AAAAAD+X7+s=")</f>
        <v>#VALUE!</v>
      </c>
      <c r="IC25" t="e">
        <f>AND('4to. Perito_A'!O39,"AAAAAD+X7+w=")</f>
        <v>#VALUE!</v>
      </c>
      <c r="ID25" t="e">
        <f>AND('4to. Perito_A'!P39,"AAAAAD+X7+0=")</f>
        <v>#VALUE!</v>
      </c>
      <c r="IE25" t="e">
        <f>AND('4to. Perito_A'!Q39,"AAAAAD+X7+4=")</f>
        <v>#VALUE!</v>
      </c>
      <c r="IF25" t="e">
        <f>AND('4to. Perito_A'!R39,"AAAAAD+X7+8=")</f>
        <v>#VALUE!</v>
      </c>
      <c r="IG25" t="e">
        <f>AND('4to. Perito_A'!S39,"AAAAAD+X7/A=")</f>
        <v>#VALUE!</v>
      </c>
      <c r="IH25" t="e">
        <f>AND('4to. Perito_A'!T39,"AAAAAD+X7/E=")</f>
        <v>#VALUE!</v>
      </c>
      <c r="II25" t="e">
        <f>AND('4to. Perito_A'!#REF!,"AAAAAD+X7/I=")</f>
        <v>#REF!</v>
      </c>
      <c r="IJ25" t="e">
        <f>AND('4to. Perito_A'!#REF!,"AAAAAD+X7/M=")</f>
        <v>#REF!</v>
      </c>
      <c r="IK25" t="e">
        <f>AND('4to. Perito_A'!#REF!,"AAAAAD+X7/Q=")</f>
        <v>#REF!</v>
      </c>
      <c r="IL25" t="e">
        <f>AND('4to. Perito_A'!#REF!,"AAAAAD+X7/U=")</f>
        <v>#REF!</v>
      </c>
      <c r="IM25" t="e">
        <f>AND('4to. Perito_A'!#REF!,"AAAAAD+X7/Y=")</f>
        <v>#REF!</v>
      </c>
      <c r="IN25">
        <f>IF('4to. Perito_A'!40:40,"AAAAAD+X7/c=",0)</f>
        <v>0</v>
      </c>
      <c r="IO25" t="e">
        <f>AND('4to. Perito_A'!A40,"AAAAAD+X7/g=")</f>
        <v>#VALUE!</v>
      </c>
      <c r="IP25" t="e">
        <f>AND('4to. Perito_A'!B40,"AAAAAD+X7/k=")</f>
        <v>#VALUE!</v>
      </c>
      <c r="IQ25" t="e">
        <f>AND('4to. Perito_A'!C40,"AAAAAD+X7/o=")</f>
        <v>#VALUE!</v>
      </c>
      <c r="IR25" t="e">
        <f>AND('4to. Perito_A'!D40,"AAAAAD+X7/s=")</f>
        <v>#VALUE!</v>
      </c>
      <c r="IS25" t="e">
        <f>AND('4to. Perito_A'!E40,"AAAAAD+X7/w=")</f>
        <v>#VALUE!</v>
      </c>
      <c r="IT25" t="e">
        <f>AND('4to. Perito_A'!F40,"AAAAAD+X7/0=")</f>
        <v>#VALUE!</v>
      </c>
      <c r="IU25" t="e">
        <f>AND('4to. Perito_A'!G40,"AAAAAD+X7/4=")</f>
        <v>#VALUE!</v>
      </c>
      <c r="IV25" t="e">
        <f>AND('4to. Perito_A'!H40,"AAAAAD+X7/8=")</f>
        <v>#VALUE!</v>
      </c>
    </row>
    <row r="26" spans="1:256">
      <c r="A26" t="e">
        <f>AND('4to. Perito_A'!I40,"AAAAACv//gA=")</f>
        <v>#VALUE!</v>
      </c>
      <c r="B26" t="e">
        <f>AND('4to. Perito_A'!J40,"AAAAACv//gE=")</f>
        <v>#VALUE!</v>
      </c>
      <c r="C26" t="e">
        <f>AND('4to. Perito_A'!K40,"AAAAACv//gI=")</f>
        <v>#VALUE!</v>
      </c>
      <c r="D26" t="e">
        <f>AND('4to. Perito_A'!L40,"AAAAACv//gM=")</f>
        <v>#VALUE!</v>
      </c>
      <c r="E26" t="e">
        <f>AND('4to. Perito_A'!M40,"AAAAACv//gQ=")</f>
        <v>#VALUE!</v>
      </c>
      <c r="F26" t="e">
        <f>AND('4to. Perito_A'!N40,"AAAAACv//gU=")</f>
        <v>#VALUE!</v>
      </c>
      <c r="G26" t="e">
        <f>AND('4to. Perito_A'!O40,"AAAAACv//gY=")</f>
        <v>#VALUE!</v>
      </c>
      <c r="H26" t="e">
        <f>AND('4to. Perito_A'!P40,"AAAAACv//gc=")</f>
        <v>#VALUE!</v>
      </c>
      <c r="I26" t="e">
        <f>AND('4to. Perito_A'!Q40,"AAAAACv//gg=")</f>
        <v>#VALUE!</v>
      </c>
      <c r="J26" t="e">
        <f>AND('4to. Perito_A'!R40,"AAAAACv//gk=")</f>
        <v>#VALUE!</v>
      </c>
      <c r="K26" t="e">
        <f>AND('4to. Perito_A'!S40,"AAAAACv//go=")</f>
        <v>#VALUE!</v>
      </c>
      <c r="L26" t="e">
        <f>AND('4to. Perito_A'!T40,"AAAAACv//gs=")</f>
        <v>#VALUE!</v>
      </c>
      <c r="M26" t="e">
        <f>AND('4to. Perito_A'!#REF!,"AAAAACv//gw=")</f>
        <v>#REF!</v>
      </c>
      <c r="N26" t="e">
        <f>AND('4to. Perito_A'!#REF!,"AAAAACv//g0=")</f>
        <v>#REF!</v>
      </c>
      <c r="O26" t="e">
        <f>AND('4to. Perito_A'!#REF!,"AAAAACv//g4=")</f>
        <v>#REF!</v>
      </c>
      <c r="P26" t="e">
        <f>AND('4to. Perito_A'!#REF!,"AAAAACv//g8=")</f>
        <v>#REF!</v>
      </c>
      <c r="Q26" t="e">
        <f>AND('4to. Perito_A'!#REF!,"AAAAACv//hA=")</f>
        <v>#REF!</v>
      </c>
      <c r="R26">
        <f>IF('4to. Perito_A'!41:41,"AAAAACv//hE=",0)</f>
        <v>0</v>
      </c>
      <c r="S26" t="e">
        <f>AND('4to. Perito_A'!A41,"AAAAACv//hI=")</f>
        <v>#VALUE!</v>
      </c>
      <c r="T26" t="e">
        <f>AND('4to. Perito_A'!B41,"AAAAACv//hM=")</f>
        <v>#VALUE!</v>
      </c>
      <c r="U26" t="e">
        <f>AND('4to. Perito_A'!C41,"AAAAACv//hQ=")</f>
        <v>#VALUE!</v>
      </c>
      <c r="V26" t="e">
        <f>AND('4to. Perito_A'!D41,"AAAAACv//hU=")</f>
        <v>#VALUE!</v>
      </c>
      <c r="W26" t="e">
        <f>AND('4to. Perito_A'!E41,"AAAAACv//hY=")</f>
        <v>#VALUE!</v>
      </c>
      <c r="X26" t="e">
        <f>AND('4to. Perito_A'!F41,"AAAAACv//hc=")</f>
        <v>#VALUE!</v>
      </c>
      <c r="Y26" t="e">
        <f>AND('4to. Perito_A'!G41,"AAAAACv//hg=")</f>
        <v>#VALUE!</v>
      </c>
      <c r="Z26" t="e">
        <f>AND('4to. Perito_A'!H41,"AAAAACv//hk=")</f>
        <v>#VALUE!</v>
      </c>
      <c r="AA26" t="e">
        <f>AND('4to. Perito_A'!I41,"AAAAACv//ho=")</f>
        <v>#VALUE!</v>
      </c>
      <c r="AB26" t="e">
        <f>AND('4to. Perito_A'!J41,"AAAAACv//hs=")</f>
        <v>#VALUE!</v>
      </c>
      <c r="AC26" t="e">
        <f>AND('4to. Perito_A'!K41,"AAAAACv//hw=")</f>
        <v>#VALUE!</v>
      </c>
      <c r="AD26" t="e">
        <f>AND('4to. Perito_A'!L41,"AAAAACv//h0=")</f>
        <v>#VALUE!</v>
      </c>
      <c r="AE26" t="e">
        <f>AND('4to. Perito_A'!M41,"AAAAACv//h4=")</f>
        <v>#VALUE!</v>
      </c>
      <c r="AF26" t="e">
        <f>AND('4to. Perito_A'!N41,"AAAAACv//h8=")</f>
        <v>#VALUE!</v>
      </c>
      <c r="AG26" t="e">
        <f>AND('4to. Perito_A'!O41,"AAAAACv//iA=")</f>
        <v>#VALUE!</v>
      </c>
      <c r="AH26" t="e">
        <f>AND('4to. Perito_A'!P41,"AAAAACv//iE=")</f>
        <v>#VALUE!</v>
      </c>
      <c r="AI26" t="e">
        <f>AND('4to. Perito_A'!Q41,"AAAAACv//iI=")</f>
        <v>#VALUE!</v>
      </c>
      <c r="AJ26" t="e">
        <f>AND('4to. Perito_A'!R41,"AAAAACv//iM=")</f>
        <v>#VALUE!</v>
      </c>
      <c r="AK26" t="e">
        <f>AND('4to. Perito_A'!S41,"AAAAACv//iQ=")</f>
        <v>#VALUE!</v>
      </c>
      <c r="AL26" t="e">
        <f>AND('4to. Perito_A'!T41,"AAAAACv//iU=")</f>
        <v>#VALUE!</v>
      </c>
      <c r="AM26" t="e">
        <f>AND('4to. Perito_A'!#REF!,"AAAAACv//iY=")</f>
        <v>#REF!</v>
      </c>
      <c r="AN26" t="e">
        <f>AND('4to. Perito_A'!#REF!,"AAAAACv//ic=")</f>
        <v>#REF!</v>
      </c>
      <c r="AO26" t="e">
        <f>AND('4to. Perito_A'!#REF!,"AAAAACv//ig=")</f>
        <v>#REF!</v>
      </c>
      <c r="AP26" t="e">
        <f>AND('4to. Perito_A'!#REF!,"AAAAACv//ik=")</f>
        <v>#REF!</v>
      </c>
      <c r="AQ26" t="e">
        <f>AND('4to. Perito_A'!#REF!,"AAAAACv//io=")</f>
        <v>#REF!</v>
      </c>
      <c r="AR26">
        <f>IF('4to. Perito_A'!42:42,"AAAAACv//is=",0)</f>
        <v>0</v>
      </c>
      <c r="AS26" t="e">
        <f>AND('4to. Perito_A'!A42,"AAAAACv//iw=")</f>
        <v>#VALUE!</v>
      </c>
      <c r="AT26" t="e">
        <f>AND('4to. Perito_A'!B42,"AAAAACv//i0=")</f>
        <v>#VALUE!</v>
      </c>
      <c r="AU26" t="e">
        <f>AND('4to. Perito_A'!C42,"AAAAACv//i4=")</f>
        <v>#VALUE!</v>
      </c>
      <c r="AV26" t="e">
        <f>AND('4to. Perito_A'!D42,"AAAAACv//i8=")</f>
        <v>#VALUE!</v>
      </c>
      <c r="AW26" t="e">
        <f>AND('4to. Perito_A'!E42,"AAAAACv//jA=")</f>
        <v>#VALUE!</v>
      </c>
      <c r="AX26" t="e">
        <f>AND('4to. Perito_A'!F42,"AAAAACv//jE=")</f>
        <v>#VALUE!</v>
      </c>
      <c r="AY26" t="e">
        <f>AND('4to. Perito_A'!G42,"AAAAACv//jI=")</f>
        <v>#VALUE!</v>
      </c>
      <c r="AZ26" t="e">
        <f>AND('4to. Perito_A'!H42,"AAAAACv//jM=")</f>
        <v>#VALUE!</v>
      </c>
      <c r="BA26" t="e">
        <f>AND('4to. Perito_A'!I42,"AAAAACv//jQ=")</f>
        <v>#VALUE!</v>
      </c>
      <c r="BB26" t="e">
        <f>AND('4to. Perito_A'!J42,"AAAAACv//jU=")</f>
        <v>#VALUE!</v>
      </c>
      <c r="BC26" t="e">
        <f>AND('4to. Perito_A'!K42,"AAAAACv//jY=")</f>
        <v>#VALUE!</v>
      </c>
      <c r="BD26" t="e">
        <f>AND('4to. Perito_A'!L42,"AAAAACv//jc=")</f>
        <v>#VALUE!</v>
      </c>
      <c r="BE26" t="e">
        <f>AND('4to. Perito_A'!M42,"AAAAACv//jg=")</f>
        <v>#VALUE!</v>
      </c>
      <c r="BF26" t="e">
        <f>AND('4to. Perito_A'!N42,"AAAAACv//jk=")</f>
        <v>#VALUE!</v>
      </c>
      <c r="BG26" t="e">
        <f>AND('4to. Perito_A'!O42,"AAAAACv//jo=")</f>
        <v>#VALUE!</v>
      </c>
      <c r="BH26" t="e">
        <f>AND('4to. Perito_A'!P42,"AAAAACv//js=")</f>
        <v>#VALUE!</v>
      </c>
      <c r="BI26" t="e">
        <f>AND('4to. Perito_A'!Q42,"AAAAACv//jw=")</f>
        <v>#VALUE!</v>
      </c>
      <c r="BJ26" t="e">
        <f>AND('4to. Perito_A'!R42,"AAAAACv//j0=")</f>
        <v>#VALUE!</v>
      </c>
      <c r="BK26" t="e">
        <f>AND('4to. Perito_A'!S42,"AAAAACv//j4=")</f>
        <v>#VALUE!</v>
      </c>
      <c r="BL26" t="e">
        <f>AND('4to. Perito_A'!T42,"AAAAACv//j8=")</f>
        <v>#VALUE!</v>
      </c>
      <c r="BM26" t="e">
        <f>AND('4to. Perito_A'!#REF!,"AAAAACv//kA=")</f>
        <v>#REF!</v>
      </c>
      <c r="BN26" t="e">
        <f>AND('4to. Perito_A'!#REF!,"AAAAACv//kE=")</f>
        <v>#REF!</v>
      </c>
      <c r="BO26" t="e">
        <f>AND('4to. Perito_A'!#REF!,"AAAAACv//kI=")</f>
        <v>#REF!</v>
      </c>
      <c r="BP26" t="e">
        <f>AND('4to. Perito_A'!#REF!,"AAAAACv//kM=")</f>
        <v>#REF!</v>
      </c>
      <c r="BQ26" t="e">
        <f>AND('4to. Perito_A'!#REF!,"AAAAACv//kQ=")</f>
        <v>#REF!</v>
      </c>
      <c r="BR26">
        <f>IF('4to. Perito_A'!43:43,"AAAAACv//kU=",0)</f>
        <v>0</v>
      </c>
      <c r="BS26" t="e">
        <f>AND('4to. Perito_A'!A43,"AAAAACv//kY=")</f>
        <v>#VALUE!</v>
      </c>
      <c r="BT26" t="e">
        <f>AND('4to. Perito_A'!B43,"AAAAACv//kc=")</f>
        <v>#VALUE!</v>
      </c>
      <c r="BU26" t="e">
        <f>AND('4to. Perito_A'!C43,"AAAAACv//kg=")</f>
        <v>#VALUE!</v>
      </c>
      <c r="BV26" t="e">
        <f>AND('4to. Perito_A'!D43,"AAAAACv//kk=")</f>
        <v>#VALUE!</v>
      </c>
      <c r="BW26" t="e">
        <f>AND('4to. Perito_A'!E43,"AAAAACv//ko=")</f>
        <v>#VALUE!</v>
      </c>
      <c r="BX26" t="e">
        <f>AND('4to. Perito_A'!F43,"AAAAACv//ks=")</f>
        <v>#VALUE!</v>
      </c>
      <c r="BY26" t="e">
        <f>AND('4to. Perito_A'!G43,"AAAAACv//kw=")</f>
        <v>#VALUE!</v>
      </c>
      <c r="BZ26" t="e">
        <f>AND('4to. Perito_A'!H43,"AAAAACv//k0=")</f>
        <v>#VALUE!</v>
      </c>
      <c r="CA26" t="e">
        <f>AND('4to. Perito_A'!I43,"AAAAACv//k4=")</f>
        <v>#VALUE!</v>
      </c>
      <c r="CB26" t="e">
        <f>AND('4to. Perito_A'!J43,"AAAAACv//k8=")</f>
        <v>#VALUE!</v>
      </c>
      <c r="CC26" t="e">
        <f>AND('4to. Perito_A'!K43,"AAAAACv//lA=")</f>
        <v>#VALUE!</v>
      </c>
      <c r="CD26" t="e">
        <f>AND('4to. Perito_A'!L43,"AAAAACv//lE=")</f>
        <v>#VALUE!</v>
      </c>
      <c r="CE26" t="e">
        <f>AND('4to. Perito_A'!M43,"AAAAACv//lI=")</f>
        <v>#VALUE!</v>
      </c>
      <c r="CF26" t="e">
        <f>AND('4to. Perito_A'!N43,"AAAAACv//lM=")</f>
        <v>#VALUE!</v>
      </c>
      <c r="CG26" t="e">
        <f>AND('4to. Perito_A'!O43,"AAAAACv//lQ=")</f>
        <v>#VALUE!</v>
      </c>
      <c r="CH26" t="e">
        <f>AND('4to. Perito_A'!P43,"AAAAACv//lU=")</f>
        <v>#VALUE!</v>
      </c>
      <c r="CI26" t="e">
        <f>AND('4to. Perito_A'!Q43,"AAAAACv//lY=")</f>
        <v>#VALUE!</v>
      </c>
      <c r="CJ26" t="e">
        <f>AND('4to. Perito_A'!R43,"AAAAACv//lc=")</f>
        <v>#VALUE!</v>
      </c>
      <c r="CK26" t="e">
        <f>AND('4to. Perito_A'!S43,"AAAAACv//lg=")</f>
        <v>#VALUE!</v>
      </c>
      <c r="CL26" t="e">
        <f>AND('4to. Perito_A'!T43,"AAAAACv//lk=")</f>
        <v>#VALUE!</v>
      </c>
      <c r="CM26" t="e">
        <f>AND('4to. Perito_A'!#REF!,"AAAAACv//lo=")</f>
        <v>#REF!</v>
      </c>
      <c r="CN26" t="e">
        <f>AND('4to. Perito_A'!#REF!,"AAAAACv//ls=")</f>
        <v>#REF!</v>
      </c>
      <c r="CO26" t="e">
        <f>AND('4to. Perito_A'!#REF!,"AAAAACv//lw=")</f>
        <v>#REF!</v>
      </c>
      <c r="CP26" t="e">
        <f>AND('4to. Perito_A'!#REF!,"AAAAACv//l0=")</f>
        <v>#REF!</v>
      </c>
      <c r="CQ26" t="e">
        <f>AND('4to. Perito_A'!#REF!,"AAAAACv//l4=")</f>
        <v>#REF!</v>
      </c>
      <c r="CR26">
        <f>IF('4to. Perito_A'!44:44,"AAAAACv//l8=",0)</f>
        <v>0</v>
      </c>
      <c r="CS26" t="e">
        <f>AND('4to. Perito_A'!A44,"AAAAACv//mA=")</f>
        <v>#VALUE!</v>
      </c>
      <c r="CT26" t="e">
        <f>AND('4to. Perito_A'!B44,"AAAAACv//mE=")</f>
        <v>#VALUE!</v>
      </c>
      <c r="CU26" t="e">
        <f>AND('4to. Perito_A'!C44,"AAAAACv//mI=")</f>
        <v>#VALUE!</v>
      </c>
      <c r="CV26" t="e">
        <f>AND('4to. Perito_A'!D44,"AAAAACv//mM=")</f>
        <v>#VALUE!</v>
      </c>
      <c r="CW26" t="e">
        <f>AND('4to. Perito_A'!E44,"AAAAACv//mQ=")</f>
        <v>#VALUE!</v>
      </c>
      <c r="CX26" t="e">
        <f>AND('4to. Perito_A'!F44,"AAAAACv//mU=")</f>
        <v>#VALUE!</v>
      </c>
      <c r="CY26" t="e">
        <f>AND('4to. Perito_A'!G44,"AAAAACv//mY=")</f>
        <v>#VALUE!</v>
      </c>
      <c r="CZ26" t="e">
        <f>AND('4to. Perito_A'!H44,"AAAAACv//mc=")</f>
        <v>#VALUE!</v>
      </c>
      <c r="DA26" t="e">
        <f>AND('4to. Perito_A'!I44,"AAAAACv//mg=")</f>
        <v>#VALUE!</v>
      </c>
      <c r="DB26" t="e">
        <f>AND('4to. Perito_A'!J44,"AAAAACv//mk=")</f>
        <v>#VALUE!</v>
      </c>
      <c r="DC26" t="e">
        <f>AND('4to. Perito_A'!K44,"AAAAACv//mo=")</f>
        <v>#VALUE!</v>
      </c>
      <c r="DD26" t="e">
        <f>AND('4to. Perito_A'!L44,"AAAAACv//ms=")</f>
        <v>#VALUE!</v>
      </c>
      <c r="DE26" t="e">
        <f>AND('4to. Perito_A'!M44,"AAAAACv//mw=")</f>
        <v>#VALUE!</v>
      </c>
      <c r="DF26" t="e">
        <f>AND('4to. Perito_A'!N44,"AAAAACv//m0=")</f>
        <v>#VALUE!</v>
      </c>
      <c r="DG26" t="e">
        <f>AND('4to. Perito_A'!O44,"AAAAACv//m4=")</f>
        <v>#VALUE!</v>
      </c>
      <c r="DH26" t="e">
        <f>AND('4to. Perito_A'!P44,"AAAAACv//m8=")</f>
        <v>#VALUE!</v>
      </c>
      <c r="DI26" t="e">
        <f>AND('4to. Perito_A'!Q44,"AAAAACv//nA=")</f>
        <v>#VALUE!</v>
      </c>
      <c r="DJ26" t="e">
        <f>AND('4to. Perito_A'!R44,"AAAAACv//nE=")</f>
        <v>#VALUE!</v>
      </c>
      <c r="DK26" t="e">
        <f>AND('4to. Perito_A'!S44,"AAAAACv//nI=")</f>
        <v>#VALUE!</v>
      </c>
      <c r="DL26" t="e">
        <f>AND('4to. Perito_A'!T44,"AAAAACv//nM=")</f>
        <v>#VALUE!</v>
      </c>
      <c r="DM26" t="e">
        <f>AND('4to. Perito_A'!#REF!,"AAAAACv//nQ=")</f>
        <v>#REF!</v>
      </c>
      <c r="DN26" t="e">
        <f>AND('4to. Perito_A'!#REF!,"AAAAACv//nU=")</f>
        <v>#REF!</v>
      </c>
      <c r="DO26" t="e">
        <f>AND('4to. Perito_A'!#REF!,"AAAAACv//nY=")</f>
        <v>#REF!</v>
      </c>
      <c r="DP26" t="e">
        <f>AND('4to. Perito_A'!#REF!,"AAAAACv//nc=")</f>
        <v>#REF!</v>
      </c>
      <c r="DQ26" t="e">
        <f>AND('4to. Perito_A'!#REF!,"AAAAACv//ng=")</f>
        <v>#REF!</v>
      </c>
      <c r="DR26">
        <f>IF('4to. Perito_A'!45:45,"AAAAACv//nk=",0)</f>
        <v>0</v>
      </c>
      <c r="DS26" t="e">
        <f>AND('4to. Perito_A'!A45,"AAAAACv//no=")</f>
        <v>#VALUE!</v>
      </c>
      <c r="DT26" t="e">
        <f>AND('4to. Perito_A'!B45,"AAAAACv//ns=")</f>
        <v>#VALUE!</v>
      </c>
      <c r="DU26" t="e">
        <f>AND('4to. Perito_A'!C45,"AAAAACv//nw=")</f>
        <v>#VALUE!</v>
      </c>
      <c r="DV26" t="e">
        <f>AND('4to. Perito_A'!D45,"AAAAACv//n0=")</f>
        <v>#VALUE!</v>
      </c>
      <c r="DW26" t="e">
        <f>AND('4to. Perito_A'!E45,"AAAAACv//n4=")</f>
        <v>#VALUE!</v>
      </c>
      <c r="DX26" t="e">
        <f>AND('4to. Perito_A'!F45,"AAAAACv//n8=")</f>
        <v>#VALUE!</v>
      </c>
      <c r="DY26" t="e">
        <f>AND('4to. Perito_A'!G45,"AAAAACv//oA=")</f>
        <v>#VALUE!</v>
      </c>
      <c r="DZ26" t="e">
        <f>AND('4to. Perito_A'!H45,"AAAAACv//oE=")</f>
        <v>#VALUE!</v>
      </c>
      <c r="EA26" t="e">
        <f>AND('4to. Perito_A'!I45,"AAAAACv//oI=")</f>
        <v>#VALUE!</v>
      </c>
      <c r="EB26" t="e">
        <f>AND('4to. Perito_A'!J45,"AAAAACv//oM=")</f>
        <v>#VALUE!</v>
      </c>
      <c r="EC26" t="e">
        <f>AND('4to. Perito_A'!K45,"AAAAACv//oQ=")</f>
        <v>#VALUE!</v>
      </c>
      <c r="ED26" t="e">
        <f>AND('4to. Perito_A'!L45,"AAAAACv//oU=")</f>
        <v>#VALUE!</v>
      </c>
      <c r="EE26" t="e">
        <f>AND('4to. Perito_A'!M45,"AAAAACv//oY=")</f>
        <v>#VALUE!</v>
      </c>
      <c r="EF26" t="e">
        <f>AND('4to. Perito_A'!N45,"AAAAACv//oc=")</f>
        <v>#VALUE!</v>
      </c>
      <c r="EG26" t="e">
        <f>AND('4to. Perito_A'!O45,"AAAAACv//og=")</f>
        <v>#VALUE!</v>
      </c>
      <c r="EH26" t="e">
        <f>AND('4to. Perito_A'!P45,"AAAAACv//ok=")</f>
        <v>#VALUE!</v>
      </c>
      <c r="EI26" t="e">
        <f>AND('4to. Perito_A'!Q45,"AAAAACv//oo=")</f>
        <v>#VALUE!</v>
      </c>
      <c r="EJ26" t="e">
        <f>AND('4to. Perito_A'!R45,"AAAAACv//os=")</f>
        <v>#VALUE!</v>
      </c>
      <c r="EK26" t="e">
        <f>AND('4to. Perito_A'!S45,"AAAAACv//ow=")</f>
        <v>#VALUE!</v>
      </c>
      <c r="EL26" t="e">
        <f>AND('4to. Perito_A'!T45,"AAAAACv//o0=")</f>
        <v>#VALUE!</v>
      </c>
      <c r="EM26" t="e">
        <f>AND('4to. Perito_A'!#REF!,"AAAAACv//o4=")</f>
        <v>#REF!</v>
      </c>
      <c r="EN26" t="e">
        <f>AND('4to. Perito_A'!#REF!,"AAAAACv//o8=")</f>
        <v>#REF!</v>
      </c>
      <c r="EO26" t="e">
        <f>AND('4to. Perito_A'!#REF!,"AAAAACv//pA=")</f>
        <v>#REF!</v>
      </c>
      <c r="EP26" t="e">
        <f>AND('4to. Perito_A'!#REF!,"AAAAACv//pE=")</f>
        <v>#REF!</v>
      </c>
      <c r="EQ26" t="e">
        <f>AND('4to. Perito_A'!#REF!,"AAAAACv//pI=")</f>
        <v>#REF!</v>
      </c>
      <c r="ER26">
        <f>IF('4to. Perito_A'!46:46,"AAAAACv//pM=",0)</f>
        <v>0</v>
      </c>
      <c r="ES26" t="e">
        <f>AND('4to. Perito_A'!A46,"AAAAACv//pQ=")</f>
        <v>#VALUE!</v>
      </c>
      <c r="ET26" t="e">
        <f>AND('4to. Perito_A'!B46,"AAAAACv//pU=")</f>
        <v>#VALUE!</v>
      </c>
      <c r="EU26" t="e">
        <f>AND('4to. Perito_A'!C46,"AAAAACv//pY=")</f>
        <v>#VALUE!</v>
      </c>
      <c r="EV26" t="e">
        <f>AND('4to. Perito_A'!D46,"AAAAACv//pc=")</f>
        <v>#VALUE!</v>
      </c>
      <c r="EW26" t="e">
        <f>AND('4to. Perito_A'!E46,"AAAAACv//pg=")</f>
        <v>#VALUE!</v>
      </c>
      <c r="EX26" t="e">
        <f>AND('4to. Perito_A'!F46,"AAAAACv//pk=")</f>
        <v>#VALUE!</v>
      </c>
      <c r="EY26" t="e">
        <f>AND('4to. Perito_A'!G46,"AAAAACv//po=")</f>
        <v>#VALUE!</v>
      </c>
      <c r="EZ26" t="e">
        <f>AND('4to. Perito_A'!H46,"AAAAACv//ps=")</f>
        <v>#VALUE!</v>
      </c>
      <c r="FA26" t="e">
        <f>AND('4to. Perito_A'!I46,"AAAAACv//pw=")</f>
        <v>#VALUE!</v>
      </c>
      <c r="FB26" t="e">
        <f>AND('4to. Perito_A'!J46,"AAAAACv//p0=")</f>
        <v>#VALUE!</v>
      </c>
      <c r="FC26" t="e">
        <f>AND('4to. Perito_A'!K46,"AAAAACv//p4=")</f>
        <v>#VALUE!</v>
      </c>
      <c r="FD26" t="e">
        <f>AND('4to. Perito_A'!L46,"AAAAACv//p8=")</f>
        <v>#VALUE!</v>
      </c>
      <c r="FE26" t="e">
        <f>AND('4to. Perito_A'!M46,"AAAAACv//qA=")</f>
        <v>#VALUE!</v>
      </c>
      <c r="FF26" t="e">
        <f>AND('4to. Perito_A'!N46,"AAAAACv//qE=")</f>
        <v>#VALUE!</v>
      </c>
      <c r="FG26" t="e">
        <f>AND('4to. Perito_A'!O46,"AAAAACv//qI=")</f>
        <v>#VALUE!</v>
      </c>
      <c r="FH26" t="e">
        <f>AND('4to. Perito_A'!P46,"AAAAACv//qM=")</f>
        <v>#VALUE!</v>
      </c>
      <c r="FI26" t="e">
        <f>AND('4to. Perito_A'!Q46,"AAAAACv//qQ=")</f>
        <v>#VALUE!</v>
      </c>
      <c r="FJ26" t="e">
        <f>AND('4to. Perito_A'!R46,"AAAAACv//qU=")</f>
        <v>#VALUE!</v>
      </c>
      <c r="FK26" t="e">
        <f>AND('4to. Perito_A'!S46,"AAAAACv//qY=")</f>
        <v>#VALUE!</v>
      </c>
      <c r="FL26" t="e">
        <f>AND('4to. Perito_A'!T46,"AAAAACv//qc=")</f>
        <v>#VALUE!</v>
      </c>
      <c r="FM26" t="e">
        <f>AND('4to. Perito_A'!#REF!,"AAAAACv//qg=")</f>
        <v>#REF!</v>
      </c>
      <c r="FN26" t="e">
        <f>AND('4to. Perito_A'!#REF!,"AAAAACv//qk=")</f>
        <v>#REF!</v>
      </c>
      <c r="FO26" t="e">
        <f>AND('4to. Perito_A'!#REF!,"AAAAACv//qo=")</f>
        <v>#REF!</v>
      </c>
      <c r="FP26" t="e">
        <f>AND('4to. Perito_A'!#REF!,"AAAAACv//qs=")</f>
        <v>#REF!</v>
      </c>
      <c r="FQ26" t="e">
        <f>AND('4to. Perito_A'!#REF!,"AAAAACv//qw=")</f>
        <v>#REF!</v>
      </c>
      <c r="FR26" t="e">
        <f>IF('4to. Perito_A'!#REF!,"AAAAACv//q0=",0)</f>
        <v>#REF!</v>
      </c>
      <c r="FS26" t="e">
        <f>AND('4to. Perito_A'!#REF!,"AAAAACv//q4=")</f>
        <v>#REF!</v>
      </c>
      <c r="FT26" t="e">
        <f>AND('4to. Perito_A'!#REF!,"AAAAACv//q8=")</f>
        <v>#REF!</v>
      </c>
      <c r="FU26" t="e">
        <f>AND('4to. Perito_A'!#REF!,"AAAAACv//rA=")</f>
        <v>#REF!</v>
      </c>
      <c r="FV26" t="e">
        <f>AND('4to. Perito_A'!#REF!,"AAAAACv//rE=")</f>
        <v>#REF!</v>
      </c>
      <c r="FW26" t="e">
        <f>AND('4to. Perito_A'!#REF!,"AAAAACv//rI=")</f>
        <v>#REF!</v>
      </c>
      <c r="FX26" t="e">
        <f>AND('4to. Perito_A'!#REF!,"AAAAACv//rM=")</f>
        <v>#REF!</v>
      </c>
      <c r="FY26" t="e">
        <f>AND('4to. Perito_A'!#REF!,"AAAAACv//rQ=")</f>
        <v>#REF!</v>
      </c>
      <c r="FZ26" t="e">
        <f>AND('4to. Perito_A'!#REF!,"AAAAACv//rU=")</f>
        <v>#REF!</v>
      </c>
      <c r="GA26" t="e">
        <f>AND('4to. Perito_A'!#REF!,"AAAAACv//rY=")</f>
        <v>#REF!</v>
      </c>
      <c r="GB26" t="e">
        <f>AND('4to. Perito_A'!#REF!,"AAAAACv//rc=")</f>
        <v>#REF!</v>
      </c>
      <c r="GC26" t="e">
        <f>AND('4to. Perito_A'!#REF!,"AAAAACv//rg=")</f>
        <v>#REF!</v>
      </c>
      <c r="GD26" t="e">
        <f>AND('4to. Perito_A'!#REF!,"AAAAACv//rk=")</f>
        <v>#REF!</v>
      </c>
      <c r="GE26" t="e">
        <f>AND('4to. Perito_A'!#REF!,"AAAAACv//ro=")</f>
        <v>#REF!</v>
      </c>
      <c r="GF26" t="e">
        <f>AND('4to. Perito_A'!#REF!,"AAAAACv//rs=")</f>
        <v>#REF!</v>
      </c>
      <c r="GG26" t="e">
        <f>AND('4to. Perito_A'!#REF!,"AAAAACv//rw=")</f>
        <v>#REF!</v>
      </c>
      <c r="GH26" t="e">
        <f>AND('4to. Perito_A'!#REF!,"AAAAACv//r0=")</f>
        <v>#REF!</v>
      </c>
      <c r="GI26" t="e">
        <f>AND('4to. Perito_A'!#REF!,"AAAAACv//r4=")</f>
        <v>#REF!</v>
      </c>
      <c r="GJ26" t="e">
        <f>AND('4to. Perito_A'!#REF!,"AAAAACv//r8=")</f>
        <v>#REF!</v>
      </c>
      <c r="GK26" t="e">
        <f>AND('4to. Perito_A'!#REF!,"AAAAACv//sA=")</f>
        <v>#REF!</v>
      </c>
      <c r="GL26" t="e">
        <f>AND('4to. Perito_A'!#REF!,"AAAAACv//sE=")</f>
        <v>#REF!</v>
      </c>
      <c r="GM26" t="e">
        <f>AND('4to. Perito_A'!#REF!,"AAAAACv//sI=")</f>
        <v>#REF!</v>
      </c>
      <c r="GN26" t="e">
        <f>AND('4to. Perito_A'!#REF!,"AAAAACv//sM=")</f>
        <v>#REF!</v>
      </c>
      <c r="GO26" t="e">
        <f>AND('4to. Perito_A'!#REF!,"AAAAACv//sQ=")</f>
        <v>#REF!</v>
      </c>
      <c r="GP26" t="e">
        <f>AND('4to. Perito_A'!#REF!,"AAAAACv//sU=")</f>
        <v>#REF!</v>
      </c>
      <c r="GQ26" t="e">
        <f>AND('4to. Perito_A'!#REF!,"AAAAACv//sY=")</f>
        <v>#REF!</v>
      </c>
      <c r="GR26" t="e">
        <f>IF('4to. Perito_A'!#REF!,"AAAAACv//sc=",0)</f>
        <v>#REF!</v>
      </c>
      <c r="GS26" t="e">
        <f>AND('4to. Perito_A'!#REF!,"AAAAACv//sg=")</f>
        <v>#REF!</v>
      </c>
      <c r="GT26" t="e">
        <f>AND('4to. Perito_A'!#REF!,"AAAAACv//sk=")</f>
        <v>#REF!</v>
      </c>
      <c r="GU26" t="e">
        <f>AND('4to. Perito_A'!#REF!,"AAAAACv//so=")</f>
        <v>#REF!</v>
      </c>
      <c r="GV26" t="e">
        <f>AND('4to. Perito_A'!#REF!,"AAAAACv//ss=")</f>
        <v>#REF!</v>
      </c>
      <c r="GW26" t="e">
        <f>AND('4to. Perito_A'!#REF!,"AAAAACv//sw=")</f>
        <v>#REF!</v>
      </c>
      <c r="GX26" t="e">
        <f>AND('4to. Perito_A'!#REF!,"AAAAACv//s0=")</f>
        <v>#REF!</v>
      </c>
      <c r="GY26" t="e">
        <f>AND('4to. Perito_A'!#REF!,"AAAAACv//s4=")</f>
        <v>#REF!</v>
      </c>
      <c r="GZ26" t="e">
        <f>AND('4to. Perito_A'!#REF!,"AAAAACv//s8=")</f>
        <v>#REF!</v>
      </c>
      <c r="HA26" t="e">
        <f>AND('4to. Perito_A'!#REF!,"AAAAACv//tA=")</f>
        <v>#REF!</v>
      </c>
      <c r="HB26" t="e">
        <f>AND('4to. Perito_A'!#REF!,"AAAAACv//tE=")</f>
        <v>#REF!</v>
      </c>
      <c r="HC26" t="e">
        <f>AND('4to. Perito_A'!#REF!,"AAAAACv//tI=")</f>
        <v>#REF!</v>
      </c>
      <c r="HD26" t="e">
        <f>AND('4to. Perito_A'!#REF!,"AAAAACv//tM=")</f>
        <v>#REF!</v>
      </c>
      <c r="HE26" t="e">
        <f>AND('4to. Perito_A'!#REF!,"AAAAACv//tQ=")</f>
        <v>#REF!</v>
      </c>
      <c r="HF26" t="e">
        <f>AND('4to. Perito_A'!#REF!,"AAAAACv//tU=")</f>
        <v>#REF!</v>
      </c>
      <c r="HG26" t="e">
        <f>AND('4to. Perito_A'!#REF!,"AAAAACv//tY=")</f>
        <v>#REF!</v>
      </c>
      <c r="HH26" t="e">
        <f>AND('4to. Perito_A'!#REF!,"AAAAACv//tc=")</f>
        <v>#REF!</v>
      </c>
      <c r="HI26" t="e">
        <f>AND('4to. Perito_A'!#REF!,"AAAAACv//tg=")</f>
        <v>#REF!</v>
      </c>
      <c r="HJ26" t="e">
        <f>AND('4to. Perito_A'!#REF!,"AAAAACv//tk=")</f>
        <v>#REF!</v>
      </c>
      <c r="HK26" t="e">
        <f>AND('4to. Perito_A'!#REF!,"AAAAACv//to=")</f>
        <v>#REF!</v>
      </c>
      <c r="HL26" t="e">
        <f>AND('4to. Perito_A'!#REF!,"AAAAACv//ts=")</f>
        <v>#REF!</v>
      </c>
      <c r="HM26" t="e">
        <f>AND('4to. Perito_A'!#REF!,"AAAAACv//tw=")</f>
        <v>#REF!</v>
      </c>
      <c r="HN26" t="e">
        <f>AND('4to. Perito_A'!#REF!,"AAAAACv//t0=")</f>
        <v>#REF!</v>
      </c>
      <c r="HO26" t="e">
        <f>AND('4to. Perito_A'!#REF!,"AAAAACv//t4=")</f>
        <v>#REF!</v>
      </c>
      <c r="HP26" t="e">
        <f>AND('4to. Perito_A'!#REF!,"AAAAACv//t8=")</f>
        <v>#REF!</v>
      </c>
      <c r="HQ26" t="e">
        <f>AND('4to. Perito_A'!#REF!,"AAAAACv//uA=")</f>
        <v>#REF!</v>
      </c>
      <c r="HR26" t="e">
        <f>IF('4to. Perito_A'!#REF!,"AAAAACv//uE=",0)</f>
        <v>#REF!</v>
      </c>
      <c r="HS26" t="e">
        <f>AND('4to. Perito_A'!#REF!,"AAAAACv//uI=")</f>
        <v>#REF!</v>
      </c>
      <c r="HT26" t="e">
        <f>AND('4to. Perito_A'!#REF!,"AAAAACv//uM=")</f>
        <v>#REF!</v>
      </c>
      <c r="HU26" t="e">
        <f>AND('4to. Perito_A'!#REF!,"AAAAACv//uQ=")</f>
        <v>#REF!</v>
      </c>
      <c r="HV26" t="e">
        <f>AND('4to. Perito_A'!#REF!,"AAAAACv//uU=")</f>
        <v>#REF!</v>
      </c>
      <c r="HW26" t="e">
        <f>AND('4to. Perito_A'!#REF!,"AAAAACv//uY=")</f>
        <v>#REF!</v>
      </c>
      <c r="HX26" t="e">
        <f>AND('4to. Perito_A'!#REF!,"AAAAACv//uc=")</f>
        <v>#REF!</v>
      </c>
      <c r="HY26" t="e">
        <f>AND('4to. Perito_A'!#REF!,"AAAAACv//ug=")</f>
        <v>#REF!</v>
      </c>
      <c r="HZ26" t="e">
        <f>AND('4to. Perito_A'!#REF!,"AAAAACv//uk=")</f>
        <v>#REF!</v>
      </c>
      <c r="IA26" t="e">
        <f>AND('4to. Perito_A'!#REF!,"AAAAACv//uo=")</f>
        <v>#REF!</v>
      </c>
      <c r="IB26" t="e">
        <f>AND('4to. Perito_A'!#REF!,"AAAAACv//us=")</f>
        <v>#REF!</v>
      </c>
      <c r="IC26" t="e">
        <f>AND('4to. Perito_A'!#REF!,"AAAAACv//uw=")</f>
        <v>#REF!</v>
      </c>
      <c r="ID26" t="e">
        <f>AND('4to. Perito_A'!#REF!,"AAAAACv//u0=")</f>
        <v>#REF!</v>
      </c>
      <c r="IE26" t="e">
        <f>AND('4to. Perito_A'!#REF!,"AAAAACv//u4=")</f>
        <v>#REF!</v>
      </c>
      <c r="IF26" t="e">
        <f>AND('4to. Perito_A'!#REF!,"AAAAACv//u8=")</f>
        <v>#REF!</v>
      </c>
      <c r="IG26" t="e">
        <f>AND('4to. Perito_A'!#REF!,"AAAAACv//vA=")</f>
        <v>#REF!</v>
      </c>
      <c r="IH26" t="e">
        <f>AND('4to. Perito_A'!#REF!,"AAAAACv//vE=")</f>
        <v>#REF!</v>
      </c>
      <c r="II26" t="e">
        <f>AND('4to. Perito_A'!#REF!,"AAAAACv//vI=")</f>
        <v>#REF!</v>
      </c>
      <c r="IJ26" t="e">
        <f>AND('4to. Perito_A'!#REF!,"AAAAACv//vM=")</f>
        <v>#REF!</v>
      </c>
      <c r="IK26" t="e">
        <f>AND('4to. Perito_A'!#REF!,"AAAAACv//vQ=")</f>
        <v>#REF!</v>
      </c>
      <c r="IL26" t="e">
        <f>AND('4to. Perito_A'!#REF!,"AAAAACv//vU=")</f>
        <v>#REF!</v>
      </c>
      <c r="IM26" t="e">
        <f>AND('4to. Perito_A'!#REF!,"AAAAACv//vY=")</f>
        <v>#REF!</v>
      </c>
      <c r="IN26" t="e">
        <f>AND('4to. Perito_A'!#REF!,"AAAAACv//vc=")</f>
        <v>#REF!</v>
      </c>
      <c r="IO26" t="e">
        <f>AND('4to. Perito_A'!#REF!,"AAAAACv//vg=")</f>
        <v>#REF!</v>
      </c>
      <c r="IP26" t="e">
        <f>AND('4to. Perito_A'!#REF!,"AAAAACv//vk=")</f>
        <v>#REF!</v>
      </c>
      <c r="IQ26" t="e">
        <f>AND('4to. Perito_A'!#REF!,"AAAAACv//vo=")</f>
        <v>#REF!</v>
      </c>
      <c r="IR26" t="e">
        <f>IF('4to. Perito_A'!#REF!,"AAAAACv//vs=",0)</f>
        <v>#REF!</v>
      </c>
      <c r="IS26" t="e">
        <f>AND('4to. Perito_A'!#REF!,"AAAAACv//vw=")</f>
        <v>#REF!</v>
      </c>
      <c r="IT26" t="e">
        <f>AND('4to. Perito_A'!#REF!,"AAAAACv//v0=")</f>
        <v>#REF!</v>
      </c>
      <c r="IU26" t="e">
        <f>AND('4to. Perito_A'!#REF!,"AAAAACv//v4=")</f>
        <v>#REF!</v>
      </c>
      <c r="IV26" t="e">
        <f>AND('4to. Perito_A'!#REF!,"AAAAACv//v8=")</f>
        <v>#REF!</v>
      </c>
    </row>
    <row r="27" spans="1:256">
      <c r="A27" t="e">
        <f>AND('4to. Perito_A'!#REF!,"AAAAAD/S/wA=")</f>
        <v>#REF!</v>
      </c>
      <c r="B27" t="e">
        <f>AND('4to. Perito_A'!#REF!,"AAAAAD/S/wE=")</f>
        <v>#REF!</v>
      </c>
      <c r="C27" t="e">
        <f>AND('4to. Perito_A'!#REF!,"AAAAAD/S/wI=")</f>
        <v>#REF!</v>
      </c>
      <c r="D27" t="e">
        <f>AND('4to. Perito_A'!#REF!,"AAAAAD/S/wM=")</f>
        <v>#REF!</v>
      </c>
      <c r="E27" t="e">
        <f>AND('4to. Perito_A'!#REF!,"AAAAAD/S/wQ=")</f>
        <v>#REF!</v>
      </c>
      <c r="F27" t="e">
        <f>AND('4to. Perito_A'!#REF!,"AAAAAD/S/wU=")</f>
        <v>#REF!</v>
      </c>
      <c r="G27" t="e">
        <f>AND('4to. Perito_A'!#REF!,"AAAAAD/S/wY=")</f>
        <v>#REF!</v>
      </c>
      <c r="H27" t="e">
        <f>AND('4to. Perito_A'!#REF!,"AAAAAD/S/wc=")</f>
        <v>#REF!</v>
      </c>
      <c r="I27" t="e">
        <f>AND('4to. Perito_A'!#REF!,"AAAAAD/S/wg=")</f>
        <v>#REF!</v>
      </c>
      <c r="J27" t="e">
        <f>AND('4to. Perito_A'!#REF!,"AAAAAD/S/wk=")</f>
        <v>#REF!</v>
      </c>
      <c r="K27" t="e">
        <f>AND('4to. Perito_A'!#REF!,"AAAAAD/S/wo=")</f>
        <v>#REF!</v>
      </c>
      <c r="L27" t="e">
        <f>AND('4to. Perito_A'!#REF!,"AAAAAD/S/ws=")</f>
        <v>#REF!</v>
      </c>
      <c r="M27" t="e">
        <f>AND('4to. Perito_A'!#REF!,"AAAAAD/S/ww=")</f>
        <v>#REF!</v>
      </c>
      <c r="N27" t="e">
        <f>AND('4to. Perito_A'!#REF!,"AAAAAD/S/w0=")</f>
        <v>#REF!</v>
      </c>
      <c r="O27" t="e">
        <f>AND('4to. Perito_A'!#REF!,"AAAAAD/S/w4=")</f>
        <v>#REF!</v>
      </c>
      <c r="P27" t="e">
        <f>AND('4to. Perito_A'!#REF!,"AAAAAD/S/w8=")</f>
        <v>#REF!</v>
      </c>
      <c r="Q27" t="e">
        <f>AND('4to. Perito_A'!#REF!,"AAAAAD/S/xA=")</f>
        <v>#REF!</v>
      </c>
      <c r="R27" t="e">
        <f>AND('4to. Perito_A'!#REF!,"AAAAAD/S/xE=")</f>
        <v>#REF!</v>
      </c>
      <c r="S27" t="e">
        <f>AND('4to. Perito_A'!#REF!,"AAAAAD/S/xI=")</f>
        <v>#REF!</v>
      </c>
      <c r="T27" t="e">
        <f>AND('4to. Perito_A'!#REF!,"AAAAAD/S/xM=")</f>
        <v>#REF!</v>
      </c>
      <c r="U27" t="e">
        <f>AND('4to. Perito_A'!#REF!,"AAAAAD/S/xQ=")</f>
        <v>#REF!</v>
      </c>
      <c r="V27" t="e">
        <f>IF('4to. Perito_A'!#REF!,"AAAAAD/S/xU=",0)</f>
        <v>#REF!</v>
      </c>
      <c r="W27" t="e">
        <f>AND('4to. Perito_A'!#REF!,"AAAAAD/S/xY=")</f>
        <v>#REF!</v>
      </c>
      <c r="X27" t="e">
        <f>AND('4to. Perito_A'!#REF!,"AAAAAD/S/xc=")</f>
        <v>#REF!</v>
      </c>
      <c r="Y27" t="e">
        <f>AND('4to. Perito_A'!#REF!,"AAAAAD/S/xg=")</f>
        <v>#REF!</v>
      </c>
      <c r="Z27" t="e">
        <f>AND('4to. Perito_A'!#REF!,"AAAAAD/S/xk=")</f>
        <v>#REF!</v>
      </c>
      <c r="AA27" t="e">
        <f>AND('4to. Perito_A'!#REF!,"AAAAAD/S/xo=")</f>
        <v>#REF!</v>
      </c>
      <c r="AB27" t="e">
        <f>AND('4to. Perito_A'!#REF!,"AAAAAD/S/xs=")</f>
        <v>#REF!</v>
      </c>
      <c r="AC27" t="e">
        <f>AND('4to. Perito_A'!#REF!,"AAAAAD/S/xw=")</f>
        <v>#REF!</v>
      </c>
      <c r="AD27" t="e">
        <f>AND('4to. Perito_A'!#REF!,"AAAAAD/S/x0=")</f>
        <v>#REF!</v>
      </c>
      <c r="AE27" t="e">
        <f>AND('4to. Perito_A'!#REF!,"AAAAAD/S/x4=")</f>
        <v>#REF!</v>
      </c>
      <c r="AF27" t="e">
        <f>AND('4to. Perito_A'!#REF!,"AAAAAD/S/x8=")</f>
        <v>#REF!</v>
      </c>
      <c r="AG27" t="e">
        <f>AND('4to. Perito_A'!#REF!,"AAAAAD/S/yA=")</f>
        <v>#REF!</v>
      </c>
      <c r="AH27" t="e">
        <f>AND('4to. Perito_A'!#REF!,"AAAAAD/S/yE=")</f>
        <v>#REF!</v>
      </c>
      <c r="AI27" t="e">
        <f>AND('4to. Perito_A'!#REF!,"AAAAAD/S/yI=")</f>
        <v>#REF!</v>
      </c>
      <c r="AJ27" t="e">
        <f>AND('4to. Perito_A'!#REF!,"AAAAAD/S/yM=")</f>
        <v>#REF!</v>
      </c>
      <c r="AK27" t="e">
        <f>AND('4to. Perito_A'!#REF!,"AAAAAD/S/yQ=")</f>
        <v>#REF!</v>
      </c>
      <c r="AL27" t="e">
        <f>AND('4to. Perito_A'!#REF!,"AAAAAD/S/yU=")</f>
        <v>#REF!</v>
      </c>
      <c r="AM27" t="e">
        <f>AND('4to. Perito_A'!#REF!,"AAAAAD/S/yY=")</f>
        <v>#REF!</v>
      </c>
      <c r="AN27" t="e">
        <f>AND('4to. Perito_A'!#REF!,"AAAAAD/S/yc=")</f>
        <v>#REF!</v>
      </c>
      <c r="AO27" t="e">
        <f>AND('4to. Perito_A'!#REF!,"AAAAAD/S/yg=")</f>
        <v>#REF!</v>
      </c>
      <c r="AP27" t="e">
        <f>AND('4to. Perito_A'!#REF!,"AAAAAD/S/yk=")</f>
        <v>#REF!</v>
      </c>
      <c r="AQ27" t="e">
        <f>AND('4to. Perito_A'!#REF!,"AAAAAD/S/yo=")</f>
        <v>#REF!</v>
      </c>
      <c r="AR27" t="e">
        <f>AND('4to. Perito_A'!#REF!,"AAAAAD/S/ys=")</f>
        <v>#REF!</v>
      </c>
      <c r="AS27" t="e">
        <f>AND('4to. Perito_A'!#REF!,"AAAAAD/S/yw=")</f>
        <v>#REF!</v>
      </c>
      <c r="AT27" t="e">
        <f>AND('4to. Perito_A'!#REF!,"AAAAAD/S/y0=")</f>
        <v>#REF!</v>
      </c>
      <c r="AU27" t="e">
        <f>AND('4to. Perito_A'!#REF!,"AAAAAD/S/y4=")</f>
        <v>#REF!</v>
      </c>
      <c r="AV27" t="e">
        <f>IF('4to. Perito_A'!#REF!,"AAAAAD/S/y8=",0)</f>
        <v>#REF!</v>
      </c>
      <c r="AW27" t="e">
        <f>AND('4to. Perito_A'!#REF!,"AAAAAD/S/zA=")</f>
        <v>#REF!</v>
      </c>
      <c r="AX27" t="e">
        <f>AND('4to. Perito_A'!#REF!,"AAAAAD/S/zE=")</f>
        <v>#REF!</v>
      </c>
      <c r="AY27" t="e">
        <f>AND('4to. Perito_A'!#REF!,"AAAAAD/S/zI=")</f>
        <v>#REF!</v>
      </c>
      <c r="AZ27" t="e">
        <f>AND('4to. Perito_A'!#REF!,"AAAAAD/S/zM=")</f>
        <v>#REF!</v>
      </c>
      <c r="BA27" t="e">
        <f>AND('4to. Perito_A'!#REF!,"AAAAAD/S/zQ=")</f>
        <v>#REF!</v>
      </c>
      <c r="BB27" t="e">
        <f>AND('4to. Perito_A'!#REF!,"AAAAAD/S/zU=")</f>
        <v>#REF!</v>
      </c>
      <c r="BC27" t="e">
        <f>AND('4to. Perito_A'!#REF!,"AAAAAD/S/zY=")</f>
        <v>#REF!</v>
      </c>
      <c r="BD27" t="e">
        <f>AND('4to. Perito_A'!#REF!,"AAAAAD/S/zc=")</f>
        <v>#REF!</v>
      </c>
      <c r="BE27" t="e">
        <f>AND('4to. Perito_A'!#REF!,"AAAAAD/S/zg=")</f>
        <v>#REF!</v>
      </c>
      <c r="BF27" t="e">
        <f>AND('4to. Perito_A'!#REF!,"AAAAAD/S/zk=")</f>
        <v>#REF!</v>
      </c>
      <c r="BG27" t="e">
        <f>AND('4to. Perito_A'!#REF!,"AAAAAD/S/zo=")</f>
        <v>#REF!</v>
      </c>
      <c r="BH27" t="e">
        <f>AND('4to. Perito_A'!#REF!,"AAAAAD/S/zs=")</f>
        <v>#REF!</v>
      </c>
      <c r="BI27" t="e">
        <f>AND('4to. Perito_A'!#REF!,"AAAAAD/S/zw=")</f>
        <v>#REF!</v>
      </c>
      <c r="BJ27" t="e">
        <f>AND('4to. Perito_A'!#REF!,"AAAAAD/S/z0=")</f>
        <v>#REF!</v>
      </c>
      <c r="BK27" t="e">
        <f>AND('4to. Perito_A'!#REF!,"AAAAAD/S/z4=")</f>
        <v>#REF!</v>
      </c>
      <c r="BL27" t="e">
        <f>AND('4to. Perito_A'!#REF!,"AAAAAD/S/z8=")</f>
        <v>#REF!</v>
      </c>
      <c r="BM27" t="e">
        <f>AND('4to. Perito_A'!#REF!,"AAAAAD/S/0A=")</f>
        <v>#REF!</v>
      </c>
      <c r="BN27" t="e">
        <f>AND('4to. Perito_A'!#REF!,"AAAAAD/S/0E=")</f>
        <v>#REF!</v>
      </c>
      <c r="BO27" t="e">
        <f>AND('4to. Perito_A'!#REF!,"AAAAAD/S/0I=")</f>
        <v>#REF!</v>
      </c>
      <c r="BP27" t="e">
        <f>AND('4to. Perito_A'!#REF!,"AAAAAD/S/0M=")</f>
        <v>#REF!</v>
      </c>
      <c r="BQ27" t="e">
        <f>AND('4to. Perito_A'!#REF!,"AAAAAD/S/0Q=")</f>
        <v>#REF!</v>
      </c>
      <c r="BR27" t="e">
        <f>AND('4to. Perito_A'!#REF!,"AAAAAD/S/0U=")</f>
        <v>#REF!</v>
      </c>
      <c r="BS27" t="e">
        <f>AND('4to. Perito_A'!#REF!,"AAAAAD/S/0Y=")</f>
        <v>#REF!</v>
      </c>
      <c r="BT27" t="e">
        <f>AND('4to. Perito_A'!#REF!,"AAAAAD/S/0c=")</f>
        <v>#REF!</v>
      </c>
      <c r="BU27" t="e">
        <f>AND('4to. Perito_A'!#REF!,"AAAAAD/S/0g=")</f>
        <v>#REF!</v>
      </c>
      <c r="BV27" t="e">
        <f>IF('4to. Perito_A'!#REF!,"AAAAAD/S/0k=",0)</f>
        <v>#REF!</v>
      </c>
      <c r="BW27" t="e">
        <f>AND('4to. Perito_A'!#REF!,"AAAAAD/S/0o=")</f>
        <v>#REF!</v>
      </c>
      <c r="BX27" t="e">
        <f>AND('4to. Perito_A'!#REF!,"AAAAAD/S/0s=")</f>
        <v>#REF!</v>
      </c>
      <c r="BY27" t="e">
        <f>AND('4to. Perito_A'!#REF!,"AAAAAD/S/0w=")</f>
        <v>#REF!</v>
      </c>
      <c r="BZ27" t="e">
        <f>AND('4to. Perito_A'!#REF!,"AAAAAD/S/00=")</f>
        <v>#REF!</v>
      </c>
      <c r="CA27" t="e">
        <f>AND('4to. Perito_A'!#REF!,"AAAAAD/S/04=")</f>
        <v>#REF!</v>
      </c>
      <c r="CB27" t="e">
        <f>AND('4to. Perito_A'!#REF!,"AAAAAD/S/08=")</f>
        <v>#REF!</v>
      </c>
      <c r="CC27" t="e">
        <f>AND('4to. Perito_A'!#REF!,"AAAAAD/S/1A=")</f>
        <v>#REF!</v>
      </c>
      <c r="CD27" t="e">
        <f>AND('4to. Perito_A'!#REF!,"AAAAAD/S/1E=")</f>
        <v>#REF!</v>
      </c>
      <c r="CE27" t="e">
        <f>AND('4to. Perito_A'!#REF!,"AAAAAD/S/1I=")</f>
        <v>#REF!</v>
      </c>
      <c r="CF27" t="e">
        <f>AND('4to. Perito_A'!#REF!,"AAAAAD/S/1M=")</f>
        <v>#REF!</v>
      </c>
      <c r="CG27" t="e">
        <f>AND('4to. Perito_A'!#REF!,"AAAAAD/S/1Q=")</f>
        <v>#REF!</v>
      </c>
      <c r="CH27" t="e">
        <f>AND('4to. Perito_A'!#REF!,"AAAAAD/S/1U=")</f>
        <v>#REF!</v>
      </c>
      <c r="CI27" t="e">
        <f>AND('4to. Perito_A'!#REF!,"AAAAAD/S/1Y=")</f>
        <v>#REF!</v>
      </c>
      <c r="CJ27" t="e">
        <f>AND('4to. Perito_A'!#REF!,"AAAAAD/S/1c=")</f>
        <v>#REF!</v>
      </c>
      <c r="CK27" t="e">
        <f>AND('4to. Perito_A'!#REF!,"AAAAAD/S/1g=")</f>
        <v>#REF!</v>
      </c>
      <c r="CL27" t="e">
        <f>AND('4to. Perito_A'!#REF!,"AAAAAD/S/1k=")</f>
        <v>#REF!</v>
      </c>
      <c r="CM27" t="e">
        <f>AND('4to. Perito_A'!#REF!,"AAAAAD/S/1o=")</f>
        <v>#REF!</v>
      </c>
      <c r="CN27" t="e">
        <f>AND('4to. Perito_A'!#REF!,"AAAAAD/S/1s=")</f>
        <v>#REF!</v>
      </c>
      <c r="CO27" t="e">
        <f>AND('4to. Perito_A'!#REF!,"AAAAAD/S/1w=")</f>
        <v>#REF!</v>
      </c>
      <c r="CP27" t="e">
        <f>AND('4to. Perito_A'!#REF!,"AAAAAD/S/10=")</f>
        <v>#REF!</v>
      </c>
      <c r="CQ27" t="e">
        <f>AND('4to. Perito_A'!#REF!,"AAAAAD/S/14=")</f>
        <v>#REF!</v>
      </c>
      <c r="CR27" t="e">
        <f>AND('4to. Perito_A'!#REF!,"AAAAAD/S/18=")</f>
        <v>#REF!</v>
      </c>
      <c r="CS27" t="e">
        <f>AND('4to. Perito_A'!#REF!,"AAAAAD/S/2A=")</f>
        <v>#REF!</v>
      </c>
      <c r="CT27" t="e">
        <f>AND('4to. Perito_A'!#REF!,"AAAAAD/S/2E=")</f>
        <v>#REF!</v>
      </c>
      <c r="CU27" t="e">
        <f>AND('4to. Perito_A'!#REF!,"AAAAAD/S/2I=")</f>
        <v>#REF!</v>
      </c>
      <c r="CV27" t="e">
        <f>IF('4to. Perito_A'!#REF!,"AAAAAD/S/2M=",0)</f>
        <v>#REF!</v>
      </c>
      <c r="CW27" t="e">
        <f>AND('4to. Perito_A'!#REF!,"AAAAAD/S/2Q=")</f>
        <v>#REF!</v>
      </c>
      <c r="CX27" t="e">
        <f>AND('4to. Perito_A'!#REF!,"AAAAAD/S/2U=")</f>
        <v>#REF!</v>
      </c>
      <c r="CY27" t="e">
        <f>AND('4to. Perito_A'!#REF!,"AAAAAD/S/2Y=")</f>
        <v>#REF!</v>
      </c>
      <c r="CZ27" t="e">
        <f>AND('4to. Perito_A'!#REF!,"AAAAAD/S/2c=")</f>
        <v>#REF!</v>
      </c>
      <c r="DA27" t="e">
        <f>AND('4to. Perito_A'!#REF!,"AAAAAD/S/2g=")</f>
        <v>#REF!</v>
      </c>
      <c r="DB27" t="e">
        <f>AND('4to. Perito_A'!#REF!,"AAAAAD/S/2k=")</f>
        <v>#REF!</v>
      </c>
      <c r="DC27" t="e">
        <f>AND('4to. Perito_A'!#REF!,"AAAAAD/S/2o=")</f>
        <v>#REF!</v>
      </c>
      <c r="DD27" t="e">
        <f>AND('4to. Perito_A'!#REF!,"AAAAAD/S/2s=")</f>
        <v>#REF!</v>
      </c>
      <c r="DE27" t="e">
        <f>AND('4to. Perito_A'!#REF!,"AAAAAD/S/2w=")</f>
        <v>#REF!</v>
      </c>
      <c r="DF27" t="e">
        <f>AND('4to. Perito_A'!#REF!,"AAAAAD/S/20=")</f>
        <v>#REF!</v>
      </c>
      <c r="DG27" t="e">
        <f>AND('4to. Perito_A'!#REF!,"AAAAAD/S/24=")</f>
        <v>#REF!</v>
      </c>
      <c r="DH27" t="e">
        <f>AND('4to. Perito_A'!#REF!,"AAAAAD/S/28=")</f>
        <v>#REF!</v>
      </c>
      <c r="DI27" t="e">
        <f>AND('4to. Perito_A'!#REF!,"AAAAAD/S/3A=")</f>
        <v>#REF!</v>
      </c>
      <c r="DJ27" t="e">
        <f>AND('4to. Perito_A'!#REF!,"AAAAAD/S/3E=")</f>
        <v>#REF!</v>
      </c>
      <c r="DK27" t="e">
        <f>AND('4to. Perito_A'!#REF!,"AAAAAD/S/3I=")</f>
        <v>#REF!</v>
      </c>
      <c r="DL27" t="e">
        <f>AND('4to. Perito_A'!#REF!,"AAAAAD/S/3M=")</f>
        <v>#REF!</v>
      </c>
      <c r="DM27" t="e">
        <f>AND('4to. Perito_A'!#REF!,"AAAAAD/S/3Q=")</f>
        <v>#REF!</v>
      </c>
      <c r="DN27" t="e">
        <f>AND('4to. Perito_A'!#REF!,"AAAAAD/S/3U=")</f>
        <v>#REF!</v>
      </c>
      <c r="DO27" t="e">
        <f>AND('4to. Perito_A'!#REF!,"AAAAAD/S/3Y=")</f>
        <v>#REF!</v>
      </c>
      <c r="DP27" t="e">
        <f>AND('4to. Perito_A'!#REF!,"AAAAAD/S/3c=")</f>
        <v>#REF!</v>
      </c>
      <c r="DQ27" t="e">
        <f>AND('4to. Perito_A'!#REF!,"AAAAAD/S/3g=")</f>
        <v>#REF!</v>
      </c>
      <c r="DR27" t="e">
        <f>AND('4to. Perito_A'!#REF!,"AAAAAD/S/3k=")</f>
        <v>#REF!</v>
      </c>
      <c r="DS27" t="e">
        <f>AND('4to. Perito_A'!#REF!,"AAAAAD/S/3o=")</f>
        <v>#REF!</v>
      </c>
      <c r="DT27" t="e">
        <f>AND('4to. Perito_A'!#REF!,"AAAAAD/S/3s=")</f>
        <v>#REF!</v>
      </c>
      <c r="DU27" t="e">
        <f>AND('4to. Perito_A'!#REF!,"AAAAAD/S/3w=")</f>
        <v>#REF!</v>
      </c>
      <c r="DV27" t="e">
        <f>IF('4to. Perito_A'!#REF!,"AAAAAD/S/30=",0)</f>
        <v>#REF!</v>
      </c>
      <c r="DW27" t="e">
        <f>AND('4to. Perito_A'!#REF!,"AAAAAD/S/34=")</f>
        <v>#REF!</v>
      </c>
      <c r="DX27" t="e">
        <f>AND('4to. Perito_A'!#REF!,"AAAAAD/S/38=")</f>
        <v>#REF!</v>
      </c>
      <c r="DY27" t="e">
        <f>AND('4to. Perito_A'!#REF!,"AAAAAD/S/4A=")</f>
        <v>#REF!</v>
      </c>
      <c r="DZ27" t="e">
        <f>AND('4to. Perito_A'!#REF!,"AAAAAD/S/4E=")</f>
        <v>#REF!</v>
      </c>
      <c r="EA27" t="e">
        <f>AND('4to. Perito_A'!#REF!,"AAAAAD/S/4I=")</f>
        <v>#REF!</v>
      </c>
      <c r="EB27" t="e">
        <f>AND('4to. Perito_A'!#REF!,"AAAAAD/S/4M=")</f>
        <v>#REF!</v>
      </c>
      <c r="EC27" t="e">
        <f>AND('4to. Perito_A'!#REF!,"AAAAAD/S/4Q=")</f>
        <v>#REF!</v>
      </c>
      <c r="ED27" t="e">
        <f>AND('4to. Perito_A'!#REF!,"AAAAAD/S/4U=")</f>
        <v>#REF!</v>
      </c>
      <c r="EE27" t="e">
        <f>AND('4to. Perito_A'!#REF!,"AAAAAD/S/4Y=")</f>
        <v>#REF!</v>
      </c>
      <c r="EF27" t="e">
        <f>AND('4to. Perito_A'!#REF!,"AAAAAD/S/4c=")</f>
        <v>#REF!</v>
      </c>
      <c r="EG27" t="e">
        <f>AND('4to. Perito_A'!#REF!,"AAAAAD/S/4g=")</f>
        <v>#REF!</v>
      </c>
      <c r="EH27" t="e">
        <f>AND('4to. Perito_A'!#REF!,"AAAAAD/S/4k=")</f>
        <v>#REF!</v>
      </c>
      <c r="EI27" t="e">
        <f>AND('4to. Perito_A'!#REF!,"AAAAAD/S/4o=")</f>
        <v>#REF!</v>
      </c>
      <c r="EJ27" t="e">
        <f>AND('4to. Perito_A'!#REF!,"AAAAAD/S/4s=")</f>
        <v>#REF!</v>
      </c>
      <c r="EK27" t="e">
        <f>AND('4to. Perito_A'!#REF!,"AAAAAD/S/4w=")</f>
        <v>#REF!</v>
      </c>
      <c r="EL27" t="e">
        <f>AND('4to. Perito_A'!#REF!,"AAAAAD/S/40=")</f>
        <v>#REF!</v>
      </c>
      <c r="EM27" t="e">
        <f>AND('4to. Perito_A'!#REF!,"AAAAAD/S/44=")</f>
        <v>#REF!</v>
      </c>
      <c r="EN27" t="e">
        <f>AND('4to. Perito_A'!#REF!,"AAAAAD/S/48=")</f>
        <v>#REF!</v>
      </c>
      <c r="EO27" t="e">
        <f>AND('4to. Perito_A'!#REF!,"AAAAAD/S/5A=")</f>
        <v>#REF!</v>
      </c>
      <c r="EP27" t="e">
        <f>AND('4to. Perito_A'!#REF!,"AAAAAD/S/5E=")</f>
        <v>#REF!</v>
      </c>
      <c r="EQ27" t="e">
        <f>AND('4to. Perito_A'!#REF!,"AAAAAD/S/5I=")</f>
        <v>#REF!</v>
      </c>
      <c r="ER27" t="e">
        <f>AND('4to. Perito_A'!#REF!,"AAAAAD/S/5M=")</f>
        <v>#REF!</v>
      </c>
      <c r="ES27" t="e">
        <f>AND('4to. Perito_A'!#REF!,"AAAAAD/S/5Q=")</f>
        <v>#REF!</v>
      </c>
      <c r="ET27" t="e">
        <f>AND('4to. Perito_A'!#REF!,"AAAAAD/S/5U=")</f>
        <v>#REF!</v>
      </c>
      <c r="EU27" t="e">
        <f>AND('4to. Perito_A'!#REF!,"AAAAAD/S/5Y=")</f>
        <v>#REF!</v>
      </c>
      <c r="EV27" t="e">
        <f>IF('4to. Perito_A'!#REF!,"AAAAAD/S/5c=",0)</f>
        <v>#REF!</v>
      </c>
      <c r="EW27" t="e">
        <f>AND('4to. Perito_A'!#REF!,"AAAAAD/S/5g=")</f>
        <v>#REF!</v>
      </c>
      <c r="EX27" t="e">
        <f>AND('4to. Perito_A'!#REF!,"AAAAAD/S/5k=")</f>
        <v>#REF!</v>
      </c>
      <c r="EY27" t="e">
        <f>AND('4to. Perito_A'!#REF!,"AAAAAD/S/5o=")</f>
        <v>#REF!</v>
      </c>
      <c r="EZ27" t="e">
        <f>AND('4to. Perito_A'!#REF!,"AAAAAD/S/5s=")</f>
        <v>#REF!</v>
      </c>
      <c r="FA27" t="e">
        <f>AND('4to. Perito_A'!#REF!,"AAAAAD/S/5w=")</f>
        <v>#REF!</v>
      </c>
      <c r="FB27" t="e">
        <f>AND('4to. Perito_A'!#REF!,"AAAAAD/S/50=")</f>
        <v>#REF!</v>
      </c>
      <c r="FC27" t="e">
        <f>AND('4to. Perito_A'!#REF!,"AAAAAD/S/54=")</f>
        <v>#REF!</v>
      </c>
      <c r="FD27" t="e">
        <f>AND('4to. Perito_A'!#REF!,"AAAAAD/S/58=")</f>
        <v>#REF!</v>
      </c>
      <c r="FE27" t="e">
        <f>AND('4to. Perito_A'!#REF!,"AAAAAD/S/6A=")</f>
        <v>#REF!</v>
      </c>
      <c r="FF27" t="e">
        <f>AND('4to. Perito_A'!#REF!,"AAAAAD/S/6E=")</f>
        <v>#REF!</v>
      </c>
      <c r="FG27" t="e">
        <f>AND('4to. Perito_A'!#REF!,"AAAAAD/S/6I=")</f>
        <v>#REF!</v>
      </c>
      <c r="FH27" t="e">
        <f>AND('4to. Perito_A'!#REF!,"AAAAAD/S/6M=")</f>
        <v>#REF!</v>
      </c>
      <c r="FI27" t="e">
        <f>AND('4to. Perito_A'!#REF!,"AAAAAD/S/6Q=")</f>
        <v>#REF!</v>
      </c>
      <c r="FJ27" t="e">
        <f>AND('4to. Perito_A'!#REF!,"AAAAAD/S/6U=")</f>
        <v>#REF!</v>
      </c>
      <c r="FK27" t="e">
        <f>AND('4to. Perito_A'!#REF!,"AAAAAD/S/6Y=")</f>
        <v>#REF!</v>
      </c>
      <c r="FL27" t="e">
        <f>AND('4to. Perito_A'!#REF!,"AAAAAD/S/6c=")</f>
        <v>#REF!</v>
      </c>
      <c r="FM27" t="e">
        <f>AND('4to. Perito_A'!#REF!,"AAAAAD/S/6g=")</f>
        <v>#REF!</v>
      </c>
      <c r="FN27" t="e">
        <f>AND('4to. Perito_A'!#REF!,"AAAAAD/S/6k=")</f>
        <v>#REF!</v>
      </c>
      <c r="FO27" t="e">
        <f>AND('4to. Perito_A'!#REF!,"AAAAAD/S/6o=")</f>
        <v>#REF!</v>
      </c>
      <c r="FP27" t="e">
        <f>AND('4to. Perito_A'!#REF!,"AAAAAD/S/6s=")</f>
        <v>#REF!</v>
      </c>
      <c r="FQ27" t="e">
        <f>AND('4to. Perito_A'!#REF!,"AAAAAD/S/6w=")</f>
        <v>#REF!</v>
      </c>
      <c r="FR27" t="e">
        <f>AND('4to. Perito_A'!#REF!,"AAAAAD/S/60=")</f>
        <v>#REF!</v>
      </c>
      <c r="FS27" t="e">
        <f>AND('4to. Perito_A'!#REF!,"AAAAAD/S/64=")</f>
        <v>#REF!</v>
      </c>
      <c r="FT27" t="e">
        <f>AND('4to. Perito_A'!#REF!,"AAAAAD/S/68=")</f>
        <v>#REF!</v>
      </c>
      <c r="FU27" t="e">
        <f>AND('4to. Perito_A'!#REF!,"AAAAAD/S/7A=")</f>
        <v>#REF!</v>
      </c>
      <c r="FV27" t="e">
        <f>IF('4to. Perito_A'!#REF!,"AAAAAD/S/7E=",0)</f>
        <v>#REF!</v>
      </c>
      <c r="FW27" t="e">
        <f>AND('4to. Perito_A'!#REF!,"AAAAAD/S/7I=")</f>
        <v>#REF!</v>
      </c>
      <c r="FX27" t="e">
        <f>AND('4to. Perito_A'!#REF!,"AAAAAD/S/7M=")</f>
        <v>#REF!</v>
      </c>
      <c r="FY27" t="e">
        <f>AND('4to. Perito_A'!#REF!,"AAAAAD/S/7Q=")</f>
        <v>#REF!</v>
      </c>
      <c r="FZ27" t="e">
        <f>AND('4to. Perito_A'!#REF!,"AAAAAD/S/7U=")</f>
        <v>#REF!</v>
      </c>
      <c r="GA27" t="e">
        <f>AND('4to. Perito_A'!#REF!,"AAAAAD/S/7Y=")</f>
        <v>#REF!</v>
      </c>
      <c r="GB27" t="e">
        <f>AND('4to. Perito_A'!#REF!,"AAAAAD/S/7c=")</f>
        <v>#REF!</v>
      </c>
      <c r="GC27" t="e">
        <f>AND('4to. Perito_A'!#REF!,"AAAAAD/S/7g=")</f>
        <v>#REF!</v>
      </c>
      <c r="GD27" t="e">
        <f>AND('4to. Perito_A'!#REF!,"AAAAAD/S/7k=")</f>
        <v>#REF!</v>
      </c>
      <c r="GE27" t="e">
        <f>AND('4to. Perito_A'!#REF!,"AAAAAD/S/7o=")</f>
        <v>#REF!</v>
      </c>
      <c r="GF27" t="e">
        <f>AND('4to. Perito_A'!#REF!,"AAAAAD/S/7s=")</f>
        <v>#REF!</v>
      </c>
      <c r="GG27" t="e">
        <f>AND('4to. Perito_A'!#REF!,"AAAAAD/S/7w=")</f>
        <v>#REF!</v>
      </c>
      <c r="GH27" t="e">
        <f>AND('4to. Perito_A'!#REF!,"AAAAAD/S/70=")</f>
        <v>#REF!</v>
      </c>
      <c r="GI27" t="e">
        <f>AND('4to. Perito_A'!#REF!,"AAAAAD/S/74=")</f>
        <v>#REF!</v>
      </c>
      <c r="GJ27" t="e">
        <f>AND('4to. Perito_A'!#REF!,"AAAAAD/S/78=")</f>
        <v>#REF!</v>
      </c>
      <c r="GK27" t="e">
        <f>AND('4to. Perito_A'!#REF!,"AAAAAD/S/8A=")</f>
        <v>#REF!</v>
      </c>
      <c r="GL27" t="e">
        <f>AND('4to. Perito_A'!#REF!,"AAAAAD/S/8E=")</f>
        <v>#REF!</v>
      </c>
      <c r="GM27" t="e">
        <f>AND('4to. Perito_A'!#REF!,"AAAAAD/S/8I=")</f>
        <v>#REF!</v>
      </c>
      <c r="GN27" t="e">
        <f>AND('4to. Perito_A'!#REF!,"AAAAAD/S/8M=")</f>
        <v>#REF!</v>
      </c>
      <c r="GO27" t="e">
        <f>AND('4to. Perito_A'!#REF!,"AAAAAD/S/8Q=")</f>
        <v>#REF!</v>
      </c>
      <c r="GP27" t="e">
        <f>AND('4to. Perito_A'!#REF!,"AAAAAD/S/8U=")</f>
        <v>#REF!</v>
      </c>
      <c r="GQ27" t="e">
        <f>AND('4to. Perito_A'!#REF!,"AAAAAD/S/8Y=")</f>
        <v>#REF!</v>
      </c>
      <c r="GR27" t="e">
        <f>AND('4to. Perito_A'!#REF!,"AAAAAD/S/8c=")</f>
        <v>#REF!</v>
      </c>
      <c r="GS27" t="e">
        <f>AND('4to. Perito_A'!#REF!,"AAAAAD/S/8g=")</f>
        <v>#REF!</v>
      </c>
      <c r="GT27" t="e">
        <f>AND('4to. Perito_A'!#REF!,"AAAAAD/S/8k=")</f>
        <v>#REF!</v>
      </c>
      <c r="GU27" t="e">
        <f>AND('4to. Perito_A'!#REF!,"AAAAAD/S/8o=")</f>
        <v>#REF!</v>
      </c>
      <c r="GV27" t="e">
        <f>IF('4to. Perito_A'!#REF!,"AAAAAD/S/8s=",0)</f>
        <v>#REF!</v>
      </c>
      <c r="GW27" t="e">
        <f>AND('4to. Perito_A'!#REF!,"AAAAAD/S/8w=")</f>
        <v>#REF!</v>
      </c>
      <c r="GX27" t="e">
        <f>AND('4to. Perito_A'!#REF!,"AAAAAD/S/80=")</f>
        <v>#REF!</v>
      </c>
      <c r="GY27" t="e">
        <f>AND('4to. Perito_A'!#REF!,"AAAAAD/S/84=")</f>
        <v>#REF!</v>
      </c>
      <c r="GZ27" t="e">
        <f>AND('4to. Perito_A'!#REF!,"AAAAAD/S/88=")</f>
        <v>#REF!</v>
      </c>
      <c r="HA27" t="e">
        <f>AND('4to. Perito_A'!#REF!,"AAAAAD/S/9A=")</f>
        <v>#REF!</v>
      </c>
      <c r="HB27" t="e">
        <f>AND('4to. Perito_A'!#REF!,"AAAAAD/S/9E=")</f>
        <v>#REF!</v>
      </c>
      <c r="HC27" t="e">
        <f>AND('4to. Perito_A'!#REF!,"AAAAAD/S/9I=")</f>
        <v>#REF!</v>
      </c>
      <c r="HD27" t="e">
        <f>AND('4to. Perito_A'!#REF!,"AAAAAD/S/9M=")</f>
        <v>#REF!</v>
      </c>
      <c r="HE27" t="e">
        <f>AND('4to. Perito_A'!#REF!,"AAAAAD/S/9Q=")</f>
        <v>#REF!</v>
      </c>
      <c r="HF27" t="e">
        <f>AND('4to. Perito_A'!#REF!,"AAAAAD/S/9U=")</f>
        <v>#REF!</v>
      </c>
      <c r="HG27" t="e">
        <f>AND('4to. Perito_A'!#REF!,"AAAAAD/S/9Y=")</f>
        <v>#REF!</v>
      </c>
      <c r="HH27" t="e">
        <f>AND('4to. Perito_A'!#REF!,"AAAAAD/S/9c=")</f>
        <v>#REF!</v>
      </c>
      <c r="HI27" t="e">
        <f>AND('4to. Perito_A'!#REF!,"AAAAAD/S/9g=")</f>
        <v>#REF!</v>
      </c>
      <c r="HJ27" t="e">
        <f>AND('4to. Perito_A'!#REF!,"AAAAAD/S/9k=")</f>
        <v>#REF!</v>
      </c>
      <c r="HK27" t="e">
        <f>AND('4to. Perito_A'!#REF!,"AAAAAD/S/9o=")</f>
        <v>#REF!</v>
      </c>
      <c r="HL27" t="e">
        <f>AND('4to. Perito_A'!#REF!,"AAAAAD/S/9s=")</f>
        <v>#REF!</v>
      </c>
      <c r="HM27" t="e">
        <f>AND('4to. Perito_A'!#REF!,"AAAAAD/S/9w=")</f>
        <v>#REF!</v>
      </c>
      <c r="HN27" t="e">
        <f>AND('4to. Perito_A'!#REF!,"AAAAAD/S/90=")</f>
        <v>#REF!</v>
      </c>
      <c r="HO27" t="e">
        <f>AND('4to. Perito_A'!#REF!,"AAAAAD/S/94=")</f>
        <v>#REF!</v>
      </c>
      <c r="HP27" t="e">
        <f>AND('4to. Perito_A'!#REF!,"AAAAAD/S/98=")</f>
        <v>#REF!</v>
      </c>
      <c r="HQ27" t="e">
        <f>AND('4to. Perito_A'!#REF!,"AAAAAD/S/+A=")</f>
        <v>#REF!</v>
      </c>
      <c r="HR27" t="e">
        <f>AND('4to. Perito_A'!#REF!,"AAAAAD/S/+E=")</f>
        <v>#REF!</v>
      </c>
      <c r="HS27" t="e">
        <f>AND('4to. Perito_A'!#REF!,"AAAAAD/S/+I=")</f>
        <v>#REF!</v>
      </c>
      <c r="HT27" t="e">
        <f>AND('4to. Perito_A'!#REF!,"AAAAAD/S/+M=")</f>
        <v>#REF!</v>
      </c>
      <c r="HU27" t="e">
        <f>AND('4to. Perito_A'!#REF!,"AAAAAD/S/+Q=")</f>
        <v>#REF!</v>
      </c>
      <c r="HV27" t="e">
        <f>IF('4to. Perito_A'!#REF!,"AAAAAD/S/+U=",0)</f>
        <v>#REF!</v>
      </c>
      <c r="HW27" t="e">
        <f>AND('4to. Perito_A'!#REF!,"AAAAAD/S/+Y=")</f>
        <v>#REF!</v>
      </c>
      <c r="HX27" t="e">
        <f>AND('4to. Perito_A'!#REF!,"AAAAAD/S/+c=")</f>
        <v>#REF!</v>
      </c>
      <c r="HY27" t="e">
        <f>AND('4to. Perito_A'!#REF!,"AAAAAD/S/+g=")</f>
        <v>#REF!</v>
      </c>
      <c r="HZ27" t="e">
        <f>AND('4to. Perito_A'!#REF!,"AAAAAD/S/+k=")</f>
        <v>#REF!</v>
      </c>
      <c r="IA27" t="e">
        <f>AND('4to. Perito_A'!#REF!,"AAAAAD/S/+o=")</f>
        <v>#REF!</v>
      </c>
      <c r="IB27" t="e">
        <f>AND('4to. Perito_A'!#REF!,"AAAAAD/S/+s=")</f>
        <v>#REF!</v>
      </c>
      <c r="IC27" t="e">
        <f>AND('4to. Perito_A'!#REF!,"AAAAAD/S/+w=")</f>
        <v>#REF!</v>
      </c>
      <c r="ID27" t="e">
        <f>AND('4to. Perito_A'!#REF!,"AAAAAD/S/+0=")</f>
        <v>#REF!</v>
      </c>
      <c r="IE27" t="e">
        <f>AND('4to. Perito_A'!#REF!,"AAAAAD/S/+4=")</f>
        <v>#REF!</v>
      </c>
      <c r="IF27" t="e">
        <f>AND('4to. Perito_A'!#REF!,"AAAAAD/S/+8=")</f>
        <v>#REF!</v>
      </c>
      <c r="IG27" t="e">
        <f>AND('4to. Perito_A'!#REF!,"AAAAAD/S//A=")</f>
        <v>#REF!</v>
      </c>
      <c r="IH27" t="e">
        <f>AND('4to. Perito_A'!#REF!,"AAAAAD/S//E=")</f>
        <v>#REF!</v>
      </c>
      <c r="II27" t="e">
        <f>AND('4to. Perito_A'!#REF!,"AAAAAD/S//I=")</f>
        <v>#REF!</v>
      </c>
      <c r="IJ27" t="e">
        <f>AND('4to. Perito_A'!#REF!,"AAAAAD/S//M=")</f>
        <v>#REF!</v>
      </c>
      <c r="IK27" t="e">
        <f>AND('4to. Perito_A'!#REF!,"AAAAAD/S//Q=")</f>
        <v>#REF!</v>
      </c>
      <c r="IL27" t="e">
        <f>AND('4to. Perito_A'!#REF!,"AAAAAD/S//U=")</f>
        <v>#REF!</v>
      </c>
      <c r="IM27" t="e">
        <f>AND('4to. Perito_A'!#REF!,"AAAAAD/S//Y=")</f>
        <v>#REF!</v>
      </c>
      <c r="IN27" t="e">
        <f>AND('4to. Perito_A'!#REF!,"AAAAAD/S//c=")</f>
        <v>#REF!</v>
      </c>
      <c r="IO27" t="e">
        <f>AND('4to. Perito_A'!#REF!,"AAAAAD/S//g=")</f>
        <v>#REF!</v>
      </c>
      <c r="IP27" t="e">
        <f>AND('4to. Perito_A'!#REF!,"AAAAAD/S//k=")</f>
        <v>#REF!</v>
      </c>
      <c r="IQ27" t="e">
        <f>AND('4to. Perito_A'!#REF!,"AAAAAD/S//o=")</f>
        <v>#REF!</v>
      </c>
      <c r="IR27" t="e">
        <f>AND('4to. Perito_A'!#REF!,"AAAAAD/S//s=")</f>
        <v>#REF!</v>
      </c>
      <c r="IS27" t="e">
        <f>AND('4to. Perito_A'!#REF!,"AAAAAD/S//w=")</f>
        <v>#REF!</v>
      </c>
      <c r="IT27" t="e">
        <f>AND('4to. Perito_A'!#REF!,"AAAAAD/S//0=")</f>
        <v>#REF!</v>
      </c>
      <c r="IU27" t="e">
        <f>AND('4to. Perito_A'!#REF!,"AAAAAD/S//4=")</f>
        <v>#REF!</v>
      </c>
      <c r="IV27" t="e">
        <f>IF('4to. Perito_A'!#REF!,"AAAAAD/S//8=",0)</f>
        <v>#REF!</v>
      </c>
    </row>
    <row r="28" spans="1:256">
      <c r="A28" t="e">
        <f>AND('4to. Perito_A'!#REF!,"AAAAAB33awA=")</f>
        <v>#REF!</v>
      </c>
      <c r="B28" t="e">
        <f>AND('4to. Perito_A'!#REF!,"AAAAAB33awE=")</f>
        <v>#REF!</v>
      </c>
      <c r="C28" t="e">
        <f>AND('4to. Perito_A'!#REF!,"AAAAAB33awI=")</f>
        <v>#REF!</v>
      </c>
      <c r="D28" t="e">
        <f>AND('4to. Perito_A'!#REF!,"AAAAAB33awM=")</f>
        <v>#REF!</v>
      </c>
      <c r="E28" t="e">
        <f>AND('4to. Perito_A'!#REF!,"AAAAAB33awQ=")</f>
        <v>#REF!</v>
      </c>
      <c r="F28" t="e">
        <f>AND('4to. Perito_A'!#REF!,"AAAAAB33awU=")</f>
        <v>#REF!</v>
      </c>
      <c r="G28" t="e">
        <f>AND('4to. Perito_A'!#REF!,"AAAAAB33awY=")</f>
        <v>#REF!</v>
      </c>
      <c r="H28" t="e">
        <f>AND('4to. Perito_A'!#REF!,"AAAAAB33awc=")</f>
        <v>#REF!</v>
      </c>
      <c r="I28" t="e">
        <f>AND('4to. Perito_A'!#REF!,"AAAAAB33awg=")</f>
        <v>#REF!</v>
      </c>
      <c r="J28" t="e">
        <f>AND('4to. Perito_A'!#REF!,"AAAAAB33awk=")</f>
        <v>#REF!</v>
      </c>
      <c r="K28" t="e">
        <f>AND('4to. Perito_A'!#REF!,"AAAAAB33awo=")</f>
        <v>#REF!</v>
      </c>
      <c r="L28" t="e">
        <f>AND('4to. Perito_A'!#REF!,"AAAAAB33aws=")</f>
        <v>#REF!</v>
      </c>
      <c r="M28" t="e">
        <f>AND('4to. Perito_A'!#REF!,"AAAAAB33aww=")</f>
        <v>#REF!</v>
      </c>
      <c r="N28" t="e">
        <f>AND('4to. Perito_A'!#REF!,"AAAAAB33aw0=")</f>
        <v>#REF!</v>
      </c>
      <c r="O28" t="e">
        <f>AND('4to. Perito_A'!#REF!,"AAAAAB33aw4=")</f>
        <v>#REF!</v>
      </c>
      <c r="P28" t="e">
        <f>AND('4to. Perito_A'!#REF!,"AAAAAB33aw8=")</f>
        <v>#REF!</v>
      </c>
      <c r="Q28" t="e">
        <f>AND('4to. Perito_A'!#REF!,"AAAAAB33axA=")</f>
        <v>#REF!</v>
      </c>
      <c r="R28" t="e">
        <f>AND('4to. Perito_A'!#REF!,"AAAAAB33axE=")</f>
        <v>#REF!</v>
      </c>
      <c r="S28" t="e">
        <f>AND('4to. Perito_A'!#REF!,"AAAAAB33axI=")</f>
        <v>#REF!</v>
      </c>
      <c r="T28" t="e">
        <f>AND('4to. Perito_A'!#REF!,"AAAAAB33axM=")</f>
        <v>#REF!</v>
      </c>
      <c r="U28" t="e">
        <f>AND('4to. Perito_A'!#REF!,"AAAAAB33axQ=")</f>
        <v>#REF!</v>
      </c>
      <c r="V28" t="e">
        <f>AND('4to. Perito_A'!#REF!,"AAAAAB33axU=")</f>
        <v>#REF!</v>
      </c>
      <c r="W28" t="e">
        <f>AND('4to. Perito_A'!#REF!,"AAAAAB33axY=")</f>
        <v>#REF!</v>
      </c>
      <c r="X28" t="e">
        <f>AND('4to. Perito_A'!#REF!,"AAAAAB33axc=")</f>
        <v>#REF!</v>
      </c>
      <c r="Y28" t="e">
        <f>AND('4to. Perito_A'!#REF!,"AAAAAB33axg=")</f>
        <v>#REF!</v>
      </c>
      <c r="Z28" t="e">
        <f>IF('4to. Perito_A'!#REF!,"AAAAAB33axk=",0)</f>
        <v>#REF!</v>
      </c>
      <c r="AA28" t="e">
        <f>AND('4to. Perito_A'!#REF!,"AAAAAB33axo=")</f>
        <v>#REF!</v>
      </c>
      <c r="AB28" t="e">
        <f>AND('4to. Perito_A'!#REF!,"AAAAAB33axs=")</f>
        <v>#REF!</v>
      </c>
      <c r="AC28" t="e">
        <f>AND('4to. Perito_A'!#REF!,"AAAAAB33axw=")</f>
        <v>#REF!</v>
      </c>
      <c r="AD28" t="e">
        <f>AND('4to. Perito_A'!#REF!,"AAAAAB33ax0=")</f>
        <v>#REF!</v>
      </c>
      <c r="AE28" t="e">
        <f>AND('4to. Perito_A'!#REF!,"AAAAAB33ax4=")</f>
        <v>#REF!</v>
      </c>
      <c r="AF28" t="e">
        <f>AND('4to. Perito_A'!#REF!,"AAAAAB33ax8=")</f>
        <v>#REF!</v>
      </c>
      <c r="AG28" t="e">
        <f>AND('4to. Perito_A'!#REF!,"AAAAAB33ayA=")</f>
        <v>#REF!</v>
      </c>
      <c r="AH28" t="e">
        <f>AND('4to. Perito_A'!#REF!,"AAAAAB33ayE=")</f>
        <v>#REF!</v>
      </c>
      <c r="AI28" t="e">
        <f>AND('4to. Perito_A'!#REF!,"AAAAAB33ayI=")</f>
        <v>#REF!</v>
      </c>
      <c r="AJ28" t="e">
        <f>AND('4to. Perito_A'!#REF!,"AAAAAB33ayM=")</f>
        <v>#REF!</v>
      </c>
      <c r="AK28" t="e">
        <f>AND('4to. Perito_A'!#REF!,"AAAAAB33ayQ=")</f>
        <v>#REF!</v>
      </c>
      <c r="AL28" t="e">
        <f>AND('4to. Perito_A'!#REF!,"AAAAAB33ayU=")</f>
        <v>#REF!</v>
      </c>
      <c r="AM28" t="e">
        <f>AND('4to. Perito_A'!#REF!,"AAAAAB33ayY=")</f>
        <v>#REF!</v>
      </c>
      <c r="AN28" t="e">
        <f>AND('4to. Perito_A'!#REF!,"AAAAAB33ayc=")</f>
        <v>#REF!</v>
      </c>
      <c r="AO28" t="e">
        <f>AND('4to. Perito_A'!#REF!,"AAAAAB33ayg=")</f>
        <v>#REF!</v>
      </c>
      <c r="AP28" t="e">
        <f>AND('4to. Perito_A'!#REF!,"AAAAAB33ayk=")</f>
        <v>#REF!</v>
      </c>
      <c r="AQ28" t="e">
        <f>AND('4to. Perito_A'!#REF!,"AAAAAB33ayo=")</f>
        <v>#REF!</v>
      </c>
      <c r="AR28" t="e">
        <f>AND('4to. Perito_A'!#REF!,"AAAAAB33ays=")</f>
        <v>#REF!</v>
      </c>
      <c r="AS28" t="e">
        <f>AND('4to. Perito_A'!#REF!,"AAAAAB33ayw=")</f>
        <v>#REF!</v>
      </c>
      <c r="AT28" t="e">
        <f>AND('4to. Perito_A'!#REF!,"AAAAAB33ay0=")</f>
        <v>#REF!</v>
      </c>
      <c r="AU28" t="e">
        <f>AND('4to. Perito_A'!#REF!,"AAAAAB33ay4=")</f>
        <v>#REF!</v>
      </c>
      <c r="AV28" t="e">
        <f>AND('4to. Perito_A'!#REF!,"AAAAAB33ay8=")</f>
        <v>#REF!</v>
      </c>
      <c r="AW28" t="e">
        <f>AND('4to. Perito_A'!#REF!,"AAAAAB33azA=")</f>
        <v>#REF!</v>
      </c>
      <c r="AX28" t="e">
        <f>AND('4to. Perito_A'!#REF!,"AAAAAB33azE=")</f>
        <v>#REF!</v>
      </c>
      <c r="AY28" t="e">
        <f>AND('4to. Perito_A'!#REF!,"AAAAAB33azI=")</f>
        <v>#REF!</v>
      </c>
      <c r="AZ28" t="e">
        <f>IF('4to. Perito_A'!#REF!,"AAAAAB33azM=",0)</f>
        <v>#REF!</v>
      </c>
      <c r="BA28" t="e">
        <f>AND('4to. Perito_A'!#REF!,"AAAAAB33azQ=")</f>
        <v>#REF!</v>
      </c>
      <c r="BB28" t="e">
        <f>AND('4to. Perito_A'!#REF!,"AAAAAB33azU=")</f>
        <v>#REF!</v>
      </c>
      <c r="BC28" t="e">
        <f>AND('4to. Perito_A'!#REF!,"AAAAAB33azY=")</f>
        <v>#REF!</v>
      </c>
      <c r="BD28" t="e">
        <f>AND('4to. Perito_A'!#REF!,"AAAAAB33azc=")</f>
        <v>#REF!</v>
      </c>
      <c r="BE28" t="e">
        <f>AND('4to. Perito_A'!#REF!,"AAAAAB33azg=")</f>
        <v>#REF!</v>
      </c>
      <c r="BF28" t="e">
        <f>AND('4to. Perito_A'!#REF!,"AAAAAB33azk=")</f>
        <v>#REF!</v>
      </c>
      <c r="BG28" t="e">
        <f>AND('4to. Perito_A'!#REF!,"AAAAAB33azo=")</f>
        <v>#REF!</v>
      </c>
      <c r="BH28" t="e">
        <f>AND('4to. Perito_A'!#REF!,"AAAAAB33azs=")</f>
        <v>#REF!</v>
      </c>
      <c r="BI28" t="e">
        <f>AND('4to. Perito_A'!#REF!,"AAAAAB33azw=")</f>
        <v>#REF!</v>
      </c>
      <c r="BJ28" t="e">
        <f>AND('4to. Perito_A'!#REF!,"AAAAAB33az0=")</f>
        <v>#REF!</v>
      </c>
      <c r="BK28" t="e">
        <f>AND('4to. Perito_A'!#REF!,"AAAAAB33az4=")</f>
        <v>#REF!</v>
      </c>
      <c r="BL28" t="e">
        <f>AND('4to. Perito_A'!#REF!,"AAAAAB33az8=")</f>
        <v>#REF!</v>
      </c>
      <c r="BM28" t="e">
        <f>AND('4to. Perito_A'!#REF!,"AAAAAB33a0A=")</f>
        <v>#REF!</v>
      </c>
      <c r="BN28" t="e">
        <f>AND('4to. Perito_A'!#REF!,"AAAAAB33a0E=")</f>
        <v>#REF!</v>
      </c>
      <c r="BO28" t="e">
        <f>AND('4to. Perito_A'!#REF!,"AAAAAB33a0I=")</f>
        <v>#REF!</v>
      </c>
      <c r="BP28" t="e">
        <f>AND('4to. Perito_A'!#REF!,"AAAAAB33a0M=")</f>
        <v>#REF!</v>
      </c>
      <c r="BQ28" t="e">
        <f>AND('4to. Perito_A'!#REF!,"AAAAAB33a0Q=")</f>
        <v>#REF!</v>
      </c>
      <c r="BR28" t="e">
        <f>AND('4to. Perito_A'!#REF!,"AAAAAB33a0U=")</f>
        <v>#REF!</v>
      </c>
      <c r="BS28" t="e">
        <f>AND('4to. Perito_A'!#REF!,"AAAAAB33a0Y=")</f>
        <v>#REF!</v>
      </c>
      <c r="BT28" t="e">
        <f>AND('4to. Perito_A'!#REF!,"AAAAAB33a0c=")</f>
        <v>#REF!</v>
      </c>
      <c r="BU28" t="e">
        <f>AND('4to. Perito_A'!#REF!,"AAAAAB33a0g=")</f>
        <v>#REF!</v>
      </c>
      <c r="BV28" t="e">
        <f>AND('4to. Perito_A'!#REF!,"AAAAAB33a0k=")</f>
        <v>#REF!</v>
      </c>
      <c r="BW28" t="e">
        <f>AND('4to. Perito_A'!#REF!,"AAAAAB33a0o=")</f>
        <v>#REF!</v>
      </c>
      <c r="BX28" t="e">
        <f>AND('4to. Perito_A'!#REF!,"AAAAAB33a0s=")</f>
        <v>#REF!</v>
      </c>
      <c r="BY28" t="e">
        <f>AND('4to. Perito_A'!#REF!,"AAAAAB33a0w=")</f>
        <v>#REF!</v>
      </c>
      <c r="BZ28" t="e">
        <f>IF('4to. Perito_A'!A:A,"AAAAAB33a00=",0)</f>
        <v>#VALUE!</v>
      </c>
      <c r="CA28" t="e">
        <f>IF('4to. Perito_A'!B:B,"AAAAAB33a04=",0)</f>
        <v>#VALUE!</v>
      </c>
      <c r="CB28" t="e">
        <f>IF('4to. Perito_A'!C:C,"AAAAAB33a08=",0)</f>
        <v>#VALUE!</v>
      </c>
      <c r="CC28">
        <f>IF('4to. Perito_A'!D:D,"AAAAAB33a1A=",0)</f>
        <v>0</v>
      </c>
      <c r="CD28">
        <f>IF('4to. Perito_A'!E:E,"AAAAAB33a1E=",0)</f>
        <v>0</v>
      </c>
      <c r="CE28">
        <f>IF('4to. Perito_A'!F:F,"AAAAAB33a1I=",0)</f>
        <v>0</v>
      </c>
      <c r="CF28">
        <f>IF('4to. Perito_A'!G:G,"AAAAAB33a1M=",0)</f>
        <v>0</v>
      </c>
      <c r="CG28">
        <f>IF('4to. Perito_A'!H:H,"AAAAAB33a1Q=",0)</f>
        <v>0</v>
      </c>
      <c r="CH28">
        <f>IF('4to. Perito_A'!I:I,"AAAAAB33a1U=",0)</f>
        <v>0</v>
      </c>
      <c r="CI28">
        <f>IF('4to. Perito_A'!J:J,"AAAAAB33a1Y=",0)</f>
        <v>0</v>
      </c>
      <c r="CJ28">
        <f>IF('4to. Perito_A'!K:K,"AAAAAB33a1c=",0)</f>
        <v>0</v>
      </c>
      <c r="CK28">
        <f>IF('4to. Perito_A'!L:L,"AAAAAB33a1g=",0)</f>
        <v>0</v>
      </c>
      <c r="CL28">
        <f>IF('4to. Perito_A'!M:M,"AAAAAB33a1k=",0)</f>
        <v>0</v>
      </c>
      <c r="CM28">
        <f>IF('4to. Perito_A'!N:N,"AAAAAB33a1o=",0)</f>
        <v>0</v>
      </c>
      <c r="CN28">
        <f>IF('4to. Perito_A'!O:O,"AAAAAB33a1s=",0)</f>
        <v>0</v>
      </c>
      <c r="CO28">
        <f>IF('4to. Perito_A'!P:P,"AAAAAB33a1w=",0)</f>
        <v>0</v>
      </c>
      <c r="CP28">
        <f>IF('4to. Perito_A'!Q:Q,"AAAAAB33a10=",0)</f>
        <v>0</v>
      </c>
      <c r="CQ28">
        <f>IF('4to. Perito_A'!R:R,"AAAAAB33a14=",0)</f>
        <v>0</v>
      </c>
      <c r="CR28">
        <f>IF('4to. Perito_A'!S:S,"AAAAAB33a18=",0)</f>
        <v>0</v>
      </c>
      <c r="CS28">
        <f>IF('4to. Perito_A'!T:T,"AAAAAB33a2A=",0)</f>
        <v>0</v>
      </c>
      <c r="CT28" t="e">
        <f>IF('4to. Perito_A'!#REF!,"AAAAAB33a2E=",0)</f>
        <v>#REF!</v>
      </c>
      <c r="CU28" t="e">
        <f>IF('4to. Perito_A'!#REF!,"AAAAAB33a2I=",0)</f>
        <v>#REF!</v>
      </c>
      <c r="CV28" t="e">
        <f>IF('4to. Perito_A'!#REF!,"AAAAAB33a2M=",0)</f>
        <v>#REF!</v>
      </c>
      <c r="CW28" t="e">
        <f>IF('4to. Perito_A'!#REF!,"AAAAAB33a2Q=",0)</f>
        <v>#REF!</v>
      </c>
      <c r="CX28" t="e">
        <f>IF('4to. Perito_A'!#REF!,"AAAAAB33a2U=",0)</f>
        <v>#REF!</v>
      </c>
      <c r="CY28" t="e">
        <f>IF('4to. Perito_B'!#REF!,"AAAAAB33a2Y=",0)</f>
        <v>#REF!</v>
      </c>
      <c r="CZ28" t="e">
        <f>AND('4to. Perito_B'!#REF!,"AAAAAB33a2c=")</f>
        <v>#REF!</v>
      </c>
      <c r="DA28" t="e">
        <f>AND('4to. Perito_B'!#REF!,"AAAAAB33a2g=")</f>
        <v>#REF!</v>
      </c>
      <c r="DB28" t="e">
        <f>AND('4to. Perito_B'!#REF!,"AAAAAB33a2k=")</f>
        <v>#REF!</v>
      </c>
      <c r="DC28" t="e">
        <f>AND('4to. Perito_B'!#REF!,"AAAAAB33a2o=")</f>
        <v>#REF!</v>
      </c>
      <c r="DD28" t="e">
        <f>AND('4to. Perito_B'!#REF!,"AAAAAB33a2s=")</f>
        <v>#REF!</v>
      </c>
      <c r="DE28" t="e">
        <f>AND('4to. Perito_B'!#REF!,"AAAAAB33a2w=")</f>
        <v>#REF!</v>
      </c>
      <c r="DF28" t="e">
        <f>AND('4to. Perito_B'!#REF!,"AAAAAB33a20=")</f>
        <v>#REF!</v>
      </c>
      <c r="DG28" t="e">
        <f>AND('4to. Perito_B'!#REF!,"AAAAAB33a24=")</f>
        <v>#REF!</v>
      </c>
      <c r="DH28" t="e">
        <f>AND('4to. Perito_B'!#REF!,"AAAAAB33a28=")</f>
        <v>#REF!</v>
      </c>
      <c r="DI28" t="e">
        <f>AND('4to. Perito_B'!#REF!,"AAAAAB33a3A=")</f>
        <v>#REF!</v>
      </c>
      <c r="DJ28" t="e">
        <f>AND('4to. Perito_B'!#REF!,"AAAAAB33a3E=")</f>
        <v>#REF!</v>
      </c>
      <c r="DK28" t="e">
        <f>AND('4to. Perito_B'!#REF!,"AAAAAB33a3I=")</f>
        <v>#REF!</v>
      </c>
      <c r="DL28" t="e">
        <f>AND('4to. Perito_B'!#REF!,"AAAAAB33a3M=")</f>
        <v>#REF!</v>
      </c>
      <c r="DM28" t="e">
        <f>AND('4to. Perito_B'!#REF!,"AAAAAB33a3Q=")</f>
        <v>#REF!</v>
      </c>
      <c r="DN28" t="e">
        <f>AND('4to. Perito_B'!#REF!,"AAAAAB33a3U=")</f>
        <v>#REF!</v>
      </c>
      <c r="DO28" t="e">
        <f>AND('4to. Perito_B'!#REF!,"AAAAAB33a3Y=")</f>
        <v>#REF!</v>
      </c>
      <c r="DP28" t="e">
        <f>AND('4to. Perito_B'!#REF!,"AAAAAB33a3c=")</f>
        <v>#REF!</v>
      </c>
      <c r="DQ28" t="e">
        <f>AND('4to. Perito_B'!#REF!,"AAAAAB33a3g=")</f>
        <v>#REF!</v>
      </c>
      <c r="DR28" t="e">
        <f>AND('4to. Perito_B'!#REF!,"AAAAAB33a3k=")</f>
        <v>#REF!</v>
      </c>
      <c r="DS28" t="e">
        <f>AND('4to. Perito_B'!#REF!,"AAAAAB33a3o=")</f>
        <v>#REF!</v>
      </c>
      <c r="DT28" t="e">
        <f>AND('4to. Perito_B'!#REF!,"AAAAAB33a3s=")</f>
        <v>#REF!</v>
      </c>
      <c r="DU28" t="e">
        <f>AND('4to. Perito_B'!#REF!,"AAAAAB33a3w=")</f>
        <v>#REF!</v>
      </c>
      <c r="DV28" t="e">
        <f>AND('4to. Perito_B'!#REF!,"AAAAAB33a30=")</f>
        <v>#REF!</v>
      </c>
      <c r="DW28" t="e">
        <f>AND('4to. Perito_B'!#REF!,"AAAAAB33a34=")</f>
        <v>#REF!</v>
      </c>
      <c r="DX28" t="e">
        <f>AND('4to. Perito_B'!#REF!,"AAAAAB33a38=")</f>
        <v>#REF!</v>
      </c>
      <c r="DY28" t="e">
        <f>IF('4to. Perito_B'!#REF!,"AAAAAB33a4A=",0)</f>
        <v>#REF!</v>
      </c>
      <c r="DZ28" t="e">
        <f>AND('4to. Perito_B'!#REF!,"AAAAAB33a4E=")</f>
        <v>#REF!</v>
      </c>
      <c r="EA28" t="e">
        <f>AND('4to. Perito_B'!#REF!,"AAAAAB33a4I=")</f>
        <v>#REF!</v>
      </c>
      <c r="EB28" t="e">
        <f>AND('4to. Perito_B'!#REF!,"AAAAAB33a4M=")</f>
        <v>#REF!</v>
      </c>
      <c r="EC28" t="e">
        <f>AND('4to. Perito_B'!#REF!,"AAAAAB33a4Q=")</f>
        <v>#REF!</v>
      </c>
      <c r="ED28" t="e">
        <f>AND('4to. Perito_B'!#REF!,"AAAAAB33a4U=")</f>
        <v>#REF!</v>
      </c>
      <c r="EE28" t="e">
        <f>AND('4to. Perito_B'!#REF!,"AAAAAB33a4Y=")</f>
        <v>#REF!</v>
      </c>
      <c r="EF28" t="e">
        <f>AND('4to. Perito_B'!#REF!,"AAAAAB33a4c=")</f>
        <v>#REF!</v>
      </c>
      <c r="EG28" t="e">
        <f>AND('4to. Perito_B'!#REF!,"AAAAAB33a4g=")</f>
        <v>#REF!</v>
      </c>
      <c r="EH28" t="e">
        <f>AND('4to. Perito_B'!#REF!,"AAAAAB33a4k=")</f>
        <v>#REF!</v>
      </c>
      <c r="EI28" t="e">
        <f>AND('4to. Perito_B'!#REF!,"AAAAAB33a4o=")</f>
        <v>#REF!</v>
      </c>
      <c r="EJ28" t="e">
        <f>AND('4to. Perito_B'!#REF!,"AAAAAB33a4s=")</f>
        <v>#REF!</v>
      </c>
      <c r="EK28" t="e">
        <f>AND('4to. Perito_B'!#REF!,"AAAAAB33a4w=")</f>
        <v>#REF!</v>
      </c>
      <c r="EL28" t="e">
        <f>AND('4to. Perito_B'!#REF!,"AAAAAB33a40=")</f>
        <v>#REF!</v>
      </c>
      <c r="EM28" t="e">
        <f>AND('4to. Perito_B'!#REF!,"AAAAAB33a44=")</f>
        <v>#REF!</v>
      </c>
      <c r="EN28" t="e">
        <f>AND('4to. Perito_B'!#REF!,"AAAAAB33a48=")</f>
        <v>#REF!</v>
      </c>
      <c r="EO28" t="e">
        <f>AND('4to. Perito_B'!#REF!,"AAAAAB33a5A=")</f>
        <v>#REF!</v>
      </c>
      <c r="EP28" t="e">
        <f>AND('4to. Perito_B'!#REF!,"AAAAAB33a5E=")</f>
        <v>#REF!</v>
      </c>
      <c r="EQ28" t="e">
        <f>AND('4to. Perito_B'!#REF!,"AAAAAB33a5I=")</f>
        <v>#REF!</v>
      </c>
      <c r="ER28" t="e">
        <f>AND('4to. Perito_B'!#REF!,"AAAAAB33a5M=")</f>
        <v>#REF!</v>
      </c>
      <c r="ES28" t="e">
        <f>AND('4to. Perito_B'!#REF!,"AAAAAB33a5Q=")</f>
        <v>#REF!</v>
      </c>
      <c r="ET28" t="e">
        <f>AND('4to. Perito_B'!#REF!,"AAAAAB33a5U=")</f>
        <v>#REF!</v>
      </c>
      <c r="EU28" t="e">
        <f>AND('4to. Perito_B'!#REF!,"AAAAAB33a5Y=")</f>
        <v>#REF!</v>
      </c>
      <c r="EV28" t="e">
        <f>AND('4to. Perito_B'!#REF!,"AAAAAB33a5c=")</f>
        <v>#REF!</v>
      </c>
      <c r="EW28" t="e">
        <f>AND('4to. Perito_B'!#REF!,"AAAAAB33a5g=")</f>
        <v>#REF!</v>
      </c>
      <c r="EX28" t="e">
        <f>AND('4to. Perito_B'!#REF!,"AAAAAB33a5k=")</f>
        <v>#REF!</v>
      </c>
      <c r="EY28" t="e">
        <f>IF('4to. Perito_B'!#REF!,"AAAAAB33a5o=",0)</f>
        <v>#REF!</v>
      </c>
      <c r="EZ28" t="e">
        <f>AND('4to. Perito_B'!#REF!,"AAAAAB33a5s=")</f>
        <v>#REF!</v>
      </c>
      <c r="FA28" t="e">
        <f>AND('4to. Perito_B'!#REF!,"AAAAAB33a5w=")</f>
        <v>#REF!</v>
      </c>
      <c r="FB28" t="e">
        <f>AND('4to. Perito_B'!#REF!,"AAAAAB33a50=")</f>
        <v>#REF!</v>
      </c>
      <c r="FC28" t="e">
        <f>AND('4to. Perito_B'!#REF!,"AAAAAB33a54=")</f>
        <v>#REF!</v>
      </c>
      <c r="FD28" t="e">
        <f>AND('4to. Perito_B'!#REF!,"AAAAAB33a58=")</f>
        <v>#REF!</v>
      </c>
      <c r="FE28" t="e">
        <f>AND('4to. Perito_B'!#REF!,"AAAAAB33a6A=")</f>
        <v>#REF!</v>
      </c>
      <c r="FF28" t="e">
        <f>AND('4to. Perito_B'!#REF!,"AAAAAB33a6E=")</f>
        <v>#REF!</v>
      </c>
      <c r="FG28" t="e">
        <f>AND('4to. Perito_B'!#REF!,"AAAAAB33a6I=")</f>
        <v>#REF!</v>
      </c>
      <c r="FH28" t="e">
        <f>AND('4to. Perito_B'!#REF!,"AAAAAB33a6M=")</f>
        <v>#REF!</v>
      </c>
      <c r="FI28" t="e">
        <f>AND('4to. Perito_B'!#REF!,"AAAAAB33a6Q=")</f>
        <v>#REF!</v>
      </c>
      <c r="FJ28" t="e">
        <f>AND('4to. Perito_B'!#REF!,"AAAAAB33a6U=")</f>
        <v>#REF!</v>
      </c>
      <c r="FK28" t="e">
        <f>AND('4to. Perito_B'!#REF!,"AAAAAB33a6Y=")</f>
        <v>#REF!</v>
      </c>
      <c r="FL28" t="e">
        <f>AND('4to. Perito_B'!#REF!,"AAAAAB33a6c=")</f>
        <v>#REF!</v>
      </c>
      <c r="FM28" t="e">
        <f>AND('4to. Perito_B'!#REF!,"AAAAAB33a6g=")</f>
        <v>#REF!</v>
      </c>
      <c r="FN28" t="e">
        <f>AND('4to. Perito_B'!#REF!,"AAAAAB33a6k=")</f>
        <v>#REF!</v>
      </c>
      <c r="FO28" t="e">
        <f>AND('4to. Perito_B'!#REF!,"AAAAAB33a6o=")</f>
        <v>#REF!</v>
      </c>
      <c r="FP28" t="e">
        <f>AND('4to. Perito_B'!#REF!,"AAAAAB33a6s=")</f>
        <v>#REF!</v>
      </c>
      <c r="FQ28" t="e">
        <f>AND('4to. Perito_B'!#REF!,"AAAAAB33a6w=")</f>
        <v>#REF!</v>
      </c>
      <c r="FR28" t="e">
        <f>AND('4to. Perito_B'!#REF!,"AAAAAB33a60=")</f>
        <v>#REF!</v>
      </c>
      <c r="FS28" t="e">
        <f>AND('4to. Perito_B'!#REF!,"AAAAAB33a64=")</f>
        <v>#REF!</v>
      </c>
      <c r="FT28" t="e">
        <f>AND('4to. Perito_B'!#REF!,"AAAAAB33a68=")</f>
        <v>#REF!</v>
      </c>
      <c r="FU28" t="e">
        <f>AND('4to. Perito_B'!#REF!,"AAAAAB33a7A=")</f>
        <v>#REF!</v>
      </c>
      <c r="FV28" t="e">
        <f>AND('4to. Perito_B'!#REF!,"AAAAAB33a7E=")</f>
        <v>#REF!</v>
      </c>
      <c r="FW28" t="e">
        <f>AND('4to. Perito_B'!#REF!,"AAAAAB33a7I=")</f>
        <v>#REF!</v>
      </c>
      <c r="FX28" t="e">
        <f>AND('4to. Perito_B'!#REF!,"AAAAAB33a7M=")</f>
        <v>#REF!</v>
      </c>
      <c r="FY28" t="e">
        <f>IF('4to. Perito_B'!#REF!,"AAAAAB33a7Q=",0)</f>
        <v>#REF!</v>
      </c>
      <c r="FZ28" t="e">
        <f>AND('4to. Perito_B'!#REF!,"AAAAAB33a7U=")</f>
        <v>#REF!</v>
      </c>
      <c r="GA28" t="e">
        <f>AND('4to. Perito_B'!#REF!,"AAAAAB33a7Y=")</f>
        <v>#REF!</v>
      </c>
      <c r="GB28" t="e">
        <f>AND('4to. Perito_B'!#REF!,"AAAAAB33a7c=")</f>
        <v>#REF!</v>
      </c>
      <c r="GC28" t="e">
        <f>AND('4to. Perito_B'!#REF!,"AAAAAB33a7g=")</f>
        <v>#REF!</v>
      </c>
      <c r="GD28" t="e">
        <f>AND('4to. Perito_B'!#REF!,"AAAAAB33a7k=")</f>
        <v>#REF!</v>
      </c>
      <c r="GE28" t="e">
        <f>AND('4to. Perito_B'!#REF!,"AAAAAB33a7o=")</f>
        <v>#REF!</v>
      </c>
      <c r="GF28" t="e">
        <f>AND('4to. Perito_B'!#REF!,"AAAAAB33a7s=")</f>
        <v>#REF!</v>
      </c>
      <c r="GG28" t="e">
        <f>AND('4to. Perito_B'!#REF!,"AAAAAB33a7w=")</f>
        <v>#REF!</v>
      </c>
      <c r="GH28" t="e">
        <f>AND('4to. Perito_B'!#REF!,"AAAAAB33a70=")</f>
        <v>#REF!</v>
      </c>
      <c r="GI28" t="e">
        <f>AND('4to. Perito_B'!#REF!,"AAAAAB33a74=")</f>
        <v>#REF!</v>
      </c>
      <c r="GJ28" t="e">
        <f>AND('4to. Perito_B'!#REF!,"AAAAAB33a78=")</f>
        <v>#REF!</v>
      </c>
      <c r="GK28" t="e">
        <f>AND('4to. Perito_B'!#REF!,"AAAAAB33a8A=")</f>
        <v>#REF!</v>
      </c>
      <c r="GL28" t="e">
        <f>AND('4to. Perito_B'!#REF!,"AAAAAB33a8E=")</f>
        <v>#REF!</v>
      </c>
      <c r="GM28" t="e">
        <f>AND('4to. Perito_B'!#REF!,"AAAAAB33a8I=")</f>
        <v>#REF!</v>
      </c>
      <c r="GN28" t="e">
        <f>AND('4to. Perito_B'!#REF!,"AAAAAB33a8M=")</f>
        <v>#REF!</v>
      </c>
      <c r="GO28" t="e">
        <f>AND('4to. Perito_B'!#REF!,"AAAAAB33a8Q=")</f>
        <v>#REF!</v>
      </c>
      <c r="GP28" t="e">
        <f>AND('4to. Perito_B'!#REF!,"AAAAAB33a8U=")</f>
        <v>#REF!</v>
      </c>
      <c r="GQ28" t="e">
        <f>AND('4to. Perito_B'!#REF!,"AAAAAB33a8Y=")</f>
        <v>#REF!</v>
      </c>
      <c r="GR28" t="e">
        <f>AND('4to. Perito_B'!#REF!,"AAAAAB33a8c=")</f>
        <v>#REF!</v>
      </c>
      <c r="GS28" t="e">
        <f>AND('4to. Perito_B'!#REF!,"AAAAAB33a8g=")</f>
        <v>#REF!</v>
      </c>
      <c r="GT28" t="e">
        <f>AND('4to. Perito_B'!#REF!,"AAAAAB33a8k=")</f>
        <v>#REF!</v>
      </c>
      <c r="GU28" t="e">
        <f>AND('4to. Perito_B'!#REF!,"AAAAAB33a8o=")</f>
        <v>#REF!</v>
      </c>
      <c r="GV28" t="e">
        <f>AND('4to. Perito_B'!#REF!,"AAAAAB33a8s=")</f>
        <v>#REF!</v>
      </c>
      <c r="GW28" t="e">
        <f>AND('4to. Perito_B'!#REF!,"AAAAAB33a8w=")</f>
        <v>#REF!</v>
      </c>
      <c r="GX28" t="e">
        <f>AND('4to. Perito_B'!#REF!,"AAAAAB33a80=")</f>
        <v>#REF!</v>
      </c>
      <c r="GY28">
        <f>IF('4to. Perito_B'!2:2,"AAAAAB33a84=",0)</f>
        <v>0</v>
      </c>
      <c r="GZ28" t="e">
        <f>AND('4to. Perito_B'!A2,"AAAAAB33a88=")</f>
        <v>#VALUE!</v>
      </c>
      <c r="HA28" t="e">
        <f>AND('4to. Perito_B'!B2,"AAAAAB33a9A=")</f>
        <v>#VALUE!</v>
      </c>
      <c r="HB28" t="e">
        <f>AND('4to. Perito_B'!C2,"AAAAAB33a9E=")</f>
        <v>#VALUE!</v>
      </c>
      <c r="HC28" t="e">
        <f>AND('4to. Perito_B'!D2,"AAAAAB33a9I=")</f>
        <v>#VALUE!</v>
      </c>
      <c r="HD28" t="e">
        <f>AND('4to. Perito_B'!E2,"AAAAAB33a9M=")</f>
        <v>#VALUE!</v>
      </c>
      <c r="HE28" t="e">
        <f>AND('4to. Perito_B'!F2,"AAAAAB33a9Q=")</f>
        <v>#VALUE!</v>
      </c>
      <c r="HF28" t="e">
        <f>AND('4to. Perito_B'!G2,"AAAAAB33a9U=")</f>
        <v>#VALUE!</v>
      </c>
      <c r="HG28" t="e">
        <f>AND('4to. Perito_B'!H2,"AAAAAB33a9Y=")</f>
        <v>#VALUE!</v>
      </c>
      <c r="HH28" t="e">
        <f>AND('4to. Perito_B'!I2,"AAAAAB33a9c=")</f>
        <v>#VALUE!</v>
      </c>
      <c r="HI28" t="e">
        <f>AND('4to. Perito_B'!J2,"AAAAAB33a9g=")</f>
        <v>#VALUE!</v>
      </c>
      <c r="HJ28" t="e">
        <f>AND('4to. Perito_B'!K2,"AAAAAB33a9k=")</f>
        <v>#VALUE!</v>
      </c>
      <c r="HK28" t="e">
        <f>AND('4to. Perito_B'!L2,"AAAAAB33a9o=")</f>
        <v>#VALUE!</v>
      </c>
      <c r="HL28" t="e">
        <f>AND('4to. Perito_B'!M2,"AAAAAB33a9s=")</f>
        <v>#VALUE!</v>
      </c>
      <c r="HM28" t="e">
        <f>AND('4to. Perito_B'!N2,"AAAAAB33a9w=")</f>
        <v>#VALUE!</v>
      </c>
      <c r="HN28" t="e">
        <f>AND('4to. Perito_B'!O2,"AAAAAB33a90=")</f>
        <v>#VALUE!</v>
      </c>
      <c r="HO28" t="e">
        <f>AND('4to. Perito_B'!P2,"AAAAAB33a94=")</f>
        <v>#VALUE!</v>
      </c>
      <c r="HP28" t="e">
        <f>AND('4to. Perito_B'!Q2,"AAAAAB33a98=")</f>
        <v>#VALUE!</v>
      </c>
      <c r="HQ28" t="e">
        <f>AND('4to. Perito_B'!R2,"AAAAAB33a+A=")</f>
        <v>#VALUE!</v>
      </c>
      <c r="HR28" t="e">
        <f>AND('4to. Perito_B'!S2,"AAAAAB33a+E=")</f>
        <v>#VALUE!</v>
      </c>
      <c r="HS28" t="e">
        <f>AND('4to. Perito_B'!T2,"AAAAAB33a+I=")</f>
        <v>#VALUE!</v>
      </c>
      <c r="HT28" t="e">
        <f>AND('4to. Perito_B'!#REF!,"AAAAAB33a+M=")</f>
        <v>#REF!</v>
      </c>
      <c r="HU28" t="e">
        <f>AND('4to. Perito_B'!#REF!,"AAAAAB33a+Q=")</f>
        <v>#REF!</v>
      </c>
      <c r="HV28" t="e">
        <f>AND('4to. Perito_B'!#REF!,"AAAAAB33a+U=")</f>
        <v>#REF!</v>
      </c>
      <c r="HW28" t="e">
        <f>AND('4to. Perito_B'!#REF!,"AAAAAB33a+Y=")</f>
        <v>#REF!</v>
      </c>
      <c r="HX28" t="e">
        <f>AND('4to. Perito_B'!#REF!,"AAAAAB33a+c=")</f>
        <v>#REF!</v>
      </c>
      <c r="HY28">
        <f>IF('4to. Perito_B'!3:3,"AAAAAB33a+g=",0)</f>
        <v>0</v>
      </c>
      <c r="HZ28" t="e">
        <f>AND('4to. Perito_B'!A3,"AAAAAB33a+k=")</f>
        <v>#VALUE!</v>
      </c>
      <c r="IA28" t="e">
        <f>AND('4to. Perito_B'!B3,"AAAAAB33a+o=")</f>
        <v>#VALUE!</v>
      </c>
      <c r="IB28" t="e">
        <f>AND('4to. Perito_B'!C3,"AAAAAB33a+s=")</f>
        <v>#VALUE!</v>
      </c>
      <c r="IC28" t="e">
        <f>AND('4to. Perito_B'!D3,"AAAAAB33a+w=")</f>
        <v>#VALUE!</v>
      </c>
      <c r="ID28" t="e">
        <f>AND('4to. Perito_B'!E3,"AAAAAB33a+0=")</f>
        <v>#VALUE!</v>
      </c>
      <c r="IE28" t="e">
        <f>AND('4to. Perito_B'!F3,"AAAAAB33a+4=")</f>
        <v>#VALUE!</v>
      </c>
      <c r="IF28" t="e">
        <f>AND('4to. Perito_B'!G3,"AAAAAB33a+8=")</f>
        <v>#VALUE!</v>
      </c>
      <c r="IG28" t="e">
        <f>AND('4to. Perito_B'!H3,"AAAAAB33a/A=")</f>
        <v>#VALUE!</v>
      </c>
      <c r="IH28" t="e">
        <f>AND('4to. Perito_B'!I3,"AAAAAB33a/E=")</f>
        <v>#VALUE!</v>
      </c>
      <c r="II28" t="e">
        <f>AND('4to. Perito_B'!J3,"AAAAAB33a/I=")</f>
        <v>#VALUE!</v>
      </c>
      <c r="IJ28" t="e">
        <f>AND('4to. Perito_B'!K3,"AAAAAB33a/M=")</f>
        <v>#VALUE!</v>
      </c>
      <c r="IK28" t="e">
        <f>AND('4to. Perito_B'!L3,"AAAAAB33a/Q=")</f>
        <v>#VALUE!</v>
      </c>
      <c r="IL28" t="e">
        <f>AND('4to. Perito_B'!M3,"AAAAAB33a/U=")</f>
        <v>#VALUE!</v>
      </c>
      <c r="IM28" t="e">
        <f>AND('4to. Perito_B'!N3,"AAAAAB33a/Y=")</f>
        <v>#VALUE!</v>
      </c>
      <c r="IN28" t="e">
        <f>AND('4to. Perito_B'!O3,"AAAAAB33a/c=")</f>
        <v>#VALUE!</v>
      </c>
      <c r="IO28" t="e">
        <f>AND('4to. Perito_B'!P3,"AAAAAB33a/g=")</f>
        <v>#VALUE!</v>
      </c>
      <c r="IP28" t="e">
        <f>AND('4to. Perito_B'!Q3,"AAAAAB33a/k=")</f>
        <v>#VALUE!</v>
      </c>
      <c r="IQ28" t="e">
        <f>AND('4to. Perito_B'!R3,"AAAAAB33a/o=")</f>
        <v>#VALUE!</v>
      </c>
      <c r="IR28" t="e">
        <f>AND('4to. Perito_B'!S3,"AAAAAB33a/s=")</f>
        <v>#VALUE!</v>
      </c>
      <c r="IS28" t="e">
        <f>AND('4to. Perito_B'!T3,"AAAAAB33a/w=")</f>
        <v>#VALUE!</v>
      </c>
      <c r="IT28" t="e">
        <f>AND('4to. Perito_B'!#REF!,"AAAAAB33a/0=")</f>
        <v>#REF!</v>
      </c>
      <c r="IU28" t="e">
        <f>AND('4to. Perito_B'!#REF!,"AAAAAB33a/4=")</f>
        <v>#REF!</v>
      </c>
      <c r="IV28" t="e">
        <f>AND('4to. Perito_B'!#REF!,"AAAAAB33a/8=")</f>
        <v>#REF!</v>
      </c>
    </row>
    <row r="29" spans="1:256">
      <c r="A29" t="e">
        <f>AND('4to. Perito_B'!#REF!,"AAAAADpK3wA=")</f>
        <v>#REF!</v>
      </c>
      <c r="B29" t="e">
        <f>AND('4to. Perito_B'!#REF!,"AAAAADpK3wE=")</f>
        <v>#REF!</v>
      </c>
      <c r="C29" t="e">
        <f>IF('4to. Perito_B'!4:4,"AAAAADpK3wI=",0)</f>
        <v>#VALUE!</v>
      </c>
      <c r="D29" t="e">
        <f>AND('4to. Perito_B'!A4,"AAAAADpK3wM=")</f>
        <v>#VALUE!</v>
      </c>
      <c r="E29" t="e">
        <f>AND('4to. Perito_B'!B4,"AAAAADpK3wQ=")</f>
        <v>#VALUE!</v>
      </c>
      <c r="F29" t="e">
        <f>AND('4to. Perito_B'!C4,"AAAAADpK3wU=")</f>
        <v>#VALUE!</v>
      </c>
      <c r="G29" t="e">
        <f>AND('4to. Perito_B'!D4,"AAAAADpK3wY=")</f>
        <v>#VALUE!</v>
      </c>
      <c r="H29" t="e">
        <f>AND('4to. Perito_B'!E4,"AAAAADpK3wc=")</f>
        <v>#VALUE!</v>
      </c>
      <c r="I29" t="e">
        <f>AND('4to. Perito_B'!F4,"AAAAADpK3wg=")</f>
        <v>#VALUE!</v>
      </c>
      <c r="J29" t="e">
        <f>AND('4to. Perito_B'!G4,"AAAAADpK3wk=")</f>
        <v>#VALUE!</v>
      </c>
      <c r="K29" t="e">
        <f>AND('4to. Perito_B'!H4,"AAAAADpK3wo=")</f>
        <v>#VALUE!</v>
      </c>
      <c r="L29" t="e">
        <f>AND('4to. Perito_B'!I4,"AAAAADpK3ws=")</f>
        <v>#VALUE!</v>
      </c>
      <c r="M29" t="e">
        <f>AND('4to. Perito_B'!J4,"AAAAADpK3ww=")</f>
        <v>#VALUE!</v>
      </c>
      <c r="N29" t="e">
        <f>AND('4to. Perito_B'!K4,"AAAAADpK3w0=")</f>
        <v>#VALUE!</v>
      </c>
      <c r="O29" t="e">
        <f>AND('4to. Perito_B'!L4,"AAAAADpK3w4=")</f>
        <v>#VALUE!</v>
      </c>
      <c r="P29" t="e">
        <f>AND('4to. Perito_B'!M4,"AAAAADpK3w8=")</f>
        <v>#VALUE!</v>
      </c>
      <c r="Q29" t="e">
        <f>AND('4to. Perito_B'!N4,"AAAAADpK3xA=")</f>
        <v>#VALUE!</v>
      </c>
      <c r="R29" t="e">
        <f>AND('4to. Perito_B'!O4,"AAAAADpK3xE=")</f>
        <v>#VALUE!</v>
      </c>
      <c r="S29" t="e">
        <f>AND('4to. Perito_B'!P4,"AAAAADpK3xI=")</f>
        <v>#VALUE!</v>
      </c>
      <c r="T29" t="e">
        <f>AND('4to. Perito_B'!Q4,"AAAAADpK3xM=")</f>
        <v>#VALUE!</v>
      </c>
      <c r="U29" t="e">
        <f>AND('4to. Perito_B'!R4,"AAAAADpK3xQ=")</f>
        <v>#VALUE!</v>
      </c>
      <c r="V29" t="e">
        <f>AND('4to. Perito_B'!S4,"AAAAADpK3xU=")</f>
        <v>#VALUE!</v>
      </c>
      <c r="W29" t="e">
        <f>AND('4to. Perito_B'!T4,"AAAAADpK3xY=")</f>
        <v>#VALUE!</v>
      </c>
      <c r="X29" t="e">
        <f>AND('4to. Perito_B'!#REF!,"AAAAADpK3xc=")</f>
        <v>#REF!</v>
      </c>
      <c r="Y29" t="e">
        <f>AND('4to. Perito_B'!#REF!,"AAAAADpK3xg=")</f>
        <v>#REF!</v>
      </c>
      <c r="Z29" t="e">
        <f>AND('4to. Perito_B'!#REF!,"AAAAADpK3xk=")</f>
        <v>#REF!</v>
      </c>
      <c r="AA29" t="e">
        <f>AND('4to. Perito_B'!#REF!,"AAAAADpK3xo=")</f>
        <v>#REF!</v>
      </c>
      <c r="AB29" t="e">
        <f>AND('4to. Perito_B'!#REF!,"AAAAADpK3xs=")</f>
        <v>#REF!</v>
      </c>
      <c r="AC29">
        <f>IF('4to. Perito_B'!5:5,"AAAAADpK3xw=",0)</f>
        <v>0</v>
      </c>
      <c r="AD29" t="e">
        <f>AND('4to. Perito_B'!A5,"AAAAADpK3x0=")</f>
        <v>#VALUE!</v>
      </c>
      <c r="AE29" t="e">
        <f>AND('4to. Perito_B'!B5,"AAAAADpK3x4=")</f>
        <v>#VALUE!</v>
      </c>
      <c r="AF29" t="e">
        <f>AND('4to. Perito_B'!C5,"AAAAADpK3x8=")</f>
        <v>#VALUE!</v>
      </c>
      <c r="AG29" t="e">
        <f>AND('4to. Perito_B'!D5,"AAAAADpK3yA=")</f>
        <v>#VALUE!</v>
      </c>
      <c r="AH29" t="e">
        <f>AND('4to. Perito_B'!E5,"AAAAADpK3yE=")</f>
        <v>#VALUE!</v>
      </c>
      <c r="AI29" t="e">
        <f>AND('4to. Perito_B'!F5,"AAAAADpK3yI=")</f>
        <v>#VALUE!</v>
      </c>
      <c r="AJ29" t="e">
        <f>AND('4to. Perito_B'!G5,"AAAAADpK3yM=")</f>
        <v>#VALUE!</v>
      </c>
      <c r="AK29" t="e">
        <f>AND('4to. Perito_B'!H5,"AAAAADpK3yQ=")</f>
        <v>#VALUE!</v>
      </c>
      <c r="AL29" t="e">
        <f>AND('4to. Perito_B'!I5,"AAAAADpK3yU=")</f>
        <v>#VALUE!</v>
      </c>
      <c r="AM29" t="e">
        <f>AND('4to. Perito_B'!J5,"AAAAADpK3yY=")</f>
        <v>#VALUE!</v>
      </c>
      <c r="AN29" t="e">
        <f>AND('4to. Perito_B'!K5,"AAAAADpK3yc=")</f>
        <v>#VALUE!</v>
      </c>
      <c r="AO29" t="e">
        <f>AND('4to. Perito_B'!L5,"AAAAADpK3yg=")</f>
        <v>#VALUE!</v>
      </c>
      <c r="AP29" t="e">
        <f>AND('4to. Perito_B'!M5,"AAAAADpK3yk=")</f>
        <v>#VALUE!</v>
      </c>
      <c r="AQ29" t="e">
        <f>AND('4to. Perito_B'!N5,"AAAAADpK3yo=")</f>
        <v>#VALUE!</v>
      </c>
      <c r="AR29" t="e">
        <f>AND('4to. Perito_B'!O5,"AAAAADpK3ys=")</f>
        <v>#VALUE!</v>
      </c>
      <c r="AS29" t="e">
        <f>AND('4to. Perito_B'!P5,"AAAAADpK3yw=")</f>
        <v>#VALUE!</v>
      </c>
      <c r="AT29" t="e">
        <f>AND('4to. Perito_B'!Q5,"AAAAADpK3y0=")</f>
        <v>#VALUE!</v>
      </c>
      <c r="AU29" t="e">
        <f>AND('4to. Perito_B'!R5,"AAAAADpK3y4=")</f>
        <v>#VALUE!</v>
      </c>
      <c r="AV29" t="e">
        <f>AND('4to. Perito_B'!S5,"AAAAADpK3y8=")</f>
        <v>#VALUE!</v>
      </c>
      <c r="AW29" t="e">
        <f>AND('4to. Perito_B'!T5,"AAAAADpK3zA=")</f>
        <v>#VALUE!</v>
      </c>
      <c r="AX29" t="e">
        <f>AND('4to. Perito_B'!#REF!,"AAAAADpK3zE=")</f>
        <v>#REF!</v>
      </c>
      <c r="AY29" t="e">
        <f>AND('4to. Perito_B'!#REF!,"AAAAADpK3zI=")</f>
        <v>#REF!</v>
      </c>
      <c r="AZ29" t="e">
        <f>AND('4to. Perito_B'!#REF!,"AAAAADpK3zM=")</f>
        <v>#REF!</v>
      </c>
      <c r="BA29" t="e">
        <f>AND('4to. Perito_B'!#REF!,"AAAAADpK3zQ=")</f>
        <v>#REF!</v>
      </c>
      <c r="BB29" t="e">
        <f>AND('4to. Perito_B'!#REF!,"AAAAADpK3zU=")</f>
        <v>#REF!</v>
      </c>
      <c r="BC29">
        <f>IF('4to. Perito_B'!6:6,"AAAAADpK3zY=",0)</f>
        <v>0</v>
      </c>
      <c r="BD29" t="e">
        <f>AND('4to. Perito_B'!A6,"AAAAADpK3zc=")</f>
        <v>#VALUE!</v>
      </c>
      <c r="BE29" t="e">
        <f>AND('4to. Perito_B'!B6,"AAAAADpK3zg=")</f>
        <v>#VALUE!</v>
      </c>
      <c r="BF29" t="e">
        <f>AND('4to. Perito_B'!C6,"AAAAADpK3zk=")</f>
        <v>#VALUE!</v>
      </c>
      <c r="BG29" t="e">
        <f>AND('4to. Perito_B'!D6,"AAAAADpK3zo=")</f>
        <v>#VALUE!</v>
      </c>
      <c r="BH29" t="e">
        <f>AND('4to. Perito_B'!E6,"AAAAADpK3zs=")</f>
        <v>#VALUE!</v>
      </c>
      <c r="BI29" t="e">
        <f>AND('4to. Perito_B'!F6,"AAAAADpK3zw=")</f>
        <v>#VALUE!</v>
      </c>
      <c r="BJ29" t="e">
        <f>AND('4to. Perito_B'!G6,"AAAAADpK3z0=")</f>
        <v>#VALUE!</v>
      </c>
      <c r="BK29" t="e">
        <f>AND('4to. Perito_B'!H6,"AAAAADpK3z4=")</f>
        <v>#VALUE!</v>
      </c>
      <c r="BL29" t="e">
        <f>AND('4to. Perito_B'!I6,"AAAAADpK3z8=")</f>
        <v>#VALUE!</v>
      </c>
      <c r="BM29" t="e">
        <f>AND('4to. Perito_B'!J6,"AAAAADpK30A=")</f>
        <v>#VALUE!</v>
      </c>
      <c r="BN29" t="e">
        <f>AND('4to. Perito_B'!K6,"AAAAADpK30E=")</f>
        <v>#VALUE!</v>
      </c>
      <c r="BO29" t="e">
        <f>AND('4to. Perito_B'!L6,"AAAAADpK30I=")</f>
        <v>#VALUE!</v>
      </c>
      <c r="BP29" t="e">
        <f>AND('4to. Perito_B'!M6,"AAAAADpK30M=")</f>
        <v>#VALUE!</v>
      </c>
      <c r="BQ29" t="e">
        <f>AND('4to. Perito_B'!N6,"AAAAADpK30Q=")</f>
        <v>#VALUE!</v>
      </c>
      <c r="BR29" t="e">
        <f>AND('4to. Perito_B'!O6,"AAAAADpK30U=")</f>
        <v>#VALUE!</v>
      </c>
      <c r="BS29" t="e">
        <f>AND('4to. Perito_B'!P6,"AAAAADpK30Y=")</f>
        <v>#VALUE!</v>
      </c>
      <c r="BT29" t="e">
        <f>AND('4to. Perito_B'!Q6,"AAAAADpK30c=")</f>
        <v>#VALUE!</v>
      </c>
      <c r="BU29" t="e">
        <f>AND('4to. Perito_B'!R6,"AAAAADpK30g=")</f>
        <v>#VALUE!</v>
      </c>
      <c r="BV29" t="e">
        <f>AND('4to. Perito_B'!S6,"AAAAADpK30k=")</f>
        <v>#VALUE!</v>
      </c>
      <c r="BW29" t="e">
        <f>AND('4to. Perito_B'!T6,"AAAAADpK30o=")</f>
        <v>#VALUE!</v>
      </c>
      <c r="BX29" t="e">
        <f>AND('4to. Perito_B'!#REF!,"AAAAADpK30s=")</f>
        <v>#REF!</v>
      </c>
      <c r="BY29" t="e">
        <f>AND('4to. Perito_B'!#REF!,"AAAAADpK30w=")</f>
        <v>#REF!</v>
      </c>
      <c r="BZ29" t="e">
        <f>AND('4to. Perito_B'!#REF!,"AAAAADpK300=")</f>
        <v>#REF!</v>
      </c>
      <c r="CA29" t="e">
        <f>AND('4to. Perito_B'!#REF!,"AAAAADpK304=")</f>
        <v>#REF!</v>
      </c>
      <c r="CB29" t="e">
        <f>AND('4to. Perito_B'!#REF!,"AAAAADpK308=")</f>
        <v>#REF!</v>
      </c>
      <c r="CC29">
        <f>IF('4to. Perito_B'!7:7,"AAAAADpK31A=",0)</f>
        <v>0</v>
      </c>
      <c r="CD29" t="e">
        <f>AND('4to. Perito_B'!A7,"AAAAADpK31E=")</f>
        <v>#VALUE!</v>
      </c>
      <c r="CE29" t="e">
        <f>AND('4to. Perito_B'!B7,"AAAAADpK31I=")</f>
        <v>#VALUE!</v>
      </c>
      <c r="CF29" t="e">
        <f>AND('4to. Perito_B'!C7,"AAAAADpK31M=")</f>
        <v>#VALUE!</v>
      </c>
      <c r="CG29" t="e">
        <f>AND('4to. Perito_B'!D7,"AAAAADpK31Q=")</f>
        <v>#VALUE!</v>
      </c>
      <c r="CH29" t="e">
        <f>AND('4to. Perito_B'!E7,"AAAAADpK31U=")</f>
        <v>#VALUE!</v>
      </c>
      <c r="CI29" t="e">
        <f>AND('4to. Perito_B'!F7,"AAAAADpK31Y=")</f>
        <v>#VALUE!</v>
      </c>
      <c r="CJ29" t="e">
        <f>AND('4to. Perito_B'!G7,"AAAAADpK31c=")</f>
        <v>#VALUE!</v>
      </c>
      <c r="CK29" t="e">
        <f>AND('4to. Perito_B'!H7,"AAAAADpK31g=")</f>
        <v>#VALUE!</v>
      </c>
      <c r="CL29" t="e">
        <f>AND('4to. Perito_B'!I7,"AAAAADpK31k=")</f>
        <v>#VALUE!</v>
      </c>
      <c r="CM29" t="e">
        <f>AND('4to. Perito_B'!J7,"AAAAADpK31o=")</f>
        <v>#VALUE!</v>
      </c>
      <c r="CN29" t="e">
        <f>AND('4to. Perito_B'!K7,"AAAAADpK31s=")</f>
        <v>#VALUE!</v>
      </c>
      <c r="CO29" t="e">
        <f>AND('4to. Perito_B'!L7,"AAAAADpK31w=")</f>
        <v>#VALUE!</v>
      </c>
      <c r="CP29" t="e">
        <f>AND('4to. Perito_B'!M7,"AAAAADpK310=")</f>
        <v>#VALUE!</v>
      </c>
      <c r="CQ29" t="e">
        <f>AND('4to. Perito_B'!N7,"AAAAADpK314=")</f>
        <v>#VALUE!</v>
      </c>
      <c r="CR29" t="e">
        <f>AND('4to. Perito_B'!O7,"AAAAADpK318=")</f>
        <v>#VALUE!</v>
      </c>
      <c r="CS29" t="e">
        <f>AND('4to. Perito_B'!P7,"AAAAADpK32A=")</f>
        <v>#VALUE!</v>
      </c>
      <c r="CT29" t="e">
        <f>AND('4to. Perito_B'!Q7,"AAAAADpK32E=")</f>
        <v>#VALUE!</v>
      </c>
      <c r="CU29" t="e">
        <f>AND('4to. Perito_B'!R7,"AAAAADpK32I=")</f>
        <v>#VALUE!</v>
      </c>
      <c r="CV29" t="e">
        <f>AND('4to. Perito_B'!S7,"AAAAADpK32M=")</f>
        <v>#VALUE!</v>
      </c>
      <c r="CW29" t="e">
        <f>AND('4to. Perito_B'!T7,"AAAAADpK32Q=")</f>
        <v>#VALUE!</v>
      </c>
      <c r="CX29" t="e">
        <f>AND('4to. Perito_B'!#REF!,"AAAAADpK32U=")</f>
        <v>#REF!</v>
      </c>
      <c r="CY29" t="e">
        <f>AND('4to. Perito_B'!#REF!,"AAAAADpK32Y=")</f>
        <v>#REF!</v>
      </c>
      <c r="CZ29" t="e">
        <f>AND('4to. Perito_B'!#REF!,"AAAAADpK32c=")</f>
        <v>#REF!</v>
      </c>
      <c r="DA29" t="e">
        <f>AND('4to. Perito_B'!#REF!,"AAAAADpK32g=")</f>
        <v>#REF!</v>
      </c>
      <c r="DB29" t="e">
        <f>AND('4to. Perito_B'!#REF!,"AAAAADpK32k=")</f>
        <v>#REF!</v>
      </c>
      <c r="DC29">
        <f>IF('4to. Perito_B'!8:8,"AAAAADpK32o=",0)</f>
        <v>0</v>
      </c>
      <c r="DD29" t="e">
        <f>AND('4to. Perito_B'!A8,"AAAAADpK32s=")</f>
        <v>#VALUE!</v>
      </c>
      <c r="DE29" t="e">
        <f>AND('4to. Perito_B'!B8,"AAAAADpK32w=")</f>
        <v>#VALUE!</v>
      </c>
      <c r="DF29" t="e">
        <f>AND('4to. Perito_B'!C8,"AAAAADpK320=")</f>
        <v>#VALUE!</v>
      </c>
      <c r="DG29" t="e">
        <f>AND('4to. Perito_B'!D8,"AAAAADpK324=")</f>
        <v>#VALUE!</v>
      </c>
      <c r="DH29" t="e">
        <f>AND('4to. Perito_B'!E8,"AAAAADpK328=")</f>
        <v>#VALUE!</v>
      </c>
      <c r="DI29" t="e">
        <f>AND('4to. Perito_B'!F8,"AAAAADpK33A=")</f>
        <v>#VALUE!</v>
      </c>
      <c r="DJ29" t="e">
        <f>AND('4to. Perito_B'!G8,"AAAAADpK33E=")</f>
        <v>#VALUE!</v>
      </c>
      <c r="DK29" t="e">
        <f>AND('4to. Perito_B'!H8,"AAAAADpK33I=")</f>
        <v>#VALUE!</v>
      </c>
      <c r="DL29" t="e">
        <f>AND('4to. Perito_B'!I8,"AAAAADpK33M=")</f>
        <v>#VALUE!</v>
      </c>
      <c r="DM29" t="e">
        <f>AND('4to. Perito_B'!J8,"AAAAADpK33Q=")</f>
        <v>#VALUE!</v>
      </c>
      <c r="DN29" t="e">
        <f>AND('4to. Perito_B'!K8,"AAAAADpK33U=")</f>
        <v>#VALUE!</v>
      </c>
      <c r="DO29" t="e">
        <f>AND('4to. Perito_B'!L8,"AAAAADpK33Y=")</f>
        <v>#VALUE!</v>
      </c>
      <c r="DP29" t="e">
        <f>AND('4to. Perito_B'!M8,"AAAAADpK33c=")</f>
        <v>#VALUE!</v>
      </c>
      <c r="DQ29" t="e">
        <f>AND('4to. Perito_B'!N8,"AAAAADpK33g=")</f>
        <v>#VALUE!</v>
      </c>
      <c r="DR29" t="e">
        <f>AND('4to. Perito_B'!O8,"AAAAADpK33k=")</f>
        <v>#VALUE!</v>
      </c>
      <c r="DS29" t="e">
        <f>AND('4to. Perito_B'!P8,"AAAAADpK33o=")</f>
        <v>#VALUE!</v>
      </c>
      <c r="DT29" t="e">
        <f>AND('4to. Perito_B'!Q8,"AAAAADpK33s=")</f>
        <v>#VALUE!</v>
      </c>
      <c r="DU29" t="e">
        <f>AND('4to. Perito_B'!R8,"AAAAADpK33w=")</f>
        <v>#VALUE!</v>
      </c>
      <c r="DV29" t="e">
        <f>AND('4to. Perito_B'!S8,"AAAAADpK330=")</f>
        <v>#VALUE!</v>
      </c>
      <c r="DW29" t="e">
        <f>AND('4to. Perito_B'!T8,"AAAAADpK334=")</f>
        <v>#VALUE!</v>
      </c>
      <c r="DX29" t="e">
        <f>AND('4to. Perito_B'!#REF!,"AAAAADpK338=")</f>
        <v>#REF!</v>
      </c>
      <c r="DY29" t="e">
        <f>AND('4to. Perito_B'!#REF!,"AAAAADpK34A=")</f>
        <v>#REF!</v>
      </c>
      <c r="DZ29" t="e">
        <f>AND('4to. Perito_B'!#REF!,"AAAAADpK34E=")</f>
        <v>#REF!</v>
      </c>
      <c r="EA29" t="e">
        <f>AND('4to. Perito_B'!#REF!,"AAAAADpK34I=")</f>
        <v>#REF!</v>
      </c>
      <c r="EB29" t="e">
        <f>AND('4to. Perito_B'!#REF!,"AAAAADpK34M=")</f>
        <v>#REF!</v>
      </c>
      <c r="EC29">
        <f>IF('4to. Perito_B'!9:9,"AAAAADpK34Q=",0)</f>
        <v>0</v>
      </c>
      <c r="ED29" t="e">
        <f>AND('4to. Perito_B'!A9,"AAAAADpK34U=")</f>
        <v>#VALUE!</v>
      </c>
      <c r="EE29" t="e">
        <f>AND('4to. Perito_B'!B9,"AAAAADpK34Y=")</f>
        <v>#VALUE!</v>
      </c>
      <c r="EF29" t="e">
        <f>AND('4to. Perito_B'!C9,"AAAAADpK34c=")</f>
        <v>#VALUE!</v>
      </c>
      <c r="EG29" t="e">
        <f>AND('4to. Perito_B'!D9,"AAAAADpK34g=")</f>
        <v>#VALUE!</v>
      </c>
      <c r="EH29" t="e">
        <f>AND('4to. Perito_B'!E9,"AAAAADpK34k=")</f>
        <v>#VALUE!</v>
      </c>
      <c r="EI29" t="e">
        <f>AND('4to. Perito_B'!F9,"AAAAADpK34o=")</f>
        <v>#VALUE!</v>
      </c>
      <c r="EJ29" t="e">
        <f>AND('4to. Perito_B'!G9,"AAAAADpK34s=")</f>
        <v>#VALUE!</v>
      </c>
      <c r="EK29" t="e">
        <f>AND('4to. Perito_B'!H9,"AAAAADpK34w=")</f>
        <v>#VALUE!</v>
      </c>
      <c r="EL29" t="e">
        <f>AND('4to. Perito_B'!I9,"AAAAADpK340=")</f>
        <v>#VALUE!</v>
      </c>
      <c r="EM29" t="e">
        <f>AND('4to. Perito_B'!J9,"AAAAADpK344=")</f>
        <v>#VALUE!</v>
      </c>
      <c r="EN29" t="e">
        <f>AND('4to. Perito_B'!K9,"AAAAADpK348=")</f>
        <v>#VALUE!</v>
      </c>
      <c r="EO29" t="e">
        <f>AND('4to. Perito_B'!L9,"AAAAADpK35A=")</f>
        <v>#VALUE!</v>
      </c>
      <c r="EP29" t="e">
        <f>AND('4to. Perito_B'!M9,"AAAAADpK35E=")</f>
        <v>#VALUE!</v>
      </c>
      <c r="EQ29" t="e">
        <f>AND('4to. Perito_B'!N9,"AAAAADpK35I=")</f>
        <v>#VALUE!</v>
      </c>
      <c r="ER29" t="e">
        <f>AND('4to. Perito_B'!O9,"AAAAADpK35M=")</f>
        <v>#VALUE!</v>
      </c>
      <c r="ES29" t="e">
        <f>AND('4to. Perito_B'!P9,"AAAAADpK35Q=")</f>
        <v>#VALUE!</v>
      </c>
      <c r="ET29" t="e">
        <f>AND('4to. Perito_B'!Q9,"AAAAADpK35U=")</f>
        <v>#VALUE!</v>
      </c>
      <c r="EU29" t="e">
        <f>AND('4to. Perito_B'!R9,"AAAAADpK35Y=")</f>
        <v>#VALUE!</v>
      </c>
      <c r="EV29" t="e">
        <f>AND('4to. Perito_B'!S9,"AAAAADpK35c=")</f>
        <v>#VALUE!</v>
      </c>
      <c r="EW29" t="e">
        <f>AND('4to. Perito_B'!T9,"AAAAADpK35g=")</f>
        <v>#VALUE!</v>
      </c>
      <c r="EX29" t="e">
        <f>AND('4to. Perito_B'!#REF!,"AAAAADpK35k=")</f>
        <v>#REF!</v>
      </c>
      <c r="EY29" t="e">
        <f>AND('4to. Perito_B'!#REF!,"AAAAADpK35o=")</f>
        <v>#REF!</v>
      </c>
      <c r="EZ29" t="e">
        <f>AND('4to. Perito_B'!#REF!,"AAAAADpK35s=")</f>
        <v>#REF!</v>
      </c>
      <c r="FA29" t="e">
        <f>AND('4to. Perito_B'!#REF!,"AAAAADpK35w=")</f>
        <v>#REF!</v>
      </c>
      <c r="FB29" t="e">
        <f>AND('4to. Perito_B'!#REF!,"AAAAADpK350=")</f>
        <v>#REF!</v>
      </c>
      <c r="FC29">
        <f>IF('4to. Perito_B'!10:10,"AAAAADpK354=",0)</f>
        <v>0</v>
      </c>
      <c r="FD29" t="e">
        <f>AND('4to. Perito_B'!A10,"AAAAADpK358=")</f>
        <v>#VALUE!</v>
      </c>
      <c r="FE29" t="e">
        <f>AND('4to. Perito_B'!B10,"AAAAADpK36A=")</f>
        <v>#VALUE!</v>
      </c>
      <c r="FF29" t="e">
        <f>AND('4to. Perito_B'!C10,"AAAAADpK36E=")</f>
        <v>#VALUE!</v>
      </c>
      <c r="FG29" t="e">
        <f>AND('4to. Perito_B'!D10,"AAAAADpK36I=")</f>
        <v>#VALUE!</v>
      </c>
      <c r="FH29" t="e">
        <f>AND('4to. Perito_B'!E10,"AAAAADpK36M=")</f>
        <v>#VALUE!</v>
      </c>
      <c r="FI29" t="e">
        <f>AND('4to. Perito_B'!F10,"AAAAADpK36Q=")</f>
        <v>#VALUE!</v>
      </c>
      <c r="FJ29" t="e">
        <f>AND('4to. Perito_B'!G10,"AAAAADpK36U=")</f>
        <v>#VALUE!</v>
      </c>
      <c r="FK29" t="e">
        <f>AND('4to. Perito_B'!H10,"AAAAADpK36Y=")</f>
        <v>#VALUE!</v>
      </c>
      <c r="FL29" t="e">
        <f>AND('4to. Perito_B'!I10,"AAAAADpK36c=")</f>
        <v>#VALUE!</v>
      </c>
      <c r="FM29" t="e">
        <f>AND('4to. Perito_B'!J10,"AAAAADpK36g=")</f>
        <v>#VALUE!</v>
      </c>
      <c r="FN29" t="e">
        <f>AND('4to. Perito_B'!K10,"AAAAADpK36k=")</f>
        <v>#VALUE!</v>
      </c>
      <c r="FO29" t="e">
        <f>AND('4to. Perito_B'!L10,"AAAAADpK36o=")</f>
        <v>#VALUE!</v>
      </c>
      <c r="FP29" t="e">
        <f>AND('4to. Perito_B'!M10,"AAAAADpK36s=")</f>
        <v>#VALUE!</v>
      </c>
      <c r="FQ29" t="e">
        <f>AND('4to. Perito_B'!N10,"AAAAADpK36w=")</f>
        <v>#VALUE!</v>
      </c>
      <c r="FR29" t="e">
        <f>AND('4to. Perito_B'!O10,"AAAAADpK360=")</f>
        <v>#VALUE!</v>
      </c>
      <c r="FS29" t="e">
        <f>AND('4to. Perito_B'!P10,"AAAAADpK364=")</f>
        <v>#VALUE!</v>
      </c>
      <c r="FT29" t="e">
        <f>AND('4to. Perito_B'!Q10,"AAAAADpK368=")</f>
        <v>#VALUE!</v>
      </c>
      <c r="FU29" t="e">
        <f>AND('4to. Perito_B'!R10,"AAAAADpK37A=")</f>
        <v>#VALUE!</v>
      </c>
      <c r="FV29" t="e">
        <f>AND('4to. Perito_B'!S10,"AAAAADpK37E=")</f>
        <v>#VALUE!</v>
      </c>
      <c r="FW29" t="e">
        <f>AND('4to. Perito_B'!T10,"AAAAADpK37I=")</f>
        <v>#VALUE!</v>
      </c>
      <c r="FX29" t="e">
        <f>AND('4to. Perito_B'!#REF!,"AAAAADpK37M=")</f>
        <v>#REF!</v>
      </c>
      <c r="FY29" t="e">
        <f>AND('4to. Perito_B'!#REF!,"AAAAADpK37Q=")</f>
        <v>#REF!</v>
      </c>
      <c r="FZ29" t="e">
        <f>AND('4to. Perito_B'!#REF!,"AAAAADpK37U=")</f>
        <v>#REF!</v>
      </c>
      <c r="GA29" t="e">
        <f>AND('4to. Perito_B'!#REF!,"AAAAADpK37Y=")</f>
        <v>#REF!</v>
      </c>
      <c r="GB29" t="e">
        <f>AND('4to. Perito_B'!#REF!,"AAAAADpK37c=")</f>
        <v>#REF!</v>
      </c>
      <c r="GC29">
        <f>IF('4to. Perito_B'!11:11,"AAAAADpK37g=",0)</f>
        <v>0</v>
      </c>
      <c r="GD29" t="e">
        <f>AND('4to. Perito_B'!A11,"AAAAADpK37k=")</f>
        <v>#VALUE!</v>
      </c>
      <c r="GE29" t="e">
        <f>AND('4to. Perito_B'!B11,"AAAAADpK37o=")</f>
        <v>#VALUE!</v>
      </c>
      <c r="GF29" t="e">
        <f>AND('4to. Perito_B'!C11,"AAAAADpK37s=")</f>
        <v>#VALUE!</v>
      </c>
      <c r="GG29" t="e">
        <f>AND('4to. Perito_B'!D11,"AAAAADpK37w=")</f>
        <v>#VALUE!</v>
      </c>
      <c r="GH29" t="e">
        <f>AND('4to. Perito_B'!E11,"AAAAADpK370=")</f>
        <v>#VALUE!</v>
      </c>
      <c r="GI29" t="e">
        <f>AND('4to. Perito_B'!F11,"AAAAADpK374=")</f>
        <v>#VALUE!</v>
      </c>
      <c r="GJ29" t="e">
        <f>AND('4to. Perito_B'!G11,"AAAAADpK378=")</f>
        <v>#VALUE!</v>
      </c>
      <c r="GK29" t="e">
        <f>AND('4to. Perito_B'!H11,"AAAAADpK38A=")</f>
        <v>#VALUE!</v>
      </c>
      <c r="GL29" t="e">
        <f>AND('4to. Perito_B'!I11,"AAAAADpK38E=")</f>
        <v>#VALUE!</v>
      </c>
      <c r="GM29" t="e">
        <f>AND('4to. Perito_B'!J11,"AAAAADpK38I=")</f>
        <v>#VALUE!</v>
      </c>
      <c r="GN29" t="e">
        <f>AND('4to. Perito_B'!K11,"AAAAADpK38M=")</f>
        <v>#VALUE!</v>
      </c>
      <c r="GO29" t="e">
        <f>AND('4to. Perito_B'!L11,"AAAAADpK38Q=")</f>
        <v>#VALUE!</v>
      </c>
      <c r="GP29" t="e">
        <f>AND('4to. Perito_B'!M11,"AAAAADpK38U=")</f>
        <v>#VALUE!</v>
      </c>
      <c r="GQ29" t="e">
        <f>AND('4to. Perito_B'!N11,"AAAAADpK38Y=")</f>
        <v>#VALUE!</v>
      </c>
      <c r="GR29" t="e">
        <f>AND('4to. Perito_B'!O11,"AAAAADpK38c=")</f>
        <v>#VALUE!</v>
      </c>
      <c r="GS29" t="e">
        <f>AND('4to. Perito_B'!P11,"AAAAADpK38g=")</f>
        <v>#VALUE!</v>
      </c>
      <c r="GT29" t="e">
        <f>AND('4to. Perito_B'!Q11,"AAAAADpK38k=")</f>
        <v>#VALUE!</v>
      </c>
      <c r="GU29" t="e">
        <f>AND('4to. Perito_B'!R11,"AAAAADpK38o=")</f>
        <v>#VALUE!</v>
      </c>
      <c r="GV29" t="e">
        <f>AND('4to. Perito_B'!S11,"AAAAADpK38s=")</f>
        <v>#VALUE!</v>
      </c>
      <c r="GW29" t="e">
        <f>AND('4to. Perito_B'!T11,"AAAAADpK38w=")</f>
        <v>#VALUE!</v>
      </c>
      <c r="GX29" t="e">
        <f>AND('4to. Perito_B'!#REF!,"AAAAADpK380=")</f>
        <v>#REF!</v>
      </c>
      <c r="GY29" t="e">
        <f>AND('4to. Perito_B'!#REF!,"AAAAADpK384=")</f>
        <v>#REF!</v>
      </c>
      <c r="GZ29" t="e">
        <f>AND('4to. Perito_B'!#REF!,"AAAAADpK388=")</f>
        <v>#REF!</v>
      </c>
      <c r="HA29" t="e">
        <f>AND('4to. Perito_B'!#REF!,"AAAAADpK39A=")</f>
        <v>#REF!</v>
      </c>
      <c r="HB29" t="e">
        <f>AND('4to. Perito_B'!#REF!,"AAAAADpK39E=")</f>
        <v>#REF!</v>
      </c>
      <c r="HC29">
        <f>IF('4to. Perito_B'!12:12,"AAAAADpK39I=",0)</f>
        <v>0</v>
      </c>
      <c r="HD29" t="e">
        <f>AND('4to. Perito_B'!A12,"AAAAADpK39M=")</f>
        <v>#VALUE!</v>
      </c>
      <c r="HE29" t="e">
        <f>AND('4to. Perito_B'!B12,"AAAAADpK39Q=")</f>
        <v>#VALUE!</v>
      </c>
      <c r="HF29" t="e">
        <f>AND('4to. Perito_B'!C12,"AAAAADpK39U=")</f>
        <v>#VALUE!</v>
      </c>
      <c r="HG29" t="e">
        <f>AND('4to. Perito_B'!D12,"AAAAADpK39Y=")</f>
        <v>#VALUE!</v>
      </c>
      <c r="HH29" t="e">
        <f>AND('4to. Perito_B'!E12,"AAAAADpK39c=")</f>
        <v>#VALUE!</v>
      </c>
      <c r="HI29" t="e">
        <f>AND('4to. Perito_B'!F12,"AAAAADpK39g=")</f>
        <v>#VALUE!</v>
      </c>
      <c r="HJ29" t="e">
        <f>AND('4to. Perito_B'!G12,"AAAAADpK39k=")</f>
        <v>#VALUE!</v>
      </c>
      <c r="HK29" t="e">
        <f>AND('4to. Perito_B'!H12,"AAAAADpK39o=")</f>
        <v>#VALUE!</v>
      </c>
      <c r="HL29" t="e">
        <f>AND('4to. Perito_B'!I12,"AAAAADpK39s=")</f>
        <v>#VALUE!</v>
      </c>
      <c r="HM29" t="e">
        <f>AND('4to. Perito_B'!J12,"AAAAADpK39w=")</f>
        <v>#VALUE!</v>
      </c>
      <c r="HN29" t="e">
        <f>AND('4to. Perito_B'!K12,"AAAAADpK390=")</f>
        <v>#VALUE!</v>
      </c>
      <c r="HO29" t="e">
        <f>AND('4to. Perito_B'!L12,"AAAAADpK394=")</f>
        <v>#VALUE!</v>
      </c>
      <c r="HP29" t="e">
        <f>AND('4to. Perito_B'!M12,"AAAAADpK398=")</f>
        <v>#VALUE!</v>
      </c>
      <c r="HQ29" t="e">
        <f>AND('4to. Perito_B'!N12,"AAAAADpK3+A=")</f>
        <v>#VALUE!</v>
      </c>
      <c r="HR29" t="e">
        <f>AND('4to. Perito_B'!O12,"AAAAADpK3+E=")</f>
        <v>#VALUE!</v>
      </c>
      <c r="HS29" t="e">
        <f>AND('4to. Perito_B'!P12,"AAAAADpK3+I=")</f>
        <v>#VALUE!</v>
      </c>
      <c r="HT29" t="e">
        <f>AND('4to. Perito_B'!Q12,"AAAAADpK3+M=")</f>
        <v>#VALUE!</v>
      </c>
      <c r="HU29" t="e">
        <f>AND('4to. Perito_B'!R12,"AAAAADpK3+Q=")</f>
        <v>#VALUE!</v>
      </c>
      <c r="HV29" t="e">
        <f>AND('4to. Perito_B'!S12,"AAAAADpK3+U=")</f>
        <v>#VALUE!</v>
      </c>
      <c r="HW29" t="e">
        <f>AND('4to. Perito_B'!T12,"AAAAADpK3+Y=")</f>
        <v>#VALUE!</v>
      </c>
      <c r="HX29" t="e">
        <f>AND('4to. Perito_B'!#REF!,"AAAAADpK3+c=")</f>
        <v>#REF!</v>
      </c>
      <c r="HY29" t="e">
        <f>AND('4to. Perito_B'!#REF!,"AAAAADpK3+g=")</f>
        <v>#REF!</v>
      </c>
      <c r="HZ29" t="e">
        <f>AND('4to. Perito_B'!#REF!,"AAAAADpK3+k=")</f>
        <v>#REF!</v>
      </c>
      <c r="IA29" t="e">
        <f>AND('4to. Perito_B'!#REF!,"AAAAADpK3+o=")</f>
        <v>#REF!</v>
      </c>
      <c r="IB29" t="e">
        <f>AND('4to. Perito_B'!#REF!,"AAAAADpK3+s=")</f>
        <v>#REF!</v>
      </c>
      <c r="IC29">
        <f>IF('4to. Perito_B'!13:13,"AAAAADpK3+w=",0)</f>
        <v>0</v>
      </c>
      <c r="ID29" t="e">
        <f>AND('4to. Perito_B'!A13,"AAAAADpK3+0=")</f>
        <v>#VALUE!</v>
      </c>
      <c r="IE29" t="e">
        <f>AND('4to. Perito_B'!B13,"AAAAADpK3+4=")</f>
        <v>#VALUE!</v>
      </c>
      <c r="IF29" t="e">
        <f>AND('4to. Perito_B'!C13,"AAAAADpK3+8=")</f>
        <v>#VALUE!</v>
      </c>
      <c r="IG29" t="e">
        <f>AND('4to. Perito_B'!D13,"AAAAADpK3/A=")</f>
        <v>#VALUE!</v>
      </c>
      <c r="IH29" t="e">
        <f>AND('4to. Perito_B'!E13,"AAAAADpK3/E=")</f>
        <v>#VALUE!</v>
      </c>
      <c r="II29" t="e">
        <f>AND('4to. Perito_B'!F13,"AAAAADpK3/I=")</f>
        <v>#VALUE!</v>
      </c>
      <c r="IJ29" t="e">
        <f>AND('4to. Perito_B'!G13,"AAAAADpK3/M=")</f>
        <v>#VALUE!</v>
      </c>
      <c r="IK29" t="e">
        <f>AND('4to. Perito_B'!H13,"AAAAADpK3/Q=")</f>
        <v>#VALUE!</v>
      </c>
      <c r="IL29" t="e">
        <f>AND('4to. Perito_B'!I13,"AAAAADpK3/U=")</f>
        <v>#VALUE!</v>
      </c>
      <c r="IM29" t="e">
        <f>AND('4to. Perito_B'!J13,"AAAAADpK3/Y=")</f>
        <v>#VALUE!</v>
      </c>
      <c r="IN29" t="e">
        <f>AND('4to. Perito_B'!K13,"AAAAADpK3/c=")</f>
        <v>#VALUE!</v>
      </c>
      <c r="IO29" t="e">
        <f>AND('4to. Perito_B'!L13,"AAAAADpK3/g=")</f>
        <v>#VALUE!</v>
      </c>
      <c r="IP29" t="e">
        <f>AND('4to. Perito_B'!M13,"AAAAADpK3/k=")</f>
        <v>#VALUE!</v>
      </c>
      <c r="IQ29" t="e">
        <f>AND('4to. Perito_B'!N13,"AAAAADpK3/o=")</f>
        <v>#VALUE!</v>
      </c>
      <c r="IR29" t="e">
        <f>AND('4to. Perito_B'!O13,"AAAAADpK3/s=")</f>
        <v>#VALUE!</v>
      </c>
      <c r="IS29" t="e">
        <f>AND('4to. Perito_B'!P13,"AAAAADpK3/w=")</f>
        <v>#VALUE!</v>
      </c>
      <c r="IT29" t="e">
        <f>AND('4to. Perito_B'!Q13,"AAAAADpK3/0=")</f>
        <v>#VALUE!</v>
      </c>
      <c r="IU29" t="e">
        <f>AND('4to. Perito_B'!R13,"AAAAADpK3/4=")</f>
        <v>#VALUE!</v>
      </c>
      <c r="IV29" t="e">
        <f>AND('4to. Perito_B'!S13,"AAAAADpK3/8=")</f>
        <v>#VALUE!</v>
      </c>
    </row>
    <row r="30" spans="1:256">
      <c r="A30" t="e">
        <f>AND('4to. Perito_B'!T13,"AAAAAH/LuAA=")</f>
        <v>#VALUE!</v>
      </c>
      <c r="B30" t="e">
        <f>AND('4to. Perito_B'!#REF!,"AAAAAH/LuAE=")</f>
        <v>#REF!</v>
      </c>
      <c r="C30" t="e">
        <f>AND('4to. Perito_B'!#REF!,"AAAAAH/LuAI=")</f>
        <v>#REF!</v>
      </c>
      <c r="D30" t="e">
        <f>AND('4to. Perito_B'!#REF!,"AAAAAH/LuAM=")</f>
        <v>#REF!</v>
      </c>
      <c r="E30" t="e">
        <f>AND('4to. Perito_B'!#REF!,"AAAAAH/LuAQ=")</f>
        <v>#REF!</v>
      </c>
      <c r="F30" t="e">
        <f>AND('4to. Perito_B'!#REF!,"AAAAAH/LuAU=")</f>
        <v>#REF!</v>
      </c>
      <c r="G30">
        <f>IF('4to. Perito_B'!14:14,"AAAAAH/LuAY=",0)</f>
        <v>0</v>
      </c>
      <c r="H30" t="e">
        <f>AND('4to. Perito_B'!A14,"AAAAAH/LuAc=")</f>
        <v>#VALUE!</v>
      </c>
      <c r="I30" t="e">
        <f>AND('4to. Perito_B'!B14,"AAAAAH/LuAg=")</f>
        <v>#VALUE!</v>
      </c>
      <c r="J30" t="e">
        <f>AND('4to. Perito_B'!C14,"AAAAAH/LuAk=")</f>
        <v>#VALUE!</v>
      </c>
      <c r="K30" t="e">
        <f>AND('4to. Perito_B'!D14,"AAAAAH/LuAo=")</f>
        <v>#VALUE!</v>
      </c>
      <c r="L30" t="e">
        <f>AND('4to. Perito_B'!E14,"AAAAAH/LuAs=")</f>
        <v>#VALUE!</v>
      </c>
      <c r="M30" t="e">
        <f>AND('4to. Perito_B'!F14,"AAAAAH/LuAw=")</f>
        <v>#VALUE!</v>
      </c>
      <c r="N30" t="e">
        <f>AND('4to. Perito_B'!G14,"AAAAAH/LuA0=")</f>
        <v>#VALUE!</v>
      </c>
      <c r="O30" t="e">
        <f>AND('4to. Perito_B'!H14,"AAAAAH/LuA4=")</f>
        <v>#VALUE!</v>
      </c>
      <c r="P30" t="e">
        <f>AND('4to. Perito_B'!I14,"AAAAAH/LuA8=")</f>
        <v>#VALUE!</v>
      </c>
      <c r="Q30" t="e">
        <f>AND('4to. Perito_B'!J14,"AAAAAH/LuBA=")</f>
        <v>#VALUE!</v>
      </c>
      <c r="R30" t="e">
        <f>AND('4to. Perito_B'!K14,"AAAAAH/LuBE=")</f>
        <v>#VALUE!</v>
      </c>
      <c r="S30" t="e">
        <f>AND('4to. Perito_B'!L14,"AAAAAH/LuBI=")</f>
        <v>#VALUE!</v>
      </c>
      <c r="T30" t="e">
        <f>AND('4to. Perito_B'!M14,"AAAAAH/LuBM=")</f>
        <v>#VALUE!</v>
      </c>
      <c r="U30" t="e">
        <f>AND('4to. Perito_B'!N14,"AAAAAH/LuBQ=")</f>
        <v>#VALUE!</v>
      </c>
      <c r="V30" t="e">
        <f>AND('4to. Perito_B'!O14,"AAAAAH/LuBU=")</f>
        <v>#VALUE!</v>
      </c>
      <c r="W30" t="e">
        <f>AND('4to. Perito_B'!P14,"AAAAAH/LuBY=")</f>
        <v>#VALUE!</v>
      </c>
      <c r="X30" t="e">
        <f>AND('4to. Perito_B'!Q14,"AAAAAH/LuBc=")</f>
        <v>#VALUE!</v>
      </c>
      <c r="Y30" t="e">
        <f>AND('4to. Perito_B'!R14,"AAAAAH/LuBg=")</f>
        <v>#VALUE!</v>
      </c>
      <c r="Z30" t="e">
        <f>AND('4to. Perito_B'!S14,"AAAAAH/LuBk=")</f>
        <v>#VALUE!</v>
      </c>
      <c r="AA30" t="e">
        <f>AND('4to. Perito_B'!T14,"AAAAAH/LuBo=")</f>
        <v>#VALUE!</v>
      </c>
      <c r="AB30" t="e">
        <f>AND('4to. Perito_B'!#REF!,"AAAAAH/LuBs=")</f>
        <v>#REF!</v>
      </c>
      <c r="AC30" t="e">
        <f>AND('4to. Perito_B'!#REF!,"AAAAAH/LuBw=")</f>
        <v>#REF!</v>
      </c>
      <c r="AD30" t="e">
        <f>AND('4to. Perito_B'!#REF!,"AAAAAH/LuB0=")</f>
        <v>#REF!</v>
      </c>
      <c r="AE30" t="e">
        <f>AND('4to. Perito_B'!#REF!,"AAAAAH/LuB4=")</f>
        <v>#REF!</v>
      </c>
      <c r="AF30" t="e">
        <f>AND('4to. Perito_B'!#REF!,"AAAAAH/LuB8=")</f>
        <v>#REF!</v>
      </c>
      <c r="AG30">
        <f>IF('4to. Perito_B'!15:15,"AAAAAH/LuCA=",0)</f>
        <v>0</v>
      </c>
      <c r="AH30" t="e">
        <f>AND('4to. Perito_B'!A15,"AAAAAH/LuCE=")</f>
        <v>#VALUE!</v>
      </c>
      <c r="AI30" t="e">
        <f>AND('4to. Perito_B'!B15,"AAAAAH/LuCI=")</f>
        <v>#VALUE!</v>
      </c>
      <c r="AJ30" t="e">
        <f>AND('4to. Perito_B'!C15,"AAAAAH/LuCM=")</f>
        <v>#VALUE!</v>
      </c>
      <c r="AK30" t="e">
        <f>AND('4to. Perito_B'!D15,"AAAAAH/LuCQ=")</f>
        <v>#VALUE!</v>
      </c>
      <c r="AL30" t="e">
        <f>AND('4to. Perito_B'!E15,"AAAAAH/LuCU=")</f>
        <v>#VALUE!</v>
      </c>
      <c r="AM30" t="e">
        <f>AND('4to. Perito_B'!F15,"AAAAAH/LuCY=")</f>
        <v>#VALUE!</v>
      </c>
      <c r="AN30" t="e">
        <f>AND('4to. Perito_B'!G15,"AAAAAH/LuCc=")</f>
        <v>#VALUE!</v>
      </c>
      <c r="AO30" t="e">
        <f>AND('4to. Perito_B'!H15,"AAAAAH/LuCg=")</f>
        <v>#VALUE!</v>
      </c>
      <c r="AP30" t="e">
        <f>AND('4to. Perito_B'!I15,"AAAAAH/LuCk=")</f>
        <v>#VALUE!</v>
      </c>
      <c r="AQ30" t="e">
        <f>AND('4to. Perito_B'!J15,"AAAAAH/LuCo=")</f>
        <v>#VALUE!</v>
      </c>
      <c r="AR30" t="e">
        <f>AND('4to. Perito_B'!K15,"AAAAAH/LuCs=")</f>
        <v>#VALUE!</v>
      </c>
      <c r="AS30" t="e">
        <f>AND('4to. Perito_B'!L15,"AAAAAH/LuCw=")</f>
        <v>#VALUE!</v>
      </c>
      <c r="AT30" t="e">
        <f>AND('4to. Perito_B'!M15,"AAAAAH/LuC0=")</f>
        <v>#VALUE!</v>
      </c>
      <c r="AU30" t="e">
        <f>AND('4to. Perito_B'!N15,"AAAAAH/LuC4=")</f>
        <v>#VALUE!</v>
      </c>
      <c r="AV30" t="e">
        <f>AND('4to. Perito_B'!O15,"AAAAAH/LuC8=")</f>
        <v>#VALUE!</v>
      </c>
      <c r="AW30" t="e">
        <f>AND('4to. Perito_B'!P15,"AAAAAH/LuDA=")</f>
        <v>#VALUE!</v>
      </c>
      <c r="AX30" t="e">
        <f>AND('4to. Perito_B'!Q15,"AAAAAH/LuDE=")</f>
        <v>#VALUE!</v>
      </c>
      <c r="AY30" t="e">
        <f>AND('4to. Perito_B'!R15,"AAAAAH/LuDI=")</f>
        <v>#VALUE!</v>
      </c>
      <c r="AZ30" t="e">
        <f>AND('4to. Perito_B'!S15,"AAAAAH/LuDM=")</f>
        <v>#VALUE!</v>
      </c>
      <c r="BA30" t="e">
        <f>AND('4to. Perito_B'!T15,"AAAAAH/LuDQ=")</f>
        <v>#VALUE!</v>
      </c>
      <c r="BB30" t="e">
        <f>AND('4to. Perito_B'!#REF!,"AAAAAH/LuDU=")</f>
        <v>#REF!</v>
      </c>
      <c r="BC30" t="e">
        <f>AND('4to. Perito_B'!#REF!,"AAAAAH/LuDY=")</f>
        <v>#REF!</v>
      </c>
      <c r="BD30" t="e">
        <f>AND('4to. Perito_B'!#REF!,"AAAAAH/LuDc=")</f>
        <v>#REF!</v>
      </c>
      <c r="BE30" t="e">
        <f>AND('4to. Perito_B'!#REF!,"AAAAAH/LuDg=")</f>
        <v>#REF!</v>
      </c>
      <c r="BF30" t="e">
        <f>AND('4to. Perito_B'!#REF!,"AAAAAH/LuDk=")</f>
        <v>#REF!</v>
      </c>
      <c r="BG30">
        <f>IF('4to. Perito_B'!16:16,"AAAAAH/LuDo=",0)</f>
        <v>0</v>
      </c>
      <c r="BH30" t="e">
        <f>AND('4to. Perito_B'!A16,"AAAAAH/LuDs=")</f>
        <v>#VALUE!</v>
      </c>
      <c r="BI30" t="e">
        <f>AND('4to. Perito_B'!B16,"AAAAAH/LuDw=")</f>
        <v>#VALUE!</v>
      </c>
      <c r="BJ30" t="e">
        <f>AND('4to. Perito_B'!C16,"AAAAAH/LuD0=")</f>
        <v>#VALUE!</v>
      </c>
      <c r="BK30" t="e">
        <f>AND('4to. Perito_B'!D16,"AAAAAH/LuD4=")</f>
        <v>#VALUE!</v>
      </c>
      <c r="BL30" t="e">
        <f>AND('4to. Perito_B'!E16,"AAAAAH/LuD8=")</f>
        <v>#VALUE!</v>
      </c>
      <c r="BM30" t="e">
        <f>AND('4to. Perito_B'!F16,"AAAAAH/LuEA=")</f>
        <v>#VALUE!</v>
      </c>
      <c r="BN30" t="e">
        <f>AND('4to. Perito_B'!G16,"AAAAAH/LuEE=")</f>
        <v>#VALUE!</v>
      </c>
      <c r="BO30" t="e">
        <f>AND('4to. Perito_B'!H16,"AAAAAH/LuEI=")</f>
        <v>#VALUE!</v>
      </c>
      <c r="BP30" t="e">
        <f>AND('4to. Perito_B'!I16,"AAAAAH/LuEM=")</f>
        <v>#VALUE!</v>
      </c>
      <c r="BQ30" t="e">
        <f>AND('4to. Perito_B'!J16,"AAAAAH/LuEQ=")</f>
        <v>#VALUE!</v>
      </c>
      <c r="BR30" t="e">
        <f>AND('4to. Perito_B'!K16,"AAAAAH/LuEU=")</f>
        <v>#VALUE!</v>
      </c>
      <c r="BS30" t="e">
        <f>AND('4to. Perito_B'!L16,"AAAAAH/LuEY=")</f>
        <v>#VALUE!</v>
      </c>
      <c r="BT30" t="e">
        <f>AND('4to. Perito_B'!M16,"AAAAAH/LuEc=")</f>
        <v>#VALUE!</v>
      </c>
      <c r="BU30" t="e">
        <f>AND('4to. Perito_B'!N16,"AAAAAH/LuEg=")</f>
        <v>#VALUE!</v>
      </c>
      <c r="BV30" t="e">
        <f>AND('4to. Perito_B'!O16,"AAAAAH/LuEk=")</f>
        <v>#VALUE!</v>
      </c>
      <c r="BW30" t="e">
        <f>AND('4to. Perito_B'!P16,"AAAAAH/LuEo=")</f>
        <v>#VALUE!</v>
      </c>
      <c r="BX30" t="e">
        <f>AND('4to. Perito_B'!Q16,"AAAAAH/LuEs=")</f>
        <v>#VALUE!</v>
      </c>
      <c r="BY30" t="e">
        <f>AND('4to. Perito_B'!R16,"AAAAAH/LuEw=")</f>
        <v>#VALUE!</v>
      </c>
      <c r="BZ30" t="e">
        <f>AND('4to. Perito_B'!S16,"AAAAAH/LuE0=")</f>
        <v>#VALUE!</v>
      </c>
      <c r="CA30" t="e">
        <f>AND('4to. Perito_B'!T16,"AAAAAH/LuE4=")</f>
        <v>#VALUE!</v>
      </c>
      <c r="CB30" t="e">
        <f>AND('4to. Perito_B'!#REF!,"AAAAAH/LuE8=")</f>
        <v>#REF!</v>
      </c>
      <c r="CC30" t="e">
        <f>AND('4to. Perito_B'!#REF!,"AAAAAH/LuFA=")</f>
        <v>#REF!</v>
      </c>
      <c r="CD30" t="e">
        <f>AND('4to. Perito_B'!#REF!,"AAAAAH/LuFE=")</f>
        <v>#REF!</v>
      </c>
      <c r="CE30" t="e">
        <f>AND('4to. Perito_B'!#REF!,"AAAAAH/LuFI=")</f>
        <v>#REF!</v>
      </c>
      <c r="CF30" t="e">
        <f>AND('4to. Perito_B'!#REF!,"AAAAAH/LuFM=")</f>
        <v>#REF!</v>
      </c>
      <c r="CG30">
        <f>IF('4to. Perito_B'!17:17,"AAAAAH/LuFQ=",0)</f>
        <v>0</v>
      </c>
      <c r="CH30" t="e">
        <f>AND('4to. Perito_B'!A17,"AAAAAH/LuFU=")</f>
        <v>#VALUE!</v>
      </c>
      <c r="CI30" t="e">
        <f>AND('4to. Perito_B'!B17,"AAAAAH/LuFY=")</f>
        <v>#VALUE!</v>
      </c>
      <c r="CJ30" t="e">
        <f>AND('4to. Perito_B'!C17,"AAAAAH/LuFc=")</f>
        <v>#VALUE!</v>
      </c>
      <c r="CK30" t="e">
        <f>AND('4to. Perito_B'!D17,"AAAAAH/LuFg=")</f>
        <v>#VALUE!</v>
      </c>
      <c r="CL30" t="e">
        <f>AND('4to. Perito_B'!E17,"AAAAAH/LuFk=")</f>
        <v>#VALUE!</v>
      </c>
      <c r="CM30" t="e">
        <f>AND('4to. Perito_B'!F17,"AAAAAH/LuFo=")</f>
        <v>#VALUE!</v>
      </c>
      <c r="CN30" t="e">
        <f>AND('4to. Perito_B'!G17,"AAAAAH/LuFs=")</f>
        <v>#VALUE!</v>
      </c>
      <c r="CO30" t="e">
        <f>AND('4to. Perito_B'!H17,"AAAAAH/LuFw=")</f>
        <v>#VALUE!</v>
      </c>
      <c r="CP30" t="e">
        <f>AND('4to. Perito_B'!I17,"AAAAAH/LuF0=")</f>
        <v>#VALUE!</v>
      </c>
      <c r="CQ30" t="e">
        <f>AND('4to. Perito_B'!J17,"AAAAAH/LuF4=")</f>
        <v>#VALUE!</v>
      </c>
      <c r="CR30" t="e">
        <f>AND('4to. Perito_B'!K17,"AAAAAH/LuF8=")</f>
        <v>#VALUE!</v>
      </c>
      <c r="CS30" t="e">
        <f>AND('4to. Perito_B'!L17,"AAAAAH/LuGA=")</f>
        <v>#VALUE!</v>
      </c>
      <c r="CT30" t="e">
        <f>AND('4to. Perito_B'!M17,"AAAAAH/LuGE=")</f>
        <v>#VALUE!</v>
      </c>
      <c r="CU30" t="e">
        <f>AND('4to. Perito_B'!N17,"AAAAAH/LuGI=")</f>
        <v>#VALUE!</v>
      </c>
      <c r="CV30" t="e">
        <f>AND('4to. Perito_B'!O17,"AAAAAH/LuGM=")</f>
        <v>#VALUE!</v>
      </c>
      <c r="CW30" t="e">
        <f>AND('4to. Perito_B'!P17,"AAAAAH/LuGQ=")</f>
        <v>#VALUE!</v>
      </c>
      <c r="CX30" t="e">
        <f>AND('4to. Perito_B'!Q17,"AAAAAH/LuGU=")</f>
        <v>#VALUE!</v>
      </c>
      <c r="CY30" t="e">
        <f>AND('4to. Perito_B'!R17,"AAAAAH/LuGY=")</f>
        <v>#VALUE!</v>
      </c>
      <c r="CZ30" t="e">
        <f>AND('4to. Perito_B'!S17,"AAAAAH/LuGc=")</f>
        <v>#VALUE!</v>
      </c>
      <c r="DA30" t="e">
        <f>AND('4to. Perito_B'!T17,"AAAAAH/LuGg=")</f>
        <v>#VALUE!</v>
      </c>
      <c r="DB30" t="e">
        <f>AND('4to. Perito_B'!#REF!,"AAAAAH/LuGk=")</f>
        <v>#REF!</v>
      </c>
      <c r="DC30" t="e">
        <f>AND('4to. Perito_B'!#REF!,"AAAAAH/LuGo=")</f>
        <v>#REF!</v>
      </c>
      <c r="DD30" t="e">
        <f>AND('4to. Perito_B'!#REF!,"AAAAAH/LuGs=")</f>
        <v>#REF!</v>
      </c>
      <c r="DE30" t="e">
        <f>AND('4to. Perito_B'!#REF!,"AAAAAH/LuGw=")</f>
        <v>#REF!</v>
      </c>
      <c r="DF30" t="e">
        <f>AND('4to. Perito_B'!#REF!,"AAAAAH/LuG0=")</f>
        <v>#REF!</v>
      </c>
      <c r="DG30">
        <f>IF('4to. Perito_B'!18:18,"AAAAAH/LuG4=",0)</f>
        <v>0</v>
      </c>
      <c r="DH30" t="e">
        <f>AND('4to. Perito_B'!A18,"AAAAAH/LuG8=")</f>
        <v>#VALUE!</v>
      </c>
      <c r="DI30" t="e">
        <f>AND('4to. Perito_B'!B18,"AAAAAH/LuHA=")</f>
        <v>#VALUE!</v>
      </c>
      <c r="DJ30" t="e">
        <f>AND('4to. Perito_B'!C18,"AAAAAH/LuHE=")</f>
        <v>#VALUE!</v>
      </c>
      <c r="DK30" t="e">
        <f>AND('4to. Perito_B'!D18,"AAAAAH/LuHI=")</f>
        <v>#VALUE!</v>
      </c>
      <c r="DL30" t="e">
        <f>AND('4to. Perito_B'!E18,"AAAAAH/LuHM=")</f>
        <v>#VALUE!</v>
      </c>
      <c r="DM30" t="e">
        <f>AND('4to. Perito_B'!F18,"AAAAAH/LuHQ=")</f>
        <v>#VALUE!</v>
      </c>
      <c r="DN30" t="e">
        <f>AND('4to. Perito_B'!G18,"AAAAAH/LuHU=")</f>
        <v>#VALUE!</v>
      </c>
      <c r="DO30" t="e">
        <f>AND('4to. Perito_B'!H18,"AAAAAH/LuHY=")</f>
        <v>#VALUE!</v>
      </c>
      <c r="DP30" t="e">
        <f>AND('4to. Perito_B'!I18,"AAAAAH/LuHc=")</f>
        <v>#VALUE!</v>
      </c>
      <c r="DQ30" t="e">
        <f>AND('4to. Perito_B'!J18,"AAAAAH/LuHg=")</f>
        <v>#VALUE!</v>
      </c>
      <c r="DR30" t="e">
        <f>AND('4to. Perito_B'!K18,"AAAAAH/LuHk=")</f>
        <v>#VALUE!</v>
      </c>
      <c r="DS30" t="e">
        <f>AND('4to. Perito_B'!L18,"AAAAAH/LuHo=")</f>
        <v>#VALUE!</v>
      </c>
      <c r="DT30" t="e">
        <f>AND('4to. Perito_B'!M18,"AAAAAH/LuHs=")</f>
        <v>#VALUE!</v>
      </c>
      <c r="DU30" t="e">
        <f>AND('4to. Perito_B'!N18,"AAAAAH/LuHw=")</f>
        <v>#VALUE!</v>
      </c>
      <c r="DV30" t="e">
        <f>AND('4to. Perito_B'!O18,"AAAAAH/LuH0=")</f>
        <v>#VALUE!</v>
      </c>
      <c r="DW30" t="e">
        <f>AND('4to. Perito_B'!P18,"AAAAAH/LuH4=")</f>
        <v>#VALUE!</v>
      </c>
      <c r="DX30" t="e">
        <f>AND('4to. Perito_B'!Q18,"AAAAAH/LuH8=")</f>
        <v>#VALUE!</v>
      </c>
      <c r="DY30" t="e">
        <f>AND('4to. Perito_B'!R18,"AAAAAH/LuIA=")</f>
        <v>#VALUE!</v>
      </c>
      <c r="DZ30" t="e">
        <f>AND('4to. Perito_B'!S18,"AAAAAH/LuIE=")</f>
        <v>#VALUE!</v>
      </c>
      <c r="EA30" t="e">
        <f>AND('4to. Perito_B'!T18,"AAAAAH/LuII=")</f>
        <v>#VALUE!</v>
      </c>
      <c r="EB30" t="e">
        <f>AND('4to. Perito_B'!#REF!,"AAAAAH/LuIM=")</f>
        <v>#REF!</v>
      </c>
      <c r="EC30" t="e">
        <f>AND('4to. Perito_B'!#REF!,"AAAAAH/LuIQ=")</f>
        <v>#REF!</v>
      </c>
      <c r="ED30" t="e">
        <f>AND('4to. Perito_B'!#REF!,"AAAAAH/LuIU=")</f>
        <v>#REF!</v>
      </c>
      <c r="EE30" t="e">
        <f>AND('4to. Perito_B'!#REF!,"AAAAAH/LuIY=")</f>
        <v>#REF!</v>
      </c>
      <c r="EF30" t="e">
        <f>AND('4to. Perito_B'!#REF!,"AAAAAH/LuIc=")</f>
        <v>#REF!</v>
      </c>
      <c r="EG30">
        <f>IF('4to. Perito_B'!19:19,"AAAAAH/LuIg=",0)</f>
        <v>0</v>
      </c>
      <c r="EH30" t="e">
        <f>AND('4to. Perito_B'!A19,"AAAAAH/LuIk=")</f>
        <v>#VALUE!</v>
      </c>
      <c r="EI30" t="e">
        <f>AND('4to. Perito_B'!B19,"AAAAAH/LuIo=")</f>
        <v>#VALUE!</v>
      </c>
      <c r="EJ30" t="e">
        <f>AND('4to. Perito_B'!C19,"AAAAAH/LuIs=")</f>
        <v>#VALUE!</v>
      </c>
      <c r="EK30" t="e">
        <f>AND('4to. Perito_B'!D19,"AAAAAH/LuIw=")</f>
        <v>#VALUE!</v>
      </c>
      <c r="EL30" t="e">
        <f>AND('4to. Perito_B'!E19,"AAAAAH/LuI0=")</f>
        <v>#VALUE!</v>
      </c>
      <c r="EM30" t="e">
        <f>AND('4to. Perito_B'!F19,"AAAAAH/LuI4=")</f>
        <v>#VALUE!</v>
      </c>
      <c r="EN30" t="e">
        <f>AND('4to. Perito_B'!G19,"AAAAAH/LuI8=")</f>
        <v>#VALUE!</v>
      </c>
      <c r="EO30" t="e">
        <f>AND('4to. Perito_B'!H19,"AAAAAH/LuJA=")</f>
        <v>#VALUE!</v>
      </c>
      <c r="EP30" t="e">
        <f>AND('4to. Perito_B'!I19,"AAAAAH/LuJE=")</f>
        <v>#VALUE!</v>
      </c>
      <c r="EQ30" t="e">
        <f>AND('4to. Perito_B'!J19,"AAAAAH/LuJI=")</f>
        <v>#VALUE!</v>
      </c>
      <c r="ER30" t="e">
        <f>AND('4to. Perito_B'!K19,"AAAAAH/LuJM=")</f>
        <v>#VALUE!</v>
      </c>
      <c r="ES30" t="e">
        <f>AND('4to. Perito_B'!L19,"AAAAAH/LuJQ=")</f>
        <v>#VALUE!</v>
      </c>
      <c r="ET30" t="e">
        <f>AND('4to. Perito_B'!M19,"AAAAAH/LuJU=")</f>
        <v>#VALUE!</v>
      </c>
      <c r="EU30" t="e">
        <f>AND('4to. Perito_B'!N19,"AAAAAH/LuJY=")</f>
        <v>#VALUE!</v>
      </c>
      <c r="EV30" t="e">
        <f>AND('4to. Perito_B'!O19,"AAAAAH/LuJc=")</f>
        <v>#VALUE!</v>
      </c>
      <c r="EW30" t="e">
        <f>AND('4to. Perito_B'!P19,"AAAAAH/LuJg=")</f>
        <v>#VALUE!</v>
      </c>
      <c r="EX30" t="e">
        <f>AND('4to. Perito_B'!Q19,"AAAAAH/LuJk=")</f>
        <v>#VALUE!</v>
      </c>
      <c r="EY30" t="e">
        <f>AND('4to. Perito_B'!R19,"AAAAAH/LuJo=")</f>
        <v>#VALUE!</v>
      </c>
      <c r="EZ30" t="e">
        <f>AND('4to. Perito_B'!S19,"AAAAAH/LuJs=")</f>
        <v>#VALUE!</v>
      </c>
      <c r="FA30" t="e">
        <f>AND('4to. Perito_B'!T19,"AAAAAH/LuJw=")</f>
        <v>#VALUE!</v>
      </c>
      <c r="FB30" t="e">
        <f>AND('4to. Perito_B'!#REF!,"AAAAAH/LuJ0=")</f>
        <v>#REF!</v>
      </c>
      <c r="FC30" t="e">
        <f>AND('4to. Perito_B'!#REF!,"AAAAAH/LuJ4=")</f>
        <v>#REF!</v>
      </c>
      <c r="FD30" t="e">
        <f>AND('4to. Perito_B'!#REF!,"AAAAAH/LuJ8=")</f>
        <v>#REF!</v>
      </c>
      <c r="FE30" t="e">
        <f>AND('4to. Perito_B'!#REF!,"AAAAAH/LuKA=")</f>
        <v>#REF!</v>
      </c>
      <c r="FF30" t="e">
        <f>AND('4to. Perito_B'!#REF!,"AAAAAH/LuKE=")</f>
        <v>#REF!</v>
      </c>
      <c r="FG30">
        <f>IF('4to. Perito_B'!20:20,"AAAAAH/LuKI=",0)</f>
        <v>0</v>
      </c>
      <c r="FH30" t="e">
        <f>AND('4to. Perito_B'!A20,"AAAAAH/LuKM=")</f>
        <v>#VALUE!</v>
      </c>
      <c r="FI30" t="e">
        <f>AND('4to. Perito_B'!B20,"AAAAAH/LuKQ=")</f>
        <v>#VALUE!</v>
      </c>
      <c r="FJ30" t="e">
        <f>AND('4to. Perito_B'!C20,"AAAAAH/LuKU=")</f>
        <v>#VALUE!</v>
      </c>
      <c r="FK30" t="e">
        <f>AND('4to. Perito_B'!D20,"AAAAAH/LuKY=")</f>
        <v>#VALUE!</v>
      </c>
      <c r="FL30" t="e">
        <f>AND('4to. Perito_B'!E20,"AAAAAH/LuKc=")</f>
        <v>#VALUE!</v>
      </c>
      <c r="FM30" t="e">
        <f>AND('4to. Perito_B'!F20,"AAAAAH/LuKg=")</f>
        <v>#VALUE!</v>
      </c>
      <c r="FN30" t="e">
        <f>AND('4to. Perito_B'!G20,"AAAAAH/LuKk=")</f>
        <v>#VALUE!</v>
      </c>
      <c r="FO30" t="e">
        <f>AND('4to. Perito_B'!H20,"AAAAAH/LuKo=")</f>
        <v>#VALUE!</v>
      </c>
      <c r="FP30" t="e">
        <f>AND('4to. Perito_B'!I20,"AAAAAH/LuKs=")</f>
        <v>#VALUE!</v>
      </c>
      <c r="FQ30" t="e">
        <f>AND('4to. Perito_B'!J20,"AAAAAH/LuKw=")</f>
        <v>#VALUE!</v>
      </c>
      <c r="FR30" t="e">
        <f>AND('4to. Perito_B'!K20,"AAAAAH/LuK0=")</f>
        <v>#VALUE!</v>
      </c>
      <c r="FS30" t="e">
        <f>AND('4to. Perito_B'!L20,"AAAAAH/LuK4=")</f>
        <v>#VALUE!</v>
      </c>
      <c r="FT30" t="e">
        <f>AND('4to. Perito_B'!M20,"AAAAAH/LuK8=")</f>
        <v>#VALUE!</v>
      </c>
      <c r="FU30" t="e">
        <f>AND('4to. Perito_B'!N20,"AAAAAH/LuLA=")</f>
        <v>#VALUE!</v>
      </c>
      <c r="FV30" t="e">
        <f>AND('4to. Perito_B'!O20,"AAAAAH/LuLE=")</f>
        <v>#VALUE!</v>
      </c>
      <c r="FW30" t="e">
        <f>AND('4to. Perito_B'!P20,"AAAAAH/LuLI=")</f>
        <v>#VALUE!</v>
      </c>
      <c r="FX30" t="e">
        <f>AND('4to. Perito_B'!Q20,"AAAAAH/LuLM=")</f>
        <v>#VALUE!</v>
      </c>
      <c r="FY30" t="e">
        <f>AND('4to. Perito_B'!R20,"AAAAAH/LuLQ=")</f>
        <v>#VALUE!</v>
      </c>
      <c r="FZ30" t="e">
        <f>AND('4to. Perito_B'!S20,"AAAAAH/LuLU=")</f>
        <v>#VALUE!</v>
      </c>
      <c r="GA30" t="e">
        <f>AND('4to. Perito_B'!T20,"AAAAAH/LuLY=")</f>
        <v>#VALUE!</v>
      </c>
      <c r="GB30" t="e">
        <f>AND('4to. Perito_B'!#REF!,"AAAAAH/LuLc=")</f>
        <v>#REF!</v>
      </c>
      <c r="GC30" t="e">
        <f>AND('4to. Perito_B'!#REF!,"AAAAAH/LuLg=")</f>
        <v>#REF!</v>
      </c>
      <c r="GD30" t="e">
        <f>AND('4to. Perito_B'!#REF!,"AAAAAH/LuLk=")</f>
        <v>#REF!</v>
      </c>
      <c r="GE30" t="e">
        <f>AND('4to. Perito_B'!#REF!,"AAAAAH/LuLo=")</f>
        <v>#REF!</v>
      </c>
      <c r="GF30" t="e">
        <f>AND('4to. Perito_B'!#REF!,"AAAAAH/LuLs=")</f>
        <v>#REF!</v>
      </c>
      <c r="GG30">
        <f>IF('4to. Perito_B'!21:21,"AAAAAH/LuLw=",0)</f>
        <v>0</v>
      </c>
      <c r="GH30" t="e">
        <f>AND('4to. Perito_B'!A21,"AAAAAH/LuL0=")</f>
        <v>#VALUE!</v>
      </c>
      <c r="GI30" t="e">
        <f>AND('4to. Perito_B'!B21,"AAAAAH/LuL4=")</f>
        <v>#VALUE!</v>
      </c>
      <c r="GJ30" t="e">
        <f>AND('4to. Perito_B'!C21,"AAAAAH/LuL8=")</f>
        <v>#VALUE!</v>
      </c>
      <c r="GK30" t="e">
        <f>AND('4to. Perito_B'!D21,"AAAAAH/LuMA=")</f>
        <v>#VALUE!</v>
      </c>
      <c r="GL30" t="e">
        <f>AND('4to. Perito_B'!E21,"AAAAAH/LuME=")</f>
        <v>#VALUE!</v>
      </c>
      <c r="GM30" t="e">
        <f>AND('4to. Perito_B'!F21,"AAAAAH/LuMI=")</f>
        <v>#VALUE!</v>
      </c>
      <c r="GN30" t="e">
        <f>AND('4to. Perito_B'!G21,"AAAAAH/LuMM=")</f>
        <v>#VALUE!</v>
      </c>
      <c r="GO30" t="e">
        <f>AND('4to. Perito_B'!H21,"AAAAAH/LuMQ=")</f>
        <v>#VALUE!</v>
      </c>
      <c r="GP30" t="e">
        <f>AND('4to. Perito_B'!I21,"AAAAAH/LuMU=")</f>
        <v>#VALUE!</v>
      </c>
      <c r="GQ30" t="e">
        <f>AND('4to. Perito_B'!J21,"AAAAAH/LuMY=")</f>
        <v>#VALUE!</v>
      </c>
      <c r="GR30" t="e">
        <f>AND('4to. Perito_B'!K21,"AAAAAH/LuMc=")</f>
        <v>#VALUE!</v>
      </c>
      <c r="GS30" t="e">
        <f>AND('4to. Perito_B'!L21,"AAAAAH/LuMg=")</f>
        <v>#VALUE!</v>
      </c>
      <c r="GT30" t="e">
        <f>AND('4to. Perito_B'!M21,"AAAAAH/LuMk=")</f>
        <v>#VALUE!</v>
      </c>
      <c r="GU30" t="e">
        <f>AND('4to. Perito_B'!N21,"AAAAAH/LuMo=")</f>
        <v>#VALUE!</v>
      </c>
      <c r="GV30" t="e">
        <f>AND('4to. Perito_B'!O21,"AAAAAH/LuMs=")</f>
        <v>#VALUE!</v>
      </c>
      <c r="GW30" t="e">
        <f>AND('4to. Perito_B'!P21,"AAAAAH/LuMw=")</f>
        <v>#VALUE!</v>
      </c>
      <c r="GX30" t="e">
        <f>AND('4to. Perito_B'!Q21,"AAAAAH/LuM0=")</f>
        <v>#VALUE!</v>
      </c>
      <c r="GY30" t="e">
        <f>AND('4to. Perito_B'!R21,"AAAAAH/LuM4=")</f>
        <v>#VALUE!</v>
      </c>
      <c r="GZ30" t="e">
        <f>AND('4to. Perito_B'!S21,"AAAAAH/LuM8=")</f>
        <v>#VALUE!</v>
      </c>
      <c r="HA30" t="e">
        <f>AND('4to. Perito_B'!T21,"AAAAAH/LuNA=")</f>
        <v>#VALUE!</v>
      </c>
      <c r="HB30" t="e">
        <f>AND('4to. Perito_B'!#REF!,"AAAAAH/LuNE=")</f>
        <v>#REF!</v>
      </c>
      <c r="HC30" t="e">
        <f>AND('4to. Perito_B'!#REF!,"AAAAAH/LuNI=")</f>
        <v>#REF!</v>
      </c>
      <c r="HD30" t="e">
        <f>AND('4to. Perito_B'!#REF!,"AAAAAH/LuNM=")</f>
        <v>#REF!</v>
      </c>
      <c r="HE30" t="e">
        <f>AND('4to. Perito_B'!#REF!,"AAAAAH/LuNQ=")</f>
        <v>#REF!</v>
      </c>
      <c r="HF30" t="e">
        <f>AND('4to. Perito_B'!#REF!,"AAAAAH/LuNU=")</f>
        <v>#REF!</v>
      </c>
      <c r="HG30">
        <f>IF('4to. Perito_B'!22:22,"AAAAAH/LuNY=",0)</f>
        <v>0</v>
      </c>
      <c r="HH30" t="e">
        <f>AND('4to. Perito_B'!A22,"AAAAAH/LuNc=")</f>
        <v>#VALUE!</v>
      </c>
      <c r="HI30" t="e">
        <f>AND('4to. Perito_B'!B22,"AAAAAH/LuNg=")</f>
        <v>#VALUE!</v>
      </c>
      <c r="HJ30" t="e">
        <f>AND('4to. Perito_B'!C22,"AAAAAH/LuNk=")</f>
        <v>#VALUE!</v>
      </c>
      <c r="HK30" t="e">
        <f>AND('4to. Perito_B'!D22,"AAAAAH/LuNo=")</f>
        <v>#VALUE!</v>
      </c>
      <c r="HL30" t="e">
        <f>AND('4to. Perito_B'!E22,"AAAAAH/LuNs=")</f>
        <v>#VALUE!</v>
      </c>
      <c r="HM30" t="e">
        <f>AND('4to. Perito_B'!F22,"AAAAAH/LuNw=")</f>
        <v>#VALUE!</v>
      </c>
      <c r="HN30" t="e">
        <f>AND('4to. Perito_B'!G22,"AAAAAH/LuN0=")</f>
        <v>#VALUE!</v>
      </c>
      <c r="HO30" t="e">
        <f>AND('4to. Perito_B'!H22,"AAAAAH/LuN4=")</f>
        <v>#VALUE!</v>
      </c>
      <c r="HP30" t="e">
        <f>AND('4to. Perito_B'!I22,"AAAAAH/LuN8=")</f>
        <v>#VALUE!</v>
      </c>
      <c r="HQ30" t="e">
        <f>AND('4to. Perito_B'!J22,"AAAAAH/LuOA=")</f>
        <v>#VALUE!</v>
      </c>
      <c r="HR30" t="e">
        <f>AND('4to. Perito_B'!K22,"AAAAAH/LuOE=")</f>
        <v>#VALUE!</v>
      </c>
      <c r="HS30" t="e">
        <f>AND('4to. Perito_B'!L22,"AAAAAH/LuOI=")</f>
        <v>#VALUE!</v>
      </c>
      <c r="HT30" t="e">
        <f>AND('4to. Perito_B'!M22,"AAAAAH/LuOM=")</f>
        <v>#VALUE!</v>
      </c>
      <c r="HU30" t="e">
        <f>AND('4to. Perito_B'!N22,"AAAAAH/LuOQ=")</f>
        <v>#VALUE!</v>
      </c>
      <c r="HV30" t="e">
        <f>AND('4to. Perito_B'!O22,"AAAAAH/LuOU=")</f>
        <v>#VALUE!</v>
      </c>
      <c r="HW30" t="e">
        <f>AND('4to. Perito_B'!P22,"AAAAAH/LuOY=")</f>
        <v>#VALUE!</v>
      </c>
      <c r="HX30" t="e">
        <f>AND('4to. Perito_B'!Q22,"AAAAAH/LuOc=")</f>
        <v>#VALUE!</v>
      </c>
      <c r="HY30" t="e">
        <f>AND('4to. Perito_B'!R22,"AAAAAH/LuOg=")</f>
        <v>#VALUE!</v>
      </c>
      <c r="HZ30" t="e">
        <f>AND('4to. Perito_B'!S22,"AAAAAH/LuOk=")</f>
        <v>#VALUE!</v>
      </c>
      <c r="IA30" t="e">
        <f>AND('4to. Perito_B'!T22,"AAAAAH/LuOo=")</f>
        <v>#VALUE!</v>
      </c>
      <c r="IB30" t="e">
        <f>AND('4to. Perito_B'!#REF!,"AAAAAH/LuOs=")</f>
        <v>#REF!</v>
      </c>
      <c r="IC30" t="e">
        <f>AND('4to. Perito_B'!#REF!,"AAAAAH/LuOw=")</f>
        <v>#REF!</v>
      </c>
      <c r="ID30" t="e">
        <f>AND('4to. Perito_B'!#REF!,"AAAAAH/LuO0=")</f>
        <v>#REF!</v>
      </c>
      <c r="IE30" t="e">
        <f>AND('4to. Perito_B'!#REF!,"AAAAAH/LuO4=")</f>
        <v>#REF!</v>
      </c>
      <c r="IF30" t="e">
        <f>AND('4to. Perito_B'!#REF!,"AAAAAH/LuO8=")</f>
        <v>#REF!</v>
      </c>
      <c r="IG30">
        <f>IF('4to. Perito_B'!23:23,"AAAAAH/LuPA=",0)</f>
        <v>0</v>
      </c>
      <c r="IH30" t="e">
        <f>AND('4to. Perito_B'!A23,"AAAAAH/LuPE=")</f>
        <v>#VALUE!</v>
      </c>
      <c r="II30" t="e">
        <f>AND('4to. Perito_B'!B23,"AAAAAH/LuPI=")</f>
        <v>#VALUE!</v>
      </c>
      <c r="IJ30" t="e">
        <f>AND('4to. Perito_B'!C23,"AAAAAH/LuPM=")</f>
        <v>#VALUE!</v>
      </c>
      <c r="IK30" t="e">
        <f>AND('4to. Perito_B'!D23,"AAAAAH/LuPQ=")</f>
        <v>#VALUE!</v>
      </c>
      <c r="IL30" t="e">
        <f>AND('4to. Perito_B'!E23,"AAAAAH/LuPU=")</f>
        <v>#VALUE!</v>
      </c>
      <c r="IM30" t="e">
        <f>AND('4to. Perito_B'!F23,"AAAAAH/LuPY=")</f>
        <v>#VALUE!</v>
      </c>
      <c r="IN30" t="e">
        <f>AND('4to. Perito_B'!G23,"AAAAAH/LuPc=")</f>
        <v>#VALUE!</v>
      </c>
      <c r="IO30" t="e">
        <f>AND('4to. Perito_B'!H23,"AAAAAH/LuPg=")</f>
        <v>#VALUE!</v>
      </c>
      <c r="IP30" t="e">
        <f>AND('4to. Perito_B'!I23,"AAAAAH/LuPk=")</f>
        <v>#VALUE!</v>
      </c>
      <c r="IQ30" t="e">
        <f>AND('4to. Perito_B'!J23,"AAAAAH/LuPo=")</f>
        <v>#VALUE!</v>
      </c>
      <c r="IR30" t="e">
        <f>AND('4to. Perito_B'!K23,"AAAAAH/LuPs=")</f>
        <v>#VALUE!</v>
      </c>
      <c r="IS30" t="e">
        <f>AND('4to. Perito_B'!L23,"AAAAAH/LuPw=")</f>
        <v>#VALUE!</v>
      </c>
      <c r="IT30" t="e">
        <f>AND('4to. Perito_B'!M23,"AAAAAH/LuP0=")</f>
        <v>#VALUE!</v>
      </c>
      <c r="IU30" t="e">
        <f>AND('4to. Perito_B'!N23,"AAAAAH/LuP4=")</f>
        <v>#VALUE!</v>
      </c>
      <c r="IV30" t="e">
        <f>AND('4to. Perito_B'!O23,"AAAAAH/LuP8=")</f>
        <v>#VALUE!</v>
      </c>
    </row>
    <row r="31" spans="1:256">
      <c r="A31" t="e">
        <f>AND('4to. Perito_B'!P23,"AAAAAFef/gA=")</f>
        <v>#VALUE!</v>
      </c>
      <c r="B31" t="e">
        <f>AND('4to. Perito_B'!Q23,"AAAAAFef/gE=")</f>
        <v>#VALUE!</v>
      </c>
      <c r="C31" t="e">
        <f>AND('4to. Perito_B'!R23,"AAAAAFef/gI=")</f>
        <v>#VALUE!</v>
      </c>
      <c r="D31" t="e">
        <f>AND('4to. Perito_B'!S23,"AAAAAFef/gM=")</f>
        <v>#VALUE!</v>
      </c>
      <c r="E31" t="e">
        <f>AND('4to. Perito_B'!T23,"AAAAAFef/gQ=")</f>
        <v>#VALUE!</v>
      </c>
      <c r="F31" t="e">
        <f>AND('4to. Perito_B'!#REF!,"AAAAAFef/gU=")</f>
        <v>#REF!</v>
      </c>
      <c r="G31" t="e">
        <f>AND('4to. Perito_B'!#REF!,"AAAAAFef/gY=")</f>
        <v>#REF!</v>
      </c>
      <c r="H31" t="e">
        <f>AND('4to. Perito_B'!#REF!,"AAAAAFef/gc=")</f>
        <v>#REF!</v>
      </c>
      <c r="I31" t="e">
        <f>AND('4to. Perito_B'!#REF!,"AAAAAFef/gg=")</f>
        <v>#REF!</v>
      </c>
      <c r="J31" t="e">
        <f>AND('4to. Perito_B'!#REF!,"AAAAAFef/gk=")</f>
        <v>#REF!</v>
      </c>
      <c r="K31">
        <f>IF('4to. Perito_B'!24:24,"AAAAAFef/go=",0)</f>
        <v>0</v>
      </c>
      <c r="L31" t="e">
        <f>AND('4to. Perito_B'!A24,"AAAAAFef/gs=")</f>
        <v>#VALUE!</v>
      </c>
      <c r="M31" t="e">
        <f>AND('4to. Perito_B'!B24,"AAAAAFef/gw=")</f>
        <v>#VALUE!</v>
      </c>
      <c r="N31" t="e">
        <f>AND('4to. Perito_B'!C24,"AAAAAFef/g0=")</f>
        <v>#VALUE!</v>
      </c>
      <c r="O31" t="e">
        <f>AND('4to. Perito_B'!D24,"AAAAAFef/g4=")</f>
        <v>#VALUE!</v>
      </c>
      <c r="P31" t="e">
        <f>AND('4to. Perito_B'!E24,"AAAAAFef/g8=")</f>
        <v>#VALUE!</v>
      </c>
      <c r="Q31" t="e">
        <f>AND('4to. Perito_B'!F24,"AAAAAFef/hA=")</f>
        <v>#VALUE!</v>
      </c>
      <c r="R31" t="e">
        <f>AND('4to. Perito_B'!G24,"AAAAAFef/hE=")</f>
        <v>#VALUE!</v>
      </c>
      <c r="S31" t="e">
        <f>AND('4to. Perito_B'!H24,"AAAAAFef/hI=")</f>
        <v>#VALUE!</v>
      </c>
      <c r="T31" t="e">
        <f>AND('4to. Perito_B'!I24,"AAAAAFef/hM=")</f>
        <v>#VALUE!</v>
      </c>
      <c r="U31" t="e">
        <f>AND('4to. Perito_B'!J24,"AAAAAFef/hQ=")</f>
        <v>#VALUE!</v>
      </c>
      <c r="V31" t="e">
        <f>AND('4to. Perito_B'!K24,"AAAAAFef/hU=")</f>
        <v>#VALUE!</v>
      </c>
      <c r="W31" t="e">
        <f>AND('4to. Perito_B'!L24,"AAAAAFef/hY=")</f>
        <v>#VALUE!</v>
      </c>
      <c r="X31" t="e">
        <f>AND('4to. Perito_B'!M24,"AAAAAFef/hc=")</f>
        <v>#VALUE!</v>
      </c>
      <c r="Y31" t="e">
        <f>AND('4to. Perito_B'!N24,"AAAAAFef/hg=")</f>
        <v>#VALUE!</v>
      </c>
      <c r="Z31" t="e">
        <f>AND('4to. Perito_B'!O24,"AAAAAFef/hk=")</f>
        <v>#VALUE!</v>
      </c>
      <c r="AA31" t="e">
        <f>AND('4to. Perito_B'!P24,"AAAAAFef/ho=")</f>
        <v>#VALUE!</v>
      </c>
      <c r="AB31" t="e">
        <f>AND('4to. Perito_B'!Q24,"AAAAAFef/hs=")</f>
        <v>#VALUE!</v>
      </c>
      <c r="AC31" t="e">
        <f>AND('4to. Perito_B'!R24,"AAAAAFef/hw=")</f>
        <v>#VALUE!</v>
      </c>
      <c r="AD31" t="e">
        <f>AND('4to. Perito_B'!S24,"AAAAAFef/h0=")</f>
        <v>#VALUE!</v>
      </c>
      <c r="AE31" t="e">
        <f>AND('4to. Perito_B'!T24,"AAAAAFef/h4=")</f>
        <v>#VALUE!</v>
      </c>
      <c r="AF31" t="e">
        <f>AND('4to. Perito_B'!#REF!,"AAAAAFef/h8=")</f>
        <v>#REF!</v>
      </c>
      <c r="AG31" t="e">
        <f>AND('4to. Perito_B'!#REF!,"AAAAAFef/iA=")</f>
        <v>#REF!</v>
      </c>
      <c r="AH31" t="e">
        <f>AND('4to. Perito_B'!#REF!,"AAAAAFef/iE=")</f>
        <v>#REF!</v>
      </c>
      <c r="AI31" t="e">
        <f>AND('4to. Perito_B'!#REF!,"AAAAAFef/iI=")</f>
        <v>#REF!</v>
      </c>
      <c r="AJ31" t="e">
        <f>AND('4to. Perito_B'!#REF!,"AAAAAFef/iM=")</f>
        <v>#REF!</v>
      </c>
      <c r="AK31">
        <f>IF('4to. Perito_B'!25:25,"AAAAAFef/iQ=",0)</f>
        <v>0</v>
      </c>
      <c r="AL31" t="e">
        <f>AND('4to. Perito_B'!A25,"AAAAAFef/iU=")</f>
        <v>#VALUE!</v>
      </c>
      <c r="AM31" t="e">
        <f>AND('4to. Perito_B'!B25,"AAAAAFef/iY=")</f>
        <v>#VALUE!</v>
      </c>
      <c r="AN31" t="e">
        <f>AND('4to. Perito_B'!C25,"AAAAAFef/ic=")</f>
        <v>#VALUE!</v>
      </c>
      <c r="AO31" t="e">
        <f>AND('4to. Perito_B'!D25,"AAAAAFef/ig=")</f>
        <v>#VALUE!</v>
      </c>
      <c r="AP31" t="e">
        <f>AND('4to. Perito_B'!E25,"AAAAAFef/ik=")</f>
        <v>#VALUE!</v>
      </c>
      <c r="AQ31" t="e">
        <f>AND('4to. Perito_B'!F25,"AAAAAFef/io=")</f>
        <v>#VALUE!</v>
      </c>
      <c r="AR31" t="e">
        <f>AND('4to. Perito_B'!G25,"AAAAAFef/is=")</f>
        <v>#VALUE!</v>
      </c>
      <c r="AS31" t="e">
        <f>AND('4to. Perito_B'!H25,"AAAAAFef/iw=")</f>
        <v>#VALUE!</v>
      </c>
      <c r="AT31" t="e">
        <f>AND('4to. Perito_B'!I25,"AAAAAFef/i0=")</f>
        <v>#VALUE!</v>
      </c>
      <c r="AU31" t="e">
        <f>AND('4to. Perito_B'!J25,"AAAAAFef/i4=")</f>
        <v>#VALUE!</v>
      </c>
      <c r="AV31" t="e">
        <f>AND('4to. Perito_B'!K25,"AAAAAFef/i8=")</f>
        <v>#VALUE!</v>
      </c>
      <c r="AW31" t="e">
        <f>AND('4to. Perito_B'!L25,"AAAAAFef/jA=")</f>
        <v>#VALUE!</v>
      </c>
      <c r="AX31" t="e">
        <f>AND('4to. Perito_B'!M25,"AAAAAFef/jE=")</f>
        <v>#VALUE!</v>
      </c>
      <c r="AY31" t="e">
        <f>AND('4to. Perito_B'!N25,"AAAAAFef/jI=")</f>
        <v>#VALUE!</v>
      </c>
      <c r="AZ31" t="e">
        <f>AND('4to. Perito_B'!O25,"AAAAAFef/jM=")</f>
        <v>#VALUE!</v>
      </c>
      <c r="BA31" t="e">
        <f>AND('4to. Perito_B'!P25,"AAAAAFef/jQ=")</f>
        <v>#VALUE!</v>
      </c>
      <c r="BB31" t="e">
        <f>AND('4to. Perito_B'!Q25,"AAAAAFef/jU=")</f>
        <v>#VALUE!</v>
      </c>
      <c r="BC31" t="e">
        <f>AND('4to. Perito_B'!R25,"AAAAAFef/jY=")</f>
        <v>#VALUE!</v>
      </c>
      <c r="BD31" t="e">
        <f>AND('4to. Perito_B'!S25,"AAAAAFef/jc=")</f>
        <v>#VALUE!</v>
      </c>
      <c r="BE31" t="e">
        <f>AND('4to. Perito_B'!T25,"AAAAAFef/jg=")</f>
        <v>#VALUE!</v>
      </c>
      <c r="BF31" t="e">
        <f>AND('4to. Perito_B'!#REF!,"AAAAAFef/jk=")</f>
        <v>#REF!</v>
      </c>
      <c r="BG31" t="e">
        <f>AND('4to. Perito_B'!#REF!,"AAAAAFef/jo=")</f>
        <v>#REF!</v>
      </c>
      <c r="BH31" t="e">
        <f>AND('4to. Perito_B'!#REF!,"AAAAAFef/js=")</f>
        <v>#REF!</v>
      </c>
      <c r="BI31" t="e">
        <f>AND('4to. Perito_B'!#REF!,"AAAAAFef/jw=")</f>
        <v>#REF!</v>
      </c>
      <c r="BJ31" t="e">
        <f>AND('4to. Perito_B'!#REF!,"AAAAAFef/j0=")</f>
        <v>#REF!</v>
      </c>
      <c r="BK31">
        <f>IF('4to. Perito_B'!26:26,"AAAAAFef/j4=",0)</f>
        <v>0</v>
      </c>
      <c r="BL31" t="e">
        <f>AND('4to. Perito_B'!A26,"AAAAAFef/j8=")</f>
        <v>#VALUE!</v>
      </c>
      <c r="BM31" t="e">
        <f>AND('4to. Perito_B'!B26,"AAAAAFef/kA=")</f>
        <v>#VALUE!</v>
      </c>
      <c r="BN31" t="e">
        <f>AND('4to. Perito_B'!C26,"AAAAAFef/kE=")</f>
        <v>#VALUE!</v>
      </c>
      <c r="BO31" t="e">
        <f>AND('4to. Perito_B'!D26,"AAAAAFef/kI=")</f>
        <v>#VALUE!</v>
      </c>
      <c r="BP31" t="e">
        <f>AND('4to. Perito_B'!E26,"AAAAAFef/kM=")</f>
        <v>#VALUE!</v>
      </c>
      <c r="BQ31" t="e">
        <f>AND('4to. Perito_B'!F26,"AAAAAFef/kQ=")</f>
        <v>#VALUE!</v>
      </c>
      <c r="BR31" t="e">
        <f>AND('4to. Perito_B'!G26,"AAAAAFef/kU=")</f>
        <v>#VALUE!</v>
      </c>
      <c r="BS31" t="e">
        <f>AND('4to. Perito_B'!H26,"AAAAAFef/kY=")</f>
        <v>#VALUE!</v>
      </c>
      <c r="BT31" t="e">
        <f>AND('4to. Perito_B'!I26,"AAAAAFef/kc=")</f>
        <v>#VALUE!</v>
      </c>
      <c r="BU31" t="e">
        <f>AND('4to. Perito_B'!J26,"AAAAAFef/kg=")</f>
        <v>#VALUE!</v>
      </c>
      <c r="BV31" t="e">
        <f>AND('4to. Perito_B'!K26,"AAAAAFef/kk=")</f>
        <v>#VALUE!</v>
      </c>
      <c r="BW31" t="e">
        <f>AND('4to. Perito_B'!L26,"AAAAAFef/ko=")</f>
        <v>#VALUE!</v>
      </c>
      <c r="BX31" t="e">
        <f>AND('4to. Perito_B'!M26,"AAAAAFef/ks=")</f>
        <v>#VALUE!</v>
      </c>
      <c r="BY31" t="e">
        <f>AND('4to. Perito_B'!N26,"AAAAAFef/kw=")</f>
        <v>#VALUE!</v>
      </c>
      <c r="BZ31" t="e">
        <f>AND('4to. Perito_B'!O26,"AAAAAFef/k0=")</f>
        <v>#VALUE!</v>
      </c>
      <c r="CA31" t="e">
        <f>AND('4to. Perito_B'!P26,"AAAAAFef/k4=")</f>
        <v>#VALUE!</v>
      </c>
      <c r="CB31" t="e">
        <f>AND('4to. Perito_B'!Q26,"AAAAAFef/k8=")</f>
        <v>#VALUE!</v>
      </c>
      <c r="CC31" t="e">
        <f>AND('4to. Perito_B'!R26,"AAAAAFef/lA=")</f>
        <v>#VALUE!</v>
      </c>
      <c r="CD31" t="e">
        <f>AND('4to. Perito_B'!S26,"AAAAAFef/lE=")</f>
        <v>#VALUE!</v>
      </c>
      <c r="CE31" t="e">
        <f>AND('4to. Perito_B'!T26,"AAAAAFef/lI=")</f>
        <v>#VALUE!</v>
      </c>
      <c r="CF31" t="e">
        <f>AND('4to. Perito_B'!#REF!,"AAAAAFef/lM=")</f>
        <v>#REF!</v>
      </c>
      <c r="CG31" t="e">
        <f>AND('4to. Perito_B'!#REF!,"AAAAAFef/lQ=")</f>
        <v>#REF!</v>
      </c>
      <c r="CH31" t="e">
        <f>AND('4to. Perito_B'!#REF!,"AAAAAFef/lU=")</f>
        <v>#REF!</v>
      </c>
      <c r="CI31" t="e">
        <f>AND('4to. Perito_B'!#REF!,"AAAAAFef/lY=")</f>
        <v>#REF!</v>
      </c>
      <c r="CJ31" t="e">
        <f>AND('4to. Perito_B'!#REF!,"AAAAAFef/lc=")</f>
        <v>#REF!</v>
      </c>
      <c r="CK31">
        <f>IF('4to. Perito_B'!27:27,"AAAAAFef/lg=",0)</f>
        <v>0</v>
      </c>
      <c r="CL31" t="e">
        <f>AND('4to. Perito_B'!A27,"AAAAAFef/lk=")</f>
        <v>#VALUE!</v>
      </c>
      <c r="CM31" t="e">
        <f>AND('4to. Perito_B'!B27,"AAAAAFef/lo=")</f>
        <v>#VALUE!</v>
      </c>
      <c r="CN31" t="e">
        <f>AND('4to. Perito_B'!C27,"AAAAAFef/ls=")</f>
        <v>#VALUE!</v>
      </c>
      <c r="CO31" t="e">
        <f>AND('4to. Perito_B'!D27,"AAAAAFef/lw=")</f>
        <v>#VALUE!</v>
      </c>
      <c r="CP31" t="e">
        <f>AND('4to. Perito_B'!E27,"AAAAAFef/l0=")</f>
        <v>#VALUE!</v>
      </c>
      <c r="CQ31" t="e">
        <f>AND('4to. Perito_B'!F27,"AAAAAFef/l4=")</f>
        <v>#VALUE!</v>
      </c>
      <c r="CR31" t="e">
        <f>AND('4to. Perito_B'!G27,"AAAAAFef/l8=")</f>
        <v>#VALUE!</v>
      </c>
      <c r="CS31" t="e">
        <f>AND('4to. Perito_B'!H27,"AAAAAFef/mA=")</f>
        <v>#VALUE!</v>
      </c>
      <c r="CT31" t="e">
        <f>AND('4to. Perito_B'!I27,"AAAAAFef/mE=")</f>
        <v>#VALUE!</v>
      </c>
      <c r="CU31" t="e">
        <f>AND('4to. Perito_B'!J27,"AAAAAFef/mI=")</f>
        <v>#VALUE!</v>
      </c>
      <c r="CV31" t="e">
        <f>AND('4to. Perito_B'!K27,"AAAAAFef/mM=")</f>
        <v>#VALUE!</v>
      </c>
      <c r="CW31" t="e">
        <f>AND('4to. Perito_B'!L27,"AAAAAFef/mQ=")</f>
        <v>#VALUE!</v>
      </c>
      <c r="CX31" t="e">
        <f>AND('4to. Perito_B'!M27,"AAAAAFef/mU=")</f>
        <v>#VALUE!</v>
      </c>
      <c r="CY31" t="e">
        <f>AND('4to. Perito_B'!N27,"AAAAAFef/mY=")</f>
        <v>#VALUE!</v>
      </c>
      <c r="CZ31" t="e">
        <f>AND('4to. Perito_B'!O27,"AAAAAFef/mc=")</f>
        <v>#VALUE!</v>
      </c>
      <c r="DA31" t="e">
        <f>AND('4to. Perito_B'!P27,"AAAAAFef/mg=")</f>
        <v>#VALUE!</v>
      </c>
      <c r="DB31" t="e">
        <f>AND('4to. Perito_B'!Q27,"AAAAAFef/mk=")</f>
        <v>#VALUE!</v>
      </c>
      <c r="DC31" t="e">
        <f>AND('4to. Perito_B'!R27,"AAAAAFef/mo=")</f>
        <v>#VALUE!</v>
      </c>
      <c r="DD31" t="e">
        <f>AND('4to. Perito_B'!S27,"AAAAAFef/ms=")</f>
        <v>#VALUE!</v>
      </c>
      <c r="DE31" t="e">
        <f>AND('4to. Perito_B'!T27,"AAAAAFef/mw=")</f>
        <v>#VALUE!</v>
      </c>
      <c r="DF31" t="e">
        <f>AND('4to. Perito_B'!#REF!,"AAAAAFef/m0=")</f>
        <v>#REF!</v>
      </c>
      <c r="DG31" t="e">
        <f>AND('4to. Perito_B'!#REF!,"AAAAAFef/m4=")</f>
        <v>#REF!</v>
      </c>
      <c r="DH31" t="e">
        <f>AND('4to. Perito_B'!#REF!,"AAAAAFef/m8=")</f>
        <v>#REF!</v>
      </c>
      <c r="DI31" t="e">
        <f>AND('4to. Perito_B'!#REF!,"AAAAAFef/nA=")</f>
        <v>#REF!</v>
      </c>
      <c r="DJ31" t="e">
        <f>AND('4to. Perito_B'!#REF!,"AAAAAFef/nE=")</f>
        <v>#REF!</v>
      </c>
      <c r="DK31">
        <f>IF('4to. Perito_B'!28:28,"AAAAAFef/nI=",0)</f>
        <v>0</v>
      </c>
      <c r="DL31" t="e">
        <f>AND('4to. Perito_B'!A28,"AAAAAFef/nM=")</f>
        <v>#VALUE!</v>
      </c>
      <c r="DM31" t="e">
        <f>AND('4to. Perito_B'!B28,"AAAAAFef/nQ=")</f>
        <v>#VALUE!</v>
      </c>
      <c r="DN31" t="e">
        <f>AND('4to. Perito_B'!C28,"AAAAAFef/nU=")</f>
        <v>#VALUE!</v>
      </c>
      <c r="DO31" t="e">
        <f>AND('4to. Perito_B'!D28,"AAAAAFef/nY=")</f>
        <v>#VALUE!</v>
      </c>
      <c r="DP31" t="e">
        <f>AND('4to. Perito_B'!E28,"AAAAAFef/nc=")</f>
        <v>#VALUE!</v>
      </c>
      <c r="DQ31" t="e">
        <f>AND('4to. Perito_B'!F28,"AAAAAFef/ng=")</f>
        <v>#VALUE!</v>
      </c>
      <c r="DR31" t="e">
        <f>AND('4to. Perito_B'!G28,"AAAAAFef/nk=")</f>
        <v>#VALUE!</v>
      </c>
      <c r="DS31" t="e">
        <f>AND('4to. Perito_B'!H28,"AAAAAFef/no=")</f>
        <v>#VALUE!</v>
      </c>
      <c r="DT31" t="e">
        <f>AND('4to. Perito_B'!I28,"AAAAAFef/ns=")</f>
        <v>#VALUE!</v>
      </c>
      <c r="DU31" t="e">
        <f>AND('4to. Perito_B'!J28,"AAAAAFef/nw=")</f>
        <v>#VALUE!</v>
      </c>
      <c r="DV31" t="e">
        <f>AND('4to. Perito_B'!K28,"AAAAAFef/n0=")</f>
        <v>#VALUE!</v>
      </c>
      <c r="DW31" t="e">
        <f>AND('4to. Perito_B'!L28,"AAAAAFef/n4=")</f>
        <v>#VALUE!</v>
      </c>
      <c r="DX31" t="e">
        <f>AND('4to. Perito_B'!M28,"AAAAAFef/n8=")</f>
        <v>#VALUE!</v>
      </c>
      <c r="DY31" t="e">
        <f>AND('4to. Perito_B'!N28,"AAAAAFef/oA=")</f>
        <v>#VALUE!</v>
      </c>
      <c r="DZ31" t="e">
        <f>AND('4to. Perito_B'!O28,"AAAAAFef/oE=")</f>
        <v>#VALUE!</v>
      </c>
      <c r="EA31" t="e">
        <f>AND('4to. Perito_B'!P28,"AAAAAFef/oI=")</f>
        <v>#VALUE!</v>
      </c>
      <c r="EB31" t="e">
        <f>AND('4to. Perito_B'!Q28,"AAAAAFef/oM=")</f>
        <v>#VALUE!</v>
      </c>
      <c r="EC31" t="e">
        <f>AND('4to. Perito_B'!R28,"AAAAAFef/oQ=")</f>
        <v>#VALUE!</v>
      </c>
      <c r="ED31" t="e">
        <f>AND('4to. Perito_B'!S28,"AAAAAFef/oU=")</f>
        <v>#VALUE!</v>
      </c>
      <c r="EE31" t="e">
        <f>AND('4to. Perito_B'!T28,"AAAAAFef/oY=")</f>
        <v>#VALUE!</v>
      </c>
      <c r="EF31" t="e">
        <f>AND('4to. Perito_B'!#REF!,"AAAAAFef/oc=")</f>
        <v>#REF!</v>
      </c>
      <c r="EG31" t="e">
        <f>AND('4to. Perito_B'!#REF!,"AAAAAFef/og=")</f>
        <v>#REF!</v>
      </c>
      <c r="EH31" t="e">
        <f>AND('4to. Perito_B'!#REF!,"AAAAAFef/ok=")</f>
        <v>#REF!</v>
      </c>
      <c r="EI31" t="e">
        <f>AND('4to. Perito_B'!#REF!,"AAAAAFef/oo=")</f>
        <v>#REF!</v>
      </c>
      <c r="EJ31" t="e">
        <f>AND('4to. Perito_B'!#REF!,"AAAAAFef/os=")</f>
        <v>#REF!</v>
      </c>
      <c r="EK31">
        <f>IF('4to. Perito_B'!29:29,"AAAAAFef/ow=",0)</f>
        <v>0</v>
      </c>
      <c r="EL31" t="e">
        <f>AND('4to. Perito_B'!A29,"AAAAAFef/o0=")</f>
        <v>#VALUE!</v>
      </c>
      <c r="EM31" t="e">
        <f>AND('4to. Perito_B'!B29,"AAAAAFef/o4=")</f>
        <v>#VALUE!</v>
      </c>
      <c r="EN31" t="e">
        <f>AND('4to. Perito_B'!C29,"AAAAAFef/o8=")</f>
        <v>#VALUE!</v>
      </c>
      <c r="EO31" t="e">
        <f>AND('4to. Perito_B'!D29,"AAAAAFef/pA=")</f>
        <v>#VALUE!</v>
      </c>
      <c r="EP31" t="e">
        <f>AND('4to. Perito_B'!E29,"AAAAAFef/pE=")</f>
        <v>#VALUE!</v>
      </c>
      <c r="EQ31" t="e">
        <f>AND('4to. Perito_B'!F29,"AAAAAFef/pI=")</f>
        <v>#VALUE!</v>
      </c>
      <c r="ER31" t="e">
        <f>AND('4to. Perito_B'!G29,"AAAAAFef/pM=")</f>
        <v>#VALUE!</v>
      </c>
      <c r="ES31" t="e">
        <f>AND('4to. Perito_B'!H29,"AAAAAFef/pQ=")</f>
        <v>#VALUE!</v>
      </c>
      <c r="ET31" t="e">
        <f>AND('4to. Perito_B'!I29,"AAAAAFef/pU=")</f>
        <v>#VALUE!</v>
      </c>
      <c r="EU31" t="e">
        <f>AND('4to. Perito_B'!J29,"AAAAAFef/pY=")</f>
        <v>#VALUE!</v>
      </c>
      <c r="EV31" t="e">
        <f>AND('4to. Perito_B'!K29,"AAAAAFef/pc=")</f>
        <v>#VALUE!</v>
      </c>
      <c r="EW31" t="e">
        <f>AND('4to. Perito_B'!L29,"AAAAAFef/pg=")</f>
        <v>#VALUE!</v>
      </c>
      <c r="EX31" t="e">
        <f>AND('4to. Perito_B'!M29,"AAAAAFef/pk=")</f>
        <v>#VALUE!</v>
      </c>
      <c r="EY31" t="e">
        <f>AND('4to. Perito_B'!N29,"AAAAAFef/po=")</f>
        <v>#VALUE!</v>
      </c>
      <c r="EZ31" t="e">
        <f>AND('4to. Perito_B'!O29,"AAAAAFef/ps=")</f>
        <v>#VALUE!</v>
      </c>
      <c r="FA31" t="e">
        <f>AND('4to. Perito_B'!P29,"AAAAAFef/pw=")</f>
        <v>#VALUE!</v>
      </c>
      <c r="FB31" t="e">
        <f>AND('4to. Perito_B'!Q29,"AAAAAFef/p0=")</f>
        <v>#VALUE!</v>
      </c>
      <c r="FC31" t="e">
        <f>AND('4to. Perito_B'!R29,"AAAAAFef/p4=")</f>
        <v>#VALUE!</v>
      </c>
      <c r="FD31" t="e">
        <f>AND('4to. Perito_B'!S29,"AAAAAFef/p8=")</f>
        <v>#VALUE!</v>
      </c>
      <c r="FE31" t="e">
        <f>AND('4to. Perito_B'!T29,"AAAAAFef/qA=")</f>
        <v>#VALUE!</v>
      </c>
      <c r="FF31" t="e">
        <f>AND('4to. Perito_B'!#REF!,"AAAAAFef/qE=")</f>
        <v>#REF!</v>
      </c>
      <c r="FG31" t="e">
        <f>AND('4to. Perito_B'!#REF!,"AAAAAFef/qI=")</f>
        <v>#REF!</v>
      </c>
      <c r="FH31" t="e">
        <f>AND('4to. Perito_B'!#REF!,"AAAAAFef/qM=")</f>
        <v>#REF!</v>
      </c>
      <c r="FI31" t="e">
        <f>AND('4to. Perito_B'!#REF!,"AAAAAFef/qQ=")</f>
        <v>#REF!</v>
      </c>
      <c r="FJ31" t="e">
        <f>AND('4to. Perito_B'!#REF!,"AAAAAFef/qU=")</f>
        <v>#REF!</v>
      </c>
      <c r="FK31">
        <f>IF('4to. Perito_B'!30:30,"AAAAAFef/qY=",0)</f>
        <v>0</v>
      </c>
      <c r="FL31" t="e">
        <f>AND('4to. Perito_B'!A30,"AAAAAFef/qc=")</f>
        <v>#VALUE!</v>
      </c>
      <c r="FM31" t="e">
        <f>AND('4to. Perito_B'!B30,"AAAAAFef/qg=")</f>
        <v>#VALUE!</v>
      </c>
      <c r="FN31" t="e">
        <f>AND('4to. Perito_B'!C30,"AAAAAFef/qk=")</f>
        <v>#VALUE!</v>
      </c>
      <c r="FO31" t="e">
        <f>AND('4to. Perito_B'!D30,"AAAAAFef/qo=")</f>
        <v>#VALUE!</v>
      </c>
      <c r="FP31" t="e">
        <f>AND('4to. Perito_B'!E30,"AAAAAFef/qs=")</f>
        <v>#VALUE!</v>
      </c>
      <c r="FQ31" t="e">
        <f>AND('4to. Perito_B'!F30,"AAAAAFef/qw=")</f>
        <v>#VALUE!</v>
      </c>
      <c r="FR31" t="e">
        <f>AND('4to. Perito_B'!G30,"AAAAAFef/q0=")</f>
        <v>#VALUE!</v>
      </c>
      <c r="FS31" t="e">
        <f>AND('4to. Perito_B'!H30,"AAAAAFef/q4=")</f>
        <v>#VALUE!</v>
      </c>
      <c r="FT31" t="e">
        <f>AND('4to. Perito_B'!I30,"AAAAAFef/q8=")</f>
        <v>#VALUE!</v>
      </c>
      <c r="FU31" t="e">
        <f>AND('4to. Perito_B'!J30,"AAAAAFef/rA=")</f>
        <v>#VALUE!</v>
      </c>
      <c r="FV31" t="e">
        <f>AND('4to. Perito_B'!K30,"AAAAAFef/rE=")</f>
        <v>#VALUE!</v>
      </c>
      <c r="FW31" t="e">
        <f>AND('4to. Perito_B'!L30,"AAAAAFef/rI=")</f>
        <v>#VALUE!</v>
      </c>
      <c r="FX31" t="e">
        <f>AND('4to. Perito_B'!M30,"AAAAAFef/rM=")</f>
        <v>#VALUE!</v>
      </c>
      <c r="FY31" t="e">
        <f>AND('4to. Perito_B'!N30,"AAAAAFef/rQ=")</f>
        <v>#VALUE!</v>
      </c>
      <c r="FZ31" t="e">
        <f>AND('4to. Perito_B'!O30,"AAAAAFef/rU=")</f>
        <v>#VALUE!</v>
      </c>
      <c r="GA31" t="e">
        <f>AND('4to. Perito_B'!P30,"AAAAAFef/rY=")</f>
        <v>#VALUE!</v>
      </c>
      <c r="GB31" t="e">
        <f>AND('4to. Perito_B'!Q30,"AAAAAFef/rc=")</f>
        <v>#VALUE!</v>
      </c>
      <c r="GC31" t="e">
        <f>AND('4to. Perito_B'!R30,"AAAAAFef/rg=")</f>
        <v>#VALUE!</v>
      </c>
      <c r="GD31" t="e">
        <f>AND('4to. Perito_B'!S30,"AAAAAFef/rk=")</f>
        <v>#VALUE!</v>
      </c>
      <c r="GE31" t="e">
        <f>AND('4to. Perito_B'!T30,"AAAAAFef/ro=")</f>
        <v>#VALUE!</v>
      </c>
      <c r="GF31" t="e">
        <f>AND('4to. Perito_B'!#REF!,"AAAAAFef/rs=")</f>
        <v>#REF!</v>
      </c>
      <c r="GG31" t="e">
        <f>AND('4to. Perito_B'!#REF!,"AAAAAFef/rw=")</f>
        <v>#REF!</v>
      </c>
      <c r="GH31" t="e">
        <f>AND('4to. Perito_B'!#REF!,"AAAAAFef/r0=")</f>
        <v>#REF!</v>
      </c>
      <c r="GI31" t="e">
        <f>AND('4to. Perito_B'!#REF!,"AAAAAFef/r4=")</f>
        <v>#REF!</v>
      </c>
      <c r="GJ31" t="e">
        <f>AND('4to. Perito_B'!#REF!,"AAAAAFef/r8=")</f>
        <v>#REF!</v>
      </c>
      <c r="GK31">
        <f>IF('4to. Perito_B'!31:31,"AAAAAFef/sA=",0)</f>
        <v>0</v>
      </c>
      <c r="GL31" t="e">
        <f>AND('4to. Perito_B'!A31,"AAAAAFef/sE=")</f>
        <v>#VALUE!</v>
      </c>
      <c r="GM31" t="e">
        <f>AND('4to. Perito_B'!B31,"AAAAAFef/sI=")</f>
        <v>#VALUE!</v>
      </c>
      <c r="GN31" t="e">
        <f>AND('4to. Perito_B'!C31,"AAAAAFef/sM=")</f>
        <v>#VALUE!</v>
      </c>
      <c r="GO31" t="e">
        <f>AND('4to. Perito_B'!D31,"AAAAAFef/sQ=")</f>
        <v>#VALUE!</v>
      </c>
      <c r="GP31" t="e">
        <f>AND('4to. Perito_B'!E31,"AAAAAFef/sU=")</f>
        <v>#VALUE!</v>
      </c>
      <c r="GQ31" t="e">
        <f>AND('4to. Perito_B'!F31,"AAAAAFef/sY=")</f>
        <v>#VALUE!</v>
      </c>
      <c r="GR31" t="e">
        <f>AND('4to. Perito_B'!G31,"AAAAAFef/sc=")</f>
        <v>#VALUE!</v>
      </c>
      <c r="GS31" t="e">
        <f>AND('4to. Perito_B'!H31,"AAAAAFef/sg=")</f>
        <v>#VALUE!</v>
      </c>
      <c r="GT31" t="e">
        <f>AND('4to. Perito_B'!I31,"AAAAAFef/sk=")</f>
        <v>#VALUE!</v>
      </c>
      <c r="GU31" t="e">
        <f>AND('4to. Perito_B'!J31,"AAAAAFef/so=")</f>
        <v>#VALUE!</v>
      </c>
      <c r="GV31" t="e">
        <f>AND('4to. Perito_B'!K31,"AAAAAFef/ss=")</f>
        <v>#VALUE!</v>
      </c>
      <c r="GW31" t="e">
        <f>AND('4to. Perito_B'!L31,"AAAAAFef/sw=")</f>
        <v>#VALUE!</v>
      </c>
      <c r="GX31" t="e">
        <f>AND('4to. Perito_B'!M31,"AAAAAFef/s0=")</f>
        <v>#VALUE!</v>
      </c>
      <c r="GY31" t="e">
        <f>AND('4to. Perito_B'!N31,"AAAAAFef/s4=")</f>
        <v>#VALUE!</v>
      </c>
      <c r="GZ31" t="e">
        <f>AND('4to. Perito_B'!O31,"AAAAAFef/s8=")</f>
        <v>#VALUE!</v>
      </c>
      <c r="HA31" t="e">
        <f>AND('4to. Perito_B'!P31,"AAAAAFef/tA=")</f>
        <v>#VALUE!</v>
      </c>
      <c r="HB31" t="e">
        <f>AND('4to. Perito_B'!Q31,"AAAAAFef/tE=")</f>
        <v>#VALUE!</v>
      </c>
      <c r="HC31" t="e">
        <f>AND('4to. Perito_B'!R31,"AAAAAFef/tI=")</f>
        <v>#VALUE!</v>
      </c>
      <c r="HD31" t="e">
        <f>AND('4to. Perito_B'!S31,"AAAAAFef/tM=")</f>
        <v>#VALUE!</v>
      </c>
      <c r="HE31" t="e">
        <f>AND('4to. Perito_B'!T31,"AAAAAFef/tQ=")</f>
        <v>#VALUE!</v>
      </c>
      <c r="HF31" t="e">
        <f>AND('4to. Perito_B'!#REF!,"AAAAAFef/tU=")</f>
        <v>#REF!</v>
      </c>
      <c r="HG31" t="e">
        <f>AND('4to. Perito_B'!#REF!,"AAAAAFef/tY=")</f>
        <v>#REF!</v>
      </c>
      <c r="HH31" t="e">
        <f>AND('4to. Perito_B'!#REF!,"AAAAAFef/tc=")</f>
        <v>#REF!</v>
      </c>
      <c r="HI31" t="e">
        <f>AND('4to. Perito_B'!#REF!,"AAAAAFef/tg=")</f>
        <v>#REF!</v>
      </c>
      <c r="HJ31" t="e">
        <f>AND('4to. Perito_B'!#REF!,"AAAAAFef/tk=")</f>
        <v>#REF!</v>
      </c>
      <c r="HK31">
        <f>IF('4to. Perito_B'!32:32,"AAAAAFef/to=",0)</f>
        <v>0</v>
      </c>
      <c r="HL31" t="e">
        <f>AND('4to. Perito_B'!A32,"AAAAAFef/ts=")</f>
        <v>#VALUE!</v>
      </c>
      <c r="HM31" t="e">
        <f>AND('4to. Perito_B'!B32,"AAAAAFef/tw=")</f>
        <v>#VALUE!</v>
      </c>
      <c r="HN31" t="e">
        <f>AND('4to. Perito_B'!C32,"AAAAAFef/t0=")</f>
        <v>#VALUE!</v>
      </c>
      <c r="HO31" t="e">
        <f>AND('4to. Perito_B'!D32,"AAAAAFef/t4=")</f>
        <v>#VALUE!</v>
      </c>
      <c r="HP31" t="e">
        <f>AND('4to. Perito_B'!E32,"AAAAAFef/t8=")</f>
        <v>#VALUE!</v>
      </c>
      <c r="HQ31" t="e">
        <f>AND('4to. Perito_B'!F32,"AAAAAFef/uA=")</f>
        <v>#VALUE!</v>
      </c>
      <c r="HR31" t="e">
        <f>AND('4to. Perito_B'!G32,"AAAAAFef/uE=")</f>
        <v>#VALUE!</v>
      </c>
      <c r="HS31" t="e">
        <f>AND('4to. Perito_B'!H32,"AAAAAFef/uI=")</f>
        <v>#VALUE!</v>
      </c>
      <c r="HT31" t="e">
        <f>AND('4to. Perito_B'!I32,"AAAAAFef/uM=")</f>
        <v>#VALUE!</v>
      </c>
      <c r="HU31" t="e">
        <f>AND('4to. Perito_B'!J32,"AAAAAFef/uQ=")</f>
        <v>#VALUE!</v>
      </c>
      <c r="HV31" t="e">
        <f>AND('4to. Perito_B'!K32,"AAAAAFef/uU=")</f>
        <v>#VALUE!</v>
      </c>
      <c r="HW31" t="e">
        <f>AND('4to. Perito_B'!L32,"AAAAAFef/uY=")</f>
        <v>#VALUE!</v>
      </c>
      <c r="HX31" t="e">
        <f>AND('4to. Perito_B'!M32,"AAAAAFef/uc=")</f>
        <v>#VALUE!</v>
      </c>
      <c r="HY31" t="e">
        <f>AND('4to. Perito_B'!N32,"AAAAAFef/ug=")</f>
        <v>#VALUE!</v>
      </c>
      <c r="HZ31" t="e">
        <f>AND('4to. Perito_B'!O32,"AAAAAFef/uk=")</f>
        <v>#VALUE!</v>
      </c>
      <c r="IA31" t="e">
        <f>AND('4to. Perito_B'!P32,"AAAAAFef/uo=")</f>
        <v>#VALUE!</v>
      </c>
      <c r="IB31" t="e">
        <f>AND('4to. Perito_B'!Q32,"AAAAAFef/us=")</f>
        <v>#VALUE!</v>
      </c>
      <c r="IC31" t="e">
        <f>AND('4to. Perito_B'!R32,"AAAAAFef/uw=")</f>
        <v>#VALUE!</v>
      </c>
      <c r="ID31" t="e">
        <f>AND('4to. Perito_B'!S32,"AAAAAFef/u0=")</f>
        <v>#VALUE!</v>
      </c>
      <c r="IE31" t="e">
        <f>AND('4to. Perito_B'!T32,"AAAAAFef/u4=")</f>
        <v>#VALUE!</v>
      </c>
      <c r="IF31" t="e">
        <f>AND('4to. Perito_B'!#REF!,"AAAAAFef/u8=")</f>
        <v>#REF!</v>
      </c>
      <c r="IG31" t="e">
        <f>AND('4to. Perito_B'!#REF!,"AAAAAFef/vA=")</f>
        <v>#REF!</v>
      </c>
      <c r="IH31" t="e">
        <f>AND('4to. Perito_B'!#REF!,"AAAAAFef/vE=")</f>
        <v>#REF!</v>
      </c>
      <c r="II31" t="e">
        <f>AND('4to. Perito_B'!#REF!,"AAAAAFef/vI=")</f>
        <v>#REF!</v>
      </c>
      <c r="IJ31" t="e">
        <f>AND('4to. Perito_B'!#REF!,"AAAAAFef/vM=")</f>
        <v>#REF!</v>
      </c>
      <c r="IK31">
        <f>IF('4to. Perito_B'!33:33,"AAAAAFef/vQ=",0)</f>
        <v>0</v>
      </c>
      <c r="IL31" t="e">
        <f>AND('4to. Perito_B'!A33,"AAAAAFef/vU=")</f>
        <v>#VALUE!</v>
      </c>
      <c r="IM31" t="e">
        <f>AND('4to. Perito_B'!B33,"AAAAAFef/vY=")</f>
        <v>#VALUE!</v>
      </c>
      <c r="IN31" t="e">
        <f>AND('4to. Perito_B'!C33,"AAAAAFef/vc=")</f>
        <v>#VALUE!</v>
      </c>
      <c r="IO31" t="e">
        <f>AND('4to. Perito_B'!D33,"AAAAAFef/vg=")</f>
        <v>#VALUE!</v>
      </c>
      <c r="IP31" t="e">
        <f>AND('4to. Perito_B'!E33,"AAAAAFef/vk=")</f>
        <v>#VALUE!</v>
      </c>
      <c r="IQ31" t="e">
        <f>AND('4to. Perito_B'!F33,"AAAAAFef/vo=")</f>
        <v>#VALUE!</v>
      </c>
      <c r="IR31" t="e">
        <f>AND('4to. Perito_B'!G33,"AAAAAFef/vs=")</f>
        <v>#VALUE!</v>
      </c>
      <c r="IS31" t="e">
        <f>AND('4to. Perito_B'!H33,"AAAAAFef/vw=")</f>
        <v>#VALUE!</v>
      </c>
      <c r="IT31" t="e">
        <f>AND('4to. Perito_B'!I33,"AAAAAFef/v0=")</f>
        <v>#VALUE!</v>
      </c>
      <c r="IU31" t="e">
        <f>AND('4to. Perito_B'!J33,"AAAAAFef/v4=")</f>
        <v>#VALUE!</v>
      </c>
      <c r="IV31" t="e">
        <f>AND('4to. Perito_B'!K33,"AAAAAFef/v8=")</f>
        <v>#VALUE!</v>
      </c>
    </row>
    <row r="32" spans="1:256">
      <c r="A32" t="e">
        <f>AND('4to. Perito_B'!L33,"AAAAAH/8fwA=")</f>
        <v>#VALUE!</v>
      </c>
      <c r="B32" t="e">
        <f>AND('4to. Perito_B'!M33,"AAAAAH/8fwE=")</f>
        <v>#VALUE!</v>
      </c>
      <c r="C32" t="e">
        <f>AND('4to. Perito_B'!N33,"AAAAAH/8fwI=")</f>
        <v>#VALUE!</v>
      </c>
      <c r="D32" t="e">
        <f>AND('4to. Perito_B'!O33,"AAAAAH/8fwM=")</f>
        <v>#VALUE!</v>
      </c>
      <c r="E32" t="e">
        <f>AND('4to. Perito_B'!P33,"AAAAAH/8fwQ=")</f>
        <v>#VALUE!</v>
      </c>
      <c r="F32" t="e">
        <f>AND('4to. Perito_B'!Q33,"AAAAAH/8fwU=")</f>
        <v>#VALUE!</v>
      </c>
      <c r="G32" t="e">
        <f>AND('4to. Perito_B'!R33,"AAAAAH/8fwY=")</f>
        <v>#VALUE!</v>
      </c>
      <c r="H32" t="e">
        <f>AND('4to. Perito_B'!S33,"AAAAAH/8fwc=")</f>
        <v>#VALUE!</v>
      </c>
      <c r="I32" t="e">
        <f>AND('4to. Perito_B'!T33,"AAAAAH/8fwg=")</f>
        <v>#VALUE!</v>
      </c>
      <c r="J32" t="e">
        <f>AND('4to. Perito_B'!#REF!,"AAAAAH/8fwk=")</f>
        <v>#REF!</v>
      </c>
      <c r="K32" t="e">
        <f>AND('4to. Perito_B'!#REF!,"AAAAAH/8fwo=")</f>
        <v>#REF!</v>
      </c>
      <c r="L32" t="e">
        <f>AND('4to. Perito_B'!#REF!,"AAAAAH/8fws=")</f>
        <v>#REF!</v>
      </c>
      <c r="M32" t="e">
        <f>AND('4to. Perito_B'!#REF!,"AAAAAH/8fww=")</f>
        <v>#REF!</v>
      </c>
      <c r="N32" t="e">
        <f>AND('4to. Perito_B'!#REF!,"AAAAAH/8fw0=")</f>
        <v>#REF!</v>
      </c>
      <c r="O32">
        <f>IF('4to. Perito_B'!34:34,"AAAAAH/8fw4=",0)</f>
        <v>0</v>
      </c>
      <c r="P32" t="e">
        <f>AND('4to. Perito_B'!A34,"AAAAAH/8fw8=")</f>
        <v>#VALUE!</v>
      </c>
      <c r="Q32" t="e">
        <f>AND('4to. Perito_B'!B34,"AAAAAH/8fxA=")</f>
        <v>#VALUE!</v>
      </c>
      <c r="R32" t="e">
        <f>AND('4to. Perito_B'!C34,"AAAAAH/8fxE=")</f>
        <v>#VALUE!</v>
      </c>
      <c r="S32" t="e">
        <f>AND('4to. Perito_B'!D34,"AAAAAH/8fxI=")</f>
        <v>#VALUE!</v>
      </c>
      <c r="T32" t="e">
        <f>AND('4to. Perito_B'!E34,"AAAAAH/8fxM=")</f>
        <v>#VALUE!</v>
      </c>
      <c r="U32" t="e">
        <f>AND('4to. Perito_B'!F34,"AAAAAH/8fxQ=")</f>
        <v>#VALUE!</v>
      </c>
      <c r="V32" t="e">
        <f>AND('4to. Perito_B'!G34,"AAAAAH/8fxU=")</f>
        <v>#VALUE!</v>
      </c>
      <c r="W32" t="e">
        <f>AND('4to. Perito_B'!H34,"AAAAAH/8fxY=")</f>
        <v>#VALUE!</v>
      </c>
      <c r="X32" t="e">
        <f>AND('4to. Perito_B'!I34,"AAAAAH/8fxc=")</f>
        <v>#VALUE!</v>
      </c>
      <c r="Y32" t="e">
        <f>AND('4to. Perito_B'!J34,"AAAAAH/8fxg=")</f>
        <v>#VALUE!</v>
      </c>
      <c r="Z32" t="e">
        <f>AND('4to. Perito_B'!K34,"AAAAAH/8fxk=")</f>
        <v>#VALUE!</v>
      </c>
      <c r="AA32" t="e">
        <f>AND('4to. Perito_B'!L34,"AAAAAH/8fxo=")</f>
        <v>#VALUE!</v>
      </c>
      <c r="AB32" t="e">
        <f>AND('4to. Perito_B'!M34,"AAAAAH/8fxs=")</f>
        <v>#VALUE!</v>
      </c>
      <c r="AC32" t="e">
        <f>AND('4to. Perito_B'!N34,"AAAAAH/8fxw=")</f>
        <v>#VALUE!</v>
      </c>
      <c r="AD32" t="e">
        <f>AND('4to. Perito_B'!O34,"AAAAAH/8fx0=")</f>
        <v>#VALUE!</v>
      </c>
      <c r="AE32" t="e">
        <f>AND('4to. Perito_B'!P34,"AAAAAH/8fx4=")</f>
        <v>#VALUE!</v>
      </c>
      <c r="AF32" t="e">
        <f>AND('4to. Perito_B'!Q34,"AAAAAH/8fx8=")</f>
        <v>#VALUE!</v>
      </c>
      <c r="AG32" t="e">
        <f>AND('4to. Perito_B'!R34,"AAAAAH/8fyA=")</f>
        <v>#VALUE!</v>
      </c>
      <c r="AH32" t="e">
        <f>AND('4to. Perito_B'!S34,"AAAAAH/8fyE=")</f>
        <v>#VALUE!</v>
      </c>
      <c r="AI32" t="e">
        <f>AND('4to. Perito_B'!T34,"AAAAAH/8fyI=")</f>
        <v>#VALUE!</v>
      </c>
      <c r="AJ32" t="e">
        <f>AND('4to. Perito_B'!#REF!,"AAAAAH/8fyM=")</f>
        <v>#REF!</v>
      </c>
      <c r="AK32" t="e">
        <f>AND('4to. Perito_B'!#REF!,"AAAAAH/8fyQ=")</f>
        <v>#REF!</v>
      </c>
      <c r="AL32" t="e">
        <f>AND('4to. Perito_B'!#REF!,"AAAAAH/8fyU=")</f>
        <v>#REF!</v>
      </c>
      <c r="AM32" t="e">
        <f>AND('4to. Perito_B'!#REF!,"AAAAAH/8fyY=")</f>
        <v>#REF!</v>
      </c>
      <c r="AN32" t="e">
        <f>AND('4to. Perito_B'!#REF!,"AAAAAH/8fyc=")</f>
        <v>#REF!</v>
      </c>
      <c r="AO32">
        <f>IF('4to. Perito_B'!35:35,"AAAAAH/8fyg=",0)</f>
        <v>0</v>
      </c>
      <c r="AP32" t="e">
        <f>AND('4to. Perito_B'!A35,"AAAAAH/8fyk=")</f>
        <v>#VALUE!</v>
      </c>
      <c r="AQ32" t="e">
        <f>AND('4to. Perito_B'!B35,"AAAAAH/8fyo=")</f>
        <v>#VALUE!</v>
      </c>
      <c r="AR32" t="e">
        <f>AND('4to. Perito_B'!C35,"AAAAAH/8fys=")</f>
        <v>#VALUE!</v>
      </c>
      <c r="AS32" t="e">
        <f>AND('4to. Perito_B'!D35,"AAAAAH/8fyw=")</f>
        <v>#VALUE!</v>
      </c>
      <c r="AT32" t="e">
        <f>AND('4to. Perito_B'!E35,"AAAAAH/8fy0=")</f>
        <v>#VALUE!</v>
      </c>
      <c r="AU32" t="e">
        <f>AND('4to. Perito_B'!F35,"AAAAAH/8fy4=")</f>
        <v>#VALUE!</v>
      </c>
      <c r="AV32" t="e">
        <f>AND('4to. Perito_B'!G35,"AAAAAH/8fy8=")</f>
        <v>#VALUE!</v>
      </c>
      <c r="AW32" t="e">
        <f>AND('4to. Perito_B'!H35,"AAAAAH/8fzA=")</f>
        <v>#VALUE!</v>
      </c>
      <c r="AX32" t="e">
        <f>AND('4to. Perito_B'!I35,"AAAAAH/8fzE=")</f>
        <v>#VALUE!</v>
      </c>
      <c r="AY32" t="e">
        <f>AND('4to. Perito_B'!J35,"AAAAAH/8fzI=")</f>
        <v>#VALUE!</v>
      </c>
      <c r="AZ32" t="e">
        <f>AND('4to. Perito_B'!K35,"AAAAAH/8fzM=")</f>
        <v>#VALUE!</v>
      </c>
      <c r="BA32" t="e">
        <f>AND('4to. Perito_B'!L35,"AAAAAH/8fzQ=")</f>
        <v>#VALUE!</v>
      </c>
      <c r="BB32" t="e">
        <f>AND('4to. Perito_B'!M35,"AAAAAH/8fzU=")</f>
        <v>#VALUE!</v>
      </c>
      <c r="BC32" t="e">
        <f>AND('4to. Perito_B'!N35,"AAAAAH/8fzY=")</f>
        <v>#VALUE!</v>
      </c>
      <c r="BD32" t="e">
        <f>AND('4to. Perito_B'!O35,"AAAAAH/8fzc=")</f>
        <v>#VALUE!</v>
      </c>
      <c r="BE32" t="e">
        <f>AND('4to. Perito_B'!P35,"AAAAAH/8fzg=")</f>
        <v>#VALUE!</v>
      </c>
      <c r="BF32" t="e">
        <f>AND('4to. Perito_B'!Q35,"AAAAAH/8fzk=")</f>
        <v>#VALUE!</v>
      </c>
      <c r="BG32" t="e">
        <f>AND('4to. Perito_B'!R35,"AAAAAH/8fzo=")</f>
        <v>#VALUE!</v>
      </c>
      <c r="BH32" t="e">
        <f>AND('4to. Perito_B'!S35,"AAAAAH/8fzs=")</f>
        <v>#VALUE!</v>
      </c>
      <c r="BI32" t="e">
        <f>AND('4to. Perito_B'!T35,"AAAAAH/8fzw=")</f>
        <v>#VALUE!</v>
      </c>
      <c r="BJ32" t="e">
        <f>AND('4to. Perito_B'!#REF!,"AAAAAH/8fz0=")</f>
        <v>#REF!</v>
      </c>
      <c r="BK32" t="e">
        <f>AND('4to. Perito_B'!#REF!,"AAAAAH/8fz4=")</f>
        <v>#REF!</v>
      </c>
      <c r="BL32" t="e">
        <f>AND('4to. Perito_B'!#REF!,"AAAAAH/8fz8=")</f>
        <v>#REF!</v>
      </c>
      <c r="BM32" t="e">
        <f>AND('4to. Perito_B'!#REF!,"AAAAAH/8f0A=")</f>
        <v>#REF!</v>
      </c>
      <c r="BN32" t="e">
        <f>AND('4to. Perito_B'!#REF!,"AAAAAH/8f0E=")</f>
        <v>#REF!</v>
      </c>
      <c r="BO32">
        <f>IF('4to. Perito_B'!36:36,"AAAAAH/8f0I=",0)</f>
        <v>0</v>
      </c>
      <c r="BP32" t="e">
        <f>AND('4to. Perito_B'!A36,"AAAAAH/8f0M=")</f>
        <v>#VALUE!</v>
      </c>
      <c r="BQ32" t="e">
        <f>AND('4to. Perito_B'!B36,"AAAAAH/8f0Q=")</f>
        <v>#VALUE!</v>
      </c>
      <c r="BR32" t="e">
        <f>AND('4to. Perito_B'!C36,"AAAAAH/8f0U=")</f>
        <v>#VALUE!</v>
      </c>
      <c r="BS32" t="e">
        <f>AND('4to. Perito_B'!D36,"AAAAAH/8f0Y=")</f>
        <v>#VALUE!</v>
      </c>
      <c r="BT32" t="e">
        <f>AND('4to. Perito_B'!E36,"AAAAAH/8f0c=")</f>
        <v>#VALUE!</v>
      </c>
      <c r="BU32" t="e">
        <f>AND('4to. Perito_B'!F36,"AAAAAH/8f0g=")</f>
        <v>#VALUE!</v>
      </c>
      <c r="BV32" t="e">
        <f>AND('4to. Perito_B'!G36,"AAAAAH/8f0k=")</f>
        <v>#VALUE!</v>
      </c>
      <c r="BW32" t="e">
        <f>AND('4to. Perito_B'!H36,"AAAAAH/8f0o=")</f>
        <v>#VALUE!</v>
      </c>
      <c r="BX32" t="e">
        <f>AND('4to. Perito_B'!I36,"AAAAAH/8f0s=")</f>
        <v>#VALUE!</v>
      </c>
      <c r="BY32" t="e">
        <f>AND('4to. Perito_B'!J36,"AAAAAH/8f0w=")</f>
        <v>#VALUE!</v>
      </c>
      <c r="BZ32" t="e">
        <f>AND('4to. Perito_B'!K36,"AAAAAH/8f00=")</f>
        <v>#VALUE!</v>
      </c>
      <c r="CA32" t="e">
        <f>AND('4to. Perito_B'!L36,"AAAAAH/8f04=")</f>
        <v>#VALUE!</v>
      </c>
      <c r="CB32" t="e">
        <f>AND('4to. Perito_B'!M36,"AAAAAH/8f08=")</f>
        <v>#VALUE!</v>
      </c>
      <c r="CC32" t="e">
        <f>AND('4to. Perito_B'!N36,"AAAAAH/8f1A=")</f>
        <v>#VALUE!</v>
      </c>
      <c r="CD32" t="e">
        <f>AND('4to. Perito_B'!O36,"AAAAAH/8f1E=")</f>
        <v>#VALUE!</v>
      </c>
      <c r="CE32" t="e">
        <f>AND('4to. Perito_B'!P36,"AAAAAH/8f1I=")</f>
        <v>#VALUE!</v>
      </c>
      <c r="CF32" t="e">
        <f>AND('4to. Perito_B'!Q36,"AAAAAH/8f1M=")</f>
        <v>#VALUE!</v>
      </c>
      <c r="CG32" t="e">
        <f>AND('4to. Perito_B'!R36,"AAAAAH/8f1Q=")</f>
        <v>#VALUE!</v>
      </c>
      <c r="CH32" t="e">
        <f>AND('4to. Perito_B'!S36,"AAAAAH/8f1U=")</f>
        <v>#VALUE!</v>
      </c>
      <c r="CI32" t="e">
        <f>AND('4to. Perito_B'!T36,"AAAAAH/8f1Y=")</f>
        <v>#VALUE!</v>
      </c>
      <c r="CJ32" t="e">
        <f>AND('4to. Perito_B'!#REF!,"AAAAAH/8f1c=")</f>
        <v>#REF!</v>
      </c>
      <c r="CK32" t="e">
        <f>AND('4to. Perito_B'!#REF!,"AAAAAH/8f1g=")</f>
        <v>#REF!</v>
      </c>
      <c r="CL32" t="e">
        <f>AND('4to. Perito_B'!#REF!,"AAAAAH/8f1k=")</f>
        <v>#REF!</v>
      </c>
      <c r="CM32" t="e">
        <f>AND('4to. Perito_B'!#REF!,"AAAAAH/8f1o=")</f>
        <v>#REF!</v>
      </c>
      <c r="CN32" t="e">
        <f>AND('4to. Perito_B'!#REF!,"AAAAAH/8f1s=")</f>
        <v>#REF!</v>
      </c>
      <c r="CO32">
        <f>IF('4to. Perito_B'!37:37,"AAAAAH/8f1w=",0)</f>
        <v>0</v>
      </c>
      <c r="CP32" t="e">
        <f>AND('4to. Perito_B'!A37,"AAAAAH/8f10=")</f>
        <v>#VALUE!</v>
      </c>
      <c r="CQ32" t="e">
        <f>AND('4to. Perito_B'!B37,"AAAAAH/8f14=")</f>
        <v>#VALUE!</v>
      </c>
      <c r="CR32" t="e">
        <f>AND('4to. Perito_B'!C37,"AAAAAH/8f18=")</f>
        <v>#VALUE!</v>
      </c>
      <c r="CS32" t="e">
        <f>AND('4to. Perito_B'!D37,"AAAAAH/8f2A=")</f>
        <v>#VALUE!</v>
      </c>
      <c r="CT32" t="e">
        <f>AND('4to. Perito_B'!E37,"AAAAAH/8f2E=")</f>
        <v>#VALUE!</v>
      </c>
      <c r="CU32" t="e">
        <f>AND('4to. Perito_B'!F37,"AAAAAH/8f2I=")</f>
        <v>#VALUE!</v>
      </c>
      <c r="CV32" t="e">
        <f>AND('4to. Perito_B'!G37,"AAAAAH/8f2M=")</f>
        <v>#VALUE!</v>
      </c>
      <c r="CW32" t="e">
        <f>AND('4to. Perito_B'!H37,"AAAAAH/8f2Q=")</f>
        <v>#VALUE!</v>
      </c>
      <c r="CX32" t="e">
        <f>AND('4to. Perito_B'!I37,"AAAAAH/8f2U=")</f>
        <v>#VALUE!</v>
      </c>
      <c r="CY32" t="e">
        <f>AND('4to. Perito_B'!J37,"AAAAAH/8f2Y=")</f>
        <v>#VALUE!</v>
      </c>
      <c r="CZ32" t="e">
        <f>AND('4to. Perito_B'!K37,"AAAAAH/8f2c=")</f>
        <v>#VALUE!</v>
      </c>
      <c r="DA32" t="e">
        <f>AND('4to. Perito_B'!L37,"AAAAAH/8f2g=")</f>
        <v>#VALUE!</v>
      </c>
      <c r="DB32" t="e">
        <f>AND('4to. Perito_B'!M37,"AAAAAH/8f2k=")</f>
        <v>#VALUE!</v>
      </c>
      <c r="DC32" t="e">
        <f>AND('4to. Perito_B'!N37,"AAAAAH/8f2o=")</f>
        <v>#VALUE!</v>
      </c>
      <c r="DD32" t="e">
        <f>AND('4to. Perito_B'!O37,"AAAAAH/8f2s=")</f>
        <v>#VALUE!</v>
      </c>
      <c r="DE32" t="e">
        <f>AND('4to. Perito_B'!P37,"AAAAAH/8f2w=")</f>
        <v>#VALUE!</v>
      </c>
      <c r="DF32" t="e">
        <f>AND('4to. Perito_B'!Q37,"AAAAAH/8f20=")</f>
        <v>#VALUE!</v>
      </c>
      <c r="DG32" t="e">
        <f>AND('4to. Perito_B'!R37,"AAAAAH/8f24=")</f>
        <v>#VALUE!</v>
      </c>
      <c r="DH32" t="e">
        <f>AND('4to. Perito_B'!S37,"AAAAAH/8f28=")</f>
        <v>#VALUE!</v>
      </c>
      <c r="DI32" t="e">
        <f>AND('4to. Perito_B'!T37,"AAAAAH/8f3A=")</f>
        <v>#VALUE!</v>
      </c>
      <c r="DJ32" t="e">
        <f>AND('4to. Perito_B'!#REF!,"AAAAAH/8f3E=")</f>
        <v>#REF!</v>
      </c>
      <c r="DK32" t="e">
        <f>AND('4to. Perito_B'!#REF!,"AAAAAH/8f3I=")</f>
        <v>#REF!</v>
      </c>
      <c r="DL32" t="e">
        <f>AND('4to. Perito_B'!#REF!,"AAAAAH/8f3M=")</f>
        <v>#REF!</v>
      </c>
      <c r="DM32" t="e">
        <f>AND('4to. Perito_B'!#REF!,"AAAAAH/8f3Q=")</f>
        <v>#REF!</v>
      </c>
      <c r="DN32" t="e">
        <f>AND('4to. Perito_B'!#REF!,"AAAAAH/8f3U=")</f>
        <v>#REF!</v>
      </c>
      <c r="DO32">
        <f>IF('4to. Perito_B'!38:38,"AAAAAH/8f3Y=",0)</f>
        <v>0</v>
      </c>
      <c r="DP32" t="e">
        <f>AND('4to. Perito_B'!A38,"AAAAAH/8f3c=")</f>
        <v>#VALUE!</v>
      </c>
      <c r="DQ32" t="e">
        <f>AND('4to. Perito_B'!B38,"AAAAAH/8f3g=")</f>
        <v>#VALUE!</v>
      </c>
      <c r="DR32" t="e">
        <f>AND('4to. Perito_B'!C38,"AAAAAH/8f3k=")</f>
        <v>#VALUE!</v>
      </c>
      <c r="DS32" t="e">
        <f>AND('4to. Perito_B'!D38,"AAAAAH/8f3o=")</f>
        <v>#VALUE!</v>
      </c>
      <c r="DT32" t="e">
        <f>AND('4to. Perito_B'!E38,"AAAAAH/8f3s=")</f>
        <v>#VALUE!</v>
      </c>
      <c r="DU32" t="e">
        <f>AND('4to. Perito_B'!F38,"AAAAAH/8f3w=")</f>
        <v>#VALUE!</v>
      </c>
      <c r="DV32" t="e">
        <f>AND('4to. Perito_B'!G38,"AAAAAH/8f30=")</f>
        <v>#VALUE!</v>
      </c>
      <c r="DW32" t="e">
        <f>AND('4to. Perito_B'!H38,"AAAAAH/8f34=")</f>
        <v>#VALUE!</v>
      </c>
      <c r="DX32" t="e">
        <f>AND('4to. Perito_B'!I38,"AAAAAH/8f38=")</f>
        <v>#VALUE!</v>
      </c>
      <c r="DY32" t="e">
        <f>AND('4to. Perito_B'!J38,"AAAAAH/8f4A=")</f>
        <v>#VALUE!</v>
      </c>
      <c r="DZ32" t="e">
        <f>AND('4to. Perito_B'!K38,"AAAAAH/8f4E=")</f>
        <v>#VALUE!</v>
      </c>
      <c r="EA32" t="e">
        <f>AND('4to. Perito_B'!L38,"AAAAAH/8f4I=")</f>
        <v>#VALUE!</v>
      </c>
      <c r="EB32" t="e">
        <f>AND('4to. Perito_B'!M38,"AAAAAH/8f4M=")</f>
        <v>#VALUE!</v>
      </c>
      <c r="EC32" t="e">
        <f>AND('4to. Perito_B'!N38,"AAAAAH/8f4Q=")</f>
        <v>#VALUE!</v>
      </c>
      <c r="ED32" t="e">
        <f>AND('4to. Perito_B'!O38,"AAAAAH/8f4U=")</f>
        <v>#VALUE!</v>
      </c>
      <c r="EE32" t="e">
        <f>AND('4to. Perito_B'!P38,"AAAAAH/8f4Y=")</f>
        <v>#VALUE!</v>
      </c>
      <c r="EF32" t="e">
        <f>AND('4to. Perito_B'!Q38,"AAAAAH/8f4c=")</f>
        <v>#VALUE!</v>
      </c>
      <c r="EG32" t="e">
        <f>AND('4to. Perito_B'!R38,"AAAAAH/8f4g=")</f>
        <v>#VALUE!</v>
      </c>
      <c r="EH32" t="e">
        <f>AND('4to. Perito_B'!S38,"AAAAAH/8f4k=")</f>
        <v>#VALUE!</v>
      </c>
      <c r="EI32" t="e">
        <f>AND('4to. Perito_B'!T38,"AAAAAH/8f4o=")</f>
        <v>#VALUE!</v>
      </c>
      <c r="EJ32" t="e">
        <f>AND('4to. Perito_B'!#REF!,"AAAAAH/8f4s=")</f>
        <v>#REF!</v>
      </c>
      <c r="EK32" t="e">
        <f>AND('4to. Perito_B'!#REF!,"AAAAAH/8f4w=")</f>
        <v>#REF!</v>
      </c>
      <c r="EL32" t="e">
        <f>AND('4to. Perito_B'!#REF!,"AAAAAH/8f40=")</f>
        <v>#REF!</v>
      </c>
      <c r="EM32" t="e">
        <f>AND('4to. Perito_B'!#REF!,"AAAAAH/8f44=")</f>
        <v>#REF!</v>
      </c>
      <c r="EN32" t="e">
        <f>AND('4to. Perito_B'!#REF!,"AAAAAH/8f48=")</f>
        <v>#REF!</v>
      </c>
      <c r="EO32">
        <f>IF('4to. Perito_B'!39:39,"AAAAAH/8f5A=",0)</f>
        <v>0</v>
      </c>
      <c r="EP32" t="e">
        <f>AND('4to. Perito_B'!A39,"AAAAAH/8f5E=")</f>
        <v>#VALUE!</v>
      </c>
      <c r="EQ32" t="e">
        <f>AND('4to. Perito_B'!B39,"AAAAAH/8f5I=")</f>
        <v>#VALUE!</v>
      </c>
      <c r="ER32" t="e">
        <f>AND('4to. Perito_B'!C39,"AAAAAH/8f5M=")</f>
        <v>#VALUE!</v>
      </c>
      <c r="ES32" t="e">
        <f>AND('4to. Perito_B'!D39,"AAAAAH/8f5Q=")</f>
        <v>#VALUE!</v>
      </c>
      <c r="ET32" t="e">
        <f>AND('4to. Perito_B'!E39,"AAAAAH/8f5U=")</f>
        <v>#VALUE!</v>
      </c>
      <c r="EU32" t="e">
        <f>AND('4to. Perito_B'!F39,"AAAAAH/8f5Y=")</f>
        <v>#VALUE!</v>
      </c>
      <c r="EV32" t="e">
        <f>AND('4to. Perito_B'!G39,"AAAAAH/8f5c=")</f>
        <v>#VALUE!</v>
      </c>
      <c r="EW32" t="e">
        <f>AND('4to. Perito_B'!H39,"AAAAAH/8f5g=")</f>
        <v>#VALUE!</v>
      </c>
      <c r="EX32" t="e">
        <f>AND('4to. Perito_B'!I39,"AAAAAH/8f5k=")</f>
        <v>#VALUE!</v>
      </c>
      <c r="EY32" t="e">
        <f>AND('4to. Perito_B'!J39,"AAAAAH/8f5o=")</f>
        <v>#VALUE!</v>
      </c>
      <c r="EZ32" t="e">
        <f>AND('4to. Perito_B'!K39,"AAAAAH/8f5s=")</f>
        <v>#VALUE!</v>
      </c>
      <c r="FA32" t="e">
        <f>AND('4to. Perito_B'!L39,"AAAAAH/8f5w=")</f>
        <v>#VALUE!</v>
      </c>
      <c r="FB32" t="e">
        <f>AND('4to. Perito_B'!M39,"AAAAAH/8f50=")</f>
        <v>#VALUE!</v>
      </c>
      <c r="FC32" t="e">
        <f>AND('4to. Perito_B'!N39,"AAAAAH/8f54=")</f>
        <v>#VALUE!</v>
      </c>
      <c r="FD32" t="e">
        <f>AND('4to. Perito_B'!O39,"AAAAAH/8f58=")</f>
        <v>#VALUE!</v>
      </c>
      <c r="FE32" t="e">
        <f>AND('4to. Perito_B'!P39,"AAAAAH/8f6A=")</f>
        <v>#VALUE!</v>
      </c>
      <c r="FF32" t="e">
        <f>AND('4to. Perito_B'!Q39,"AAAAAH/8f6E=")</f>
        <v>#VALUE!</v>
      </c>
      <c r="FG32" t="e">
        <f>AND('4to. Perito_B'!R39,"AAAAAH/8f6I=")</f>
        <v>#VALUE!</v>
      </c>
      <c r="FH32" t="e">
        <f>AND('4to. Perito_B'!S39,"AAAAAH/8f6M=")</f>
        <v>#VALUE!</v>
      </c>
      <c r="FI32" t="e">
        <f>AND('4to. Perito_B'!T39,"AAAAAH/8f6Q=")</f>
        <v>#VALUE!</v>
      </c>
      <c r="FJ32" t="e">
        <f>AND('4to. Perito_B'!#REF!,"AAAAAH/8f6U=")</f>
        <v>#REF!</v>
      </c>
      <c r="FK32" t="e">
        <f>AND('4to. Perito_B'!#REF!,"AAAAAH/8f6Y=")</f>
        <v>#REF!</v>
      </c>
      <c r="FL32" t="e">
        <f>AND('4to. Perito_B'!#REF!,"AAAAAH/8f6c=")</f>
        <v>#REF!</v>
      </c>
      <c r="FM32" t="e">
        <f>AND('4to. Perito_B'!#REF!,"AAAAAH/8f6g=")</f>
        <v>#REF!</v>
      </c>
      <c r="FN32" t="e">
        <f>AND('4to. Perito_B'!#REF!,"AAAAAH/8f6k=")</f>
        <v>#REF!</v>
      </c>
      <c r="FO32">
        <f>IF('4to. Perito_B'!40:40,"AAAAAH/8f6o=",0)</f>
        <v>0</v>
      </c>
      <c r="FP32" t="e">
        <f>AND('4to. Perito_B'!A40,"AAAAAH/8f6s=")</f>
        <v>#VALUE!</v>
      </c>
      <c r="FQ32" t="e">
        <f>AND('4to. Perito_B'!B40,"AAAAAH/8f6w=")</f>
        <v>#VALUE!</v>
      </c>
      <c r="FR32" t="e">
        <f>AND('4to. Perito_B'!C40,"AAAAAH/8f60=")</f>
        <v>#VALUE!</v>
      </c>
      <c r="FS32" t="e">
        <f>AND('4to. Perito_B'!D40,"AAAAAH/8f64=")</f>
        <v>#VALUE!</v>
      </c>
      <c r="FT32" t="e">
        <f>AND('4to. Perito_B'!E40,"AAAAAH/8f68=")</f>
        <v>#VALUE!</v>
      </c>
      <c r="FU32" t="e">
        <f>AND('4to. Perito_B'!F40,"AAAAAH/8f7A=")</f>
        <v>#VALUE!</v>
      </c>
      <c r="FV32" t="e">
        <f>AND('4to. Perito_B'!G40,"AAAAAH/8f7E=")</f>
        <v>#VALUE!</v>
      </c>
      <c r="FW32" t="e">
        <f>AND('4to. Perito_B'!H40,"AAAAAH/8f7I=")</f>
        <v>#VALUE!</v>
      </c>
      <c r="FX32" t="e">
        <f>AND('4to. Perito_B'!I40,"AAAAAH/8f7M=")</f>
        <v>#VALUE!</v>
      </c>
      <c r="FY32" t="e">
        <f>AND('4to. Perito_B'!J40,"AAAAAH/8f7Q=")</f>
        <v>#VALUE!</v>
      </c>
      <c r="FZ32" t="e">
        <f>AND('4to. Perito_B'!K40,"AAAAAH/8f7U=")</f>
        <v>#VALUE!</v>
      </c>
      <c r="GA32" t="e">
        <f>AND('4to. Perito_B'!L40,"AAAAAH/8f7Y=")</f>
        <v>#VALUE!</v>
      </c>
      <c r="GB32" t="e">
        <f>AND('4to. Perito_B'!M40,"AAAAAH/8f7c=")</f>
        <v>#VALUE!</v>
      </c>
      <c r="GC32" t="e">
        <f>AND('4to. Perito_B'!N40,"AAAAAH/8f7g=")</f>
        <v>#VALUE!</v>
      </c>
      <c r="GD32" t="e">
        <f>AND('4to. Perito_B'!O40,"AAAAAH/8f7k=")</f>
        <v>#VALUE!</v>
      </c>
      <c r="GE32" t="e">
        <f>AND('4to. Perito_B'!P40,"AAAAAH/8f7o=")</f>
        <v>#VALUE!</v>
      </c>
      <c r="GF32" t="e">
        <f>AND('4to. Perito_B'!Q40,"AAAAAH/8f7s=")</f>
        <v>#VALUE!</v>
      </c>
      <c r="GG32" t="e">
        <f>AND('4to. Perito_B'!R40,"AAAAAH/8f7w=")</f>
        <v>#VALUE!</v>
      </c>
      <c r="GH32" t="e">
        <f>AND('4to. Perito_B'!S40,"AAAAAH/8f70=")</f>
        <v>#VALUE!</v>
      </c>
      <c r="GI32" t="e">
        <f>AND('4to. Perito_B'!T40,"AAAAAH/8f74=")</f>
        <v>#VALUE!</v>
      </c>
      <c r="GJ32" t="e">
        <f>AND('4to. Perito_B'!#REF!,"AAAAAH/8f78=")</f>
        <v>#REF!</v>
      </c>
      <c r="GK32" t="e">
        <f>AND('4to. Perito_B'!#REF!,"AAAAAH/8f8A=")</f>
        <v>#REF!</v>
      </c>
      <c r="GL32" t="e">
        <f>AND('4to. Perito_B'!#REF!,"AAAAAH/8f8E=")</f>
        <v>#REF!</v>
      </c>
      <c r="GM32" t="e">
        <f>AND('4to. Perito_B'!#REF!,"AAAAAH/8f8I=")</f>
        <v>#REF!</v>
      </c>
      <c r="GN32" t="e">
        <f>AND('4to. Perito_B'!#REF!,"AAAAAH/8f8M=")</f>
        <v>#REF!</v>
      </c>
      <c r="GO32">
        <f>IF('4to. Perito_B'!41:41,"AAAAAH/8f8Q=",0)</f>
        <v>0</v>
      </c>
      <c r="GP32" t="e">
        <f>AND('4to. Perito_B'!A41,"AAAAAH/8f8U=")</f>
        <v>#VALUE!</v>
      </c>
      <c r="GQ32" t="e">
        <f>AND('4to. Perito_B'!B41,"AAAAAH/8f8Y=")</f>
        <v>#VALUE!</v>
      </c>
      <c r="GR32" t="e">
        <f>AND('4to. Perito_B'!C41,"AAAAAH/8f8c=")</f>
        <v>#VALUE!</v>
      </c>
      <c r="GS32" t="e">
        <f>AND('4to. Perito_B'!D41,"AAAAAH/8f8g=")</f>
        <v>#VALUE!</v>
      </c>
      <c r="GT32" t="e">
        <f>AND('4to. Perito_B'!E41,"AAAAAH/8f8k=")</f>
        <v>#VALUE!</v>
      </c>
      <c r="GU32" t="e">
        <f>AND('4to. Perito_B'!F41,"AAAAAH/8f8o=")</f>
        <v>#VALUE!</v>
      </c>
      <c r="GV32" t="e">
        <f>AND('4to. Perito_B'!G41,"AAAAAH/8f8s=")</f>
        <v>#VALUE!</v>
      </c>
      <c r="GW32" t="e">
        <f>AND('4to. Perito_B'!H41,"AAAAAH/8f8w=")</f>
        <v>#VALUE!</v>
      </c>
      <c r="GX32" t="e">
        <f>AND('4to. Perito_B'!I41,"AAAAAH/8f80=")</f>
        <v>#VALUE!</v>
      </c>
      <c r="GY32" t="e">
        <f>AND('4to. Perito_B'!J41,"AAAAAH/8f84=")</f>
        <v>#VALUE!</v>
      </c>
      <c r="GZ32" t="e">
        <f>AND('4to. Perito_B'!K41,"AAAAAH/8f88=")</f>
        <v>#VALUE!</v>
      </c>
      <c r="HA32" t="e">
        <f>AND('4to. Perito_B'!L41,"AAAAAH/8f9A=")</f>
        <v>#VALUE!</v>
      </c>
      <c r="HB32" t="e">
        <f>AND('4to. Perito_B'!M41,"AAAAAH/8f9E=")</f>
        <v>#VALUE!</v>
      </c>
      <c r="HC32" t="e">
        <f>AND('4to. Perito_B'!N41,"AAAAAH/8f9I=")</f>
        <v>#VALUE!</v>
      </c>
      <c r="HD32" t="e">
        <f>AND('4to. Perito_B'!O41,"AAAAAH/8f9M=")</f>
        <v>#VALUE!</v>
      </c>
      <c r="HE32" t="e">
        <f>AND('4to. Perito_B'!P41,"AAAAAH/8f9Q=")</f>
        <v>#VALUE!</v>
      </c>
      <c r="HF32" t="e">
        <f>AND('4to. Perito_B'!Q41,"AAAAAH/8f9U=")</f>
        <v>#VALUE!</v>
      </c>
      <c r="HG32" t="e">
        <f>AND('4to. Perito_B'!R41,"AAAAAH/8f9Y=")</f>
        <v>#VALUE!</v>
      </c>
      <c r="HH32" t="e">
        <f>AND('4to. Perito_B'!S41,"AAAAAH/8f9c=")</f>
        <v>#VALUE!</v>
      </c>
      <c r="HI32" t="e">
        <f>AND('4to. Perito_B'!T41,"AAAAAH/8f9g=")</f>
        <v>#VALUE!</v>
      </c>
      <c r="HJ32" t="e">
        <f>AND('4to. Perito_B'!#REF!,"AAAAAH/8f9k=")</f>
        <v>#REF!</v>
      </c>
      <c r="HK32" t="e">
        <f>AND('4to. Perito_B'!#REF!,"AAAAAH/8f9o=")</f>
        <v>#REF!</v>
      </c>
      <c r="HL32" t="e">
        <f>AND('4to. Perito_B'!#REF!,"AAAAAH/8f9s=")</f>
        <v>#REF!</v>
      </c>
      <c r="HM32" t="e">
        <f>AND('4to. Perito_B'!#REF!,"AAAAAH/8f9w=")</f>
        <v>#REF!</v>
      </c>
      <c r="HN32" t="e">
        <f>AND('4to. Perito_B'!#REF!,"AAAAAH/8f90=")</f>
        <v>#REF!</v>
      </c>
      <c r="HO32">
        <f>IF('4to. Perito_B'!42:42,"AAAAAH/8f94=",0)</f>
        <v>0</v>
      </c>
      <c r="HP32" t="e">
        <f>AND('4to. Perito_B'!A42,"AAAAAH/8f98=")</f>
        <v>#VALUE!</v>
      </c>
      <c r="HQ32" t="e">
        <f>AND('4to. Perito_B'!B42,"AAAAAH/8f+A=")</f>
        <v>#VALUE!</v>
      </c>
      <c r="HR32" t="e">
        <f>AND('4to. Perito_B'!C42,"AAAAAH/8f+E=")</f>
        <v>#VALUE!</v>
      </c>
      <c r="HS32" t="e">
        <f>AND('4to. Perito_B'!D42,"AAAAAH/8f+I=")</f>
        <v>#VALUE!</v>
      </c>
      <c r="HT32" t="e">
        <f>AND('4to. Perito_B'!E42,"AAAAAH/8f+M=")</f>
        <v>#VALUE!</v>
      </c>
      <c r="HU32" t="e">
        <f>AND('4to. Perito_B'!F42,"AAAAAH/8f+Q=")</f>
        <v>#VALUE!</v>
      </c>
      <c r="HV32" t="e">
        <f>AND('4to. Perito_B'!G42,"AAAAAH/8f+U=")</f>
        <v>#VALUE!</v>
      </c>
      <c r="HW32" t="e">
        <f>AND('4to. Perito_B'!H42,"AAAAAH/8f+Y=")</f>
        <v>#VALUE!</v>
      </c>
      <c r="HX32" t="e">
        <f>AND('4to. Perito_B'!I42,"AAAAAH/8f+c=")</f>
        <v>#VALUE!</v>
      </c>
      <c r="HY32" t="e">
        <f>AND('4to. Perito_B'!J42,"AAAAAH/8f+g=")</f>
        <v>#VALUE!</v>
      </c>
      <c r="HZ32" t="e">
        <f>AND('4to. Perito_B'!K42,"AAAAAH/8f+k=")</f>
        <v>#VALUE!</v>
      </c>
      <c r="IA32" t="e">
        <f>AND('4to. Perito_B'!L42,"AAAAAH/8f+o=")</f>
        <v>#VALUE!</v>
      </c>
      <c r="IB32" t="e">
        <f>AND('4to. Perito_B'!M42,"AAAAAH/8f+s=")</f>
        <v>#VALUE!</v>
      </c>
      <c r="IC32" t="e">
        <f>AND('4to. Perito_B'!N42,"AAAAAH/8f+w=")</f>
        <v>#VALUE!</v>
      </c>
      <c r="ID32" t="e">
        <f>AND('4to. Perito_B'!O42,"AAAAAH/8f+0=")</f>
        <v>#VALUE!</v>
      </c>
      <c r="IE32" t="e">
        <f>AND('4to. Perito_B'!P42,"AAAAAH/8f+4=")</f>
        <v>#VALUE!</v>
      </c>
      <c r="IF32" t="e">
        <f>AND('4to. Perito_B'!Q42,"AAAAAH/8f+8=")</f>
        <v>#VALUE!</v>
      </c>
      <c r="IG32" t="e">
        <f>AND('4to. Perito_B'!R42,"AAAAAH/8f/A=")</f>
        <v>#VALUE!</v>
      </c>
      <c r="IH32" t="e">
        <f>AND('4to. Perito_B'!S42,"AAAAAH/8f/E=")</f>
        <v>#VALUE!</v>
      </c>
      <c r="II32" t="e">
        <f>AND('4to. Perito_B'!T42,"AAAAAH/8f/I=")</f>
        <v>#VALUE!</v>
      </c>
      <c r="IJ32" t="e">
        <f>AND('4to. Perito_B'!#REF!,"AAAAAH/8f/M=")</f>
        <v>#REF!</v>
      </c>
      <c r="IK32" t="e">
        <f>AND('4to. Perito_B'!#REF!,"AAAAAH/8f/Q=")</f>
        <v>#REF!</v>
      </c>
      <c r="IL32" t="e">
        <f>AND('4to. Perito_B'!#REF!,"AAAAAH/8f/U=")</f>
        <v>#REF!</v>
      </c>
      <c r="IM32" t="e">
        <f>AND('4to. Perito_B'!#REF!,"AAAAAH/8f/Y=")</f>
        <v>#REF!</v>
      </c>
      <c r="IN32" t="e">
        <f>AND('4to. Perito_B'!#REF!,"AAAAAH/8f/c=")</f>
        <v>#REF!</v>
      </c>
      <c r="IO32">
        <f>IF('4to. Perito_B'!43:43,"AAAAAH/8f/g=",0)</f>
        <v>0</v>
      </c>
      <c r="IP32" t="e">
        <f>AND('4to. Perito_B'!A43,"AAAAAH/8f/k=")</f>
        <v>#VALUE!</v>
      </c>
      <c r="IQ32" t="e">
        <f>AND('4to. Perito_B'!B43,"AAAAAH/8f/o=")</f>
        <v>#VALUE!</v>
      </c>
      <c r="IR32" t="e">
        <f>AND('4to. Perito_B'!C43,"AAAAAH/8f/s=")</f>
        <v>#VALUE!</v>
      </c>
      <c r="IS32" t="e">
        <f>AND('4to. Perito_B'!D43,"AAAAAH/8f/w=")</f>
        <v>#VALUE!</v>
      </c>
      <c r="IT32" t="e">
        <f>AND('4to. Perito_B'!E43,"AAAAAH/8f/0=")</f>
        <v>#VALUE!</v>
      </c>
      <c r="IU32" t="e">
        <f>AND('4to. Perito_B'!F43,"AAAAAH/8f/4=")</f>
        <v>#VALUE!</v>
      </c>
      <c r="IV32" t="e">
        <f>AND('4to. Perito_B'!G43,"AAAAAH/8f/8=")</f>
        <v>#VALUE!</v>
      </c>
    </row>
    <row r="33" spans="1:256">
      <c r="A33" t="e">
        <f>AND('4to. Perito_B'!H43,"AAAAAGn5uwA=")</f>
        <v>#VALUE!</v>
      </c>
      <c r="B33" t="e">
        <f>AND('4to. Perito_B'!I43,"AAAAAGn5uwE=")</f>
        <v>#VALUE!</v>
      </c>
      <c r="C33" t="e">
        <f>AND('4to. Perito_B'!J43,"AAAAAGn5uwI=")</f>
        <v>#VALUE!</v>
      </c>
      <c r="D33" t="e">
        <f>AND('4to. Perito_B'!K43,"AAAAAGn5uwM=")</f>
        <v>#VALUE!</v>
      </c>
      <c r="E33" t="e">
        <f>AND('4to. Perito_B'!L43,"AAAAAGn5uwQ=")</f>
        <v>#VALUE!</v>
      </c>
      <c r="F33" t="e">
        <f>AND('4to. Perito_B'!M43,"AAAAAGn5uwU=")</f>
        <v>#VALUE!</v>
      </c>
      <c r="G33" t="e">
        <f>AND('4to. Perito_B'!N43,"AAAAAGn5uwY=")</f>
        <v>#VALUE!</v>
      </c>
      <c r="H33" t="e">
        <f>AND('4to. Perito_B'!O43,"AAAAAGn5uwc=")</f>
        <v>#VALUE!</v>
      </c>
      <c r="I33" t="e">
        <f>AND('4to. Perito_B'!P43,"AAAAAGn5uwg=")</f>
        <v>#VALUE!</v>
      </c>
      <c r="J33" t="e">
        <f>AND('4to. Perito_B'!Q43,"AAAAAGn5uwk=")</f>
        <v>#VALUE!</v>
      </c>
      <c r="K33" t="e">
        <f>AND('4to. Perito_B'!R43,"AAAAAGn5uwo=")</f>
        <v>#VALUE!</v>
      </c>
      <c r="L33" t="e">
        <f>AND('4to. Perito_B'!S43,"AAAAAGn5uws=")</f>
        <v>#VALUE!</v>
      </c>
      <c r="M33" t="e">
        <f>AND('4to. Perito_B'!T43,"AAAAAGn5uww=")</f>
        <v>#VALUE!</v>
      </c>
      <c r="N33" t="e">
        <f>AND('4to. Perito_B'!#REF!,"AAAAAGn5uw0=")</f>
        <v>#REF!</v>
      </c>
      <c r="O33" t="e">
        <f>AND('4to. Perito_B'!#REF!,"AAAAAGn5uw4=")</f>
        <v>#REF!</v>
      </c>
      <c r="P33" t="e">
        <f>AND('4to. Perito_B'!#REF!,"AAAAAGn5uw8=")</f>
        <v>#REF!</v>
      </c>
      <c r="Q33" t="e">
        <f>AND('4to. Perito_B'!#REF!,"AAAAAGn5uxA=")</f>
        <v>#REF!</v>
      </c>
      <c r="R33" t="e">
        <f>AND('4to. Perito_B'!#REF!,"AAAAAGn5uxE=")</f>
        <v>#REF!</v>
      </c>
      <c r="S33">
        <f>IF('4to. Perito_B'!44:44,"AAAAAGn5uxI=",0)</f>
        <v>0</v>
      </c>
      <c r="T33" t="e">
        <f>AND('4to. Perito_B'!A44,"AAAAAGn5uxM=")</f>
        <v>#VALUE!</v>
      </c>
      <c r="U33" t="e">
        <f>AND('4to. Perito_B'!B44,"AAAAAGn5uxQ=")</f>
        <v>#VALUE!</v>
      </c>
      <c r="V33" t="e">
        <f>AND('4to. Perito_B'!C44,"AAAAAGn5uxU=")</f>
        <v>#VALUE!</v>
      </c>
      <c r="W33" t="e">
        <f>AND('4to. Perito_B'!D44,"AAAAAGn5uxY=")</f>
        <v>#VALUE!</v>
      </c>
      <c r="X33" t="e">
        <f>AND('4to. Perito_B'!E44,"AAAAAGn5uxc=")</f>
        <v>#VALUE!</v>
      </c>
      <c r="Y33" t="e">
        <f>AND('4to. Perito_B'!F44,"AAAAAGn5uxg=")</f>
        <v>#VALUE!</v>
      </c>
      <c r="Z33" t="e">
        <f>AND('4to. Perito_B'!G44,"AAAAAGn5uxk=")</f>
        <v>#VALUE!</v>
      </c>
      <c r="AA33" t="e">
        <f>AND('4to. Perito_B'!H44,"AAAAAGn5uxo=")</f>
        <v>#VALUE!</v>
      </c>
      <c r="AB33" t="e">
        <f>AND('4to. Perito_B'!I44,"AAAAAGn5uxs=")</f>
        <v>#VALUE!</v>
      </c>
      <c r="AC33" t="e">
        <f>AND('4to. Perito_B'!J44,"AAAAAGn5uxw=")</f>
        <v>#VALUE!</v>
      </c>
      <c r="AD33" t="e">
        <f>AND('4to. Perito_B'!K44,"AAAAAGn5ux0=")</f>
        <v>#VALUE!</v>
      </c>
      <c r="AE33" t="e">
        <f>AND('4to. Perito_B'!L44,"AAAAAGn5ux4=")</f>
        <v>#VALUE!</v>
      </c>
      <c r="AF33" t="e">
        <f>AND('4to. Perito_B'!M44,"AAAAAGn5ux8=")</f>
        <v>#VALUE!</v>
      </c>
      <c r="AG33" t="e">
        <f>AND('4to. Perito_B'!N44,"AAAAAGn5uyA=")</f>
        <v>#VALUE!</v>
      </c>
      <c r="AH33" t="e">
        <f>AND('4to. Perito_B'!O44,"AAAAAGn5uyE=")</f>
        <v>#VALUE!</v>
      </c>
      <c r="AI33" t="e">
        <f>AND('4to. Perito_B'!P44,"AAAAAGn5uyI=")</f>
        <v>#VALUE!</v>
      </c>
      <c r="AJ33" t="e">
        <f>AND('4to. Perito_B'!Q44,"AAAAAGn5uyM=")</f>
        <v>#VALUE!</v>
      </c>
      <c r="AK33" t="e">
        <f>AND('4to. Perito_B'!R44,"AAAAAGn5uyQ=")</f>
        <v>#VALUE!</v>
      </c>
      <c r="AL33" t="e">
        <f>AND('4to. Perito_B'!S44,"AAAAAGn5uyU=")</f>
        <v>#VALUE!</v>
      </c>
      <c r="AM33" t="e">
        <f>AND('4to. Perito_B'!T44,"AAAAAGn5uyY=")</f>
        <v>#VALUE!</v>
      </c>
      <c r="AN33" t="e">
        <f>AND('4to. Perito_B'!#REF!,"AAAAAGn5uyc=")</f>
        <v>#REF!</v>
      </c>
      <c r="AO33" t="e">
        <f>AND('4to. Perito_B'!#REF!,"AAAAAGn5uyg=")</f>
        <v>#REF!</v>
      </c>
      <c r="AP33" t="e">
        <f>AND('4to. Perito_B'!#REF!,"AAAAAGn5uyk=")</f>
        <v>#REF!</v>
      </c>
      <c r="AQ33" t="e">
        <f>AND('4to. Perito_B'!#REF!,"AAAAAGn5uyo=")</f>
        <v>#REF!</v>
      </c>
      <c r="AR33" t="e">
        <f>AND('4to. Perito_B'!#REF!,"AAAAAGn5uys=")</f>
        <v>#REF!</v>
      </c>
      <c r="AS33">
        <f>IF('4to. Perito_B'!45:45,"AAAAAGn5uyw=",0)</f>
        <v>0</v>
      </c>
      <c r="AT33" t="e">
        <f>AND('4to. Perito_B'!A45,"AAAAAGn5uy0=")</f>
        <v>#VALUE!</v>
      </c>
      <c r="AU33" t="e">
        <f>AND('4to. Perito_B'!B45,"AAAAAGn5uy4=")</f>
        <v>#VALUE!</v>
      </c>
      <c r="AV33" t="e">
        <f>AND('4to. Perito_B'!C45,"AAAAAGn5uy8=")</f>
        <v>#VALUE!</v>
      </c>
      <c r="AW33" t="e">
        <f>AND('4to. Perito_B'!D45,"AAAAAGn5uzA=")</f>
        <v>#VALUE!</v>
      </c>
      <c r="AX33" t="e">
        <f>AND('4to. Perito_B'!E45,"AAAAAGn5uzE=")</f>
        <v>#VALUE!</v>
      </c>
      <c r="AY33" t="e">
        <f>AND('4to. Perito_B'!F45,"AAAAAGn5uzI=")</f>
        <v>#VALUE!</v>
      </c>
      <c r="AZ33" t="e">
        <f>AND('4to. Perito_B'!G45,"AAAAAGn5uzM=")</f>
        <v>#VALUE!</v>
      </c>
      <c r="BA33" t="e">
        <f>AND('4to. Perito_B'!H45,"AAAAAGn5uzQ=")</f>
        <v>#VALUE!</v>
      </c>
      <c r="BB33" t="e">
        <f>AND('4to. Perito_B'!I45,"AAAAAGn5uzU=")</f>
        <v>#VALUE!</v>
      </c>
      <c r="BC33" t="e">
        <f>AND('4to. Perito_B'!J45,"AAAAAGn5uzY=")</f>
        <v>#VALUE!</v>
      </c>
      <c r="BD33" t="e">
        <f>AND('4to. Perito_B'!K45,"AAAAAGn5uzc=")</f>
        <v>#VALUE!</v>
      </c>
      <c r="BE33" t="e">
        <f>AND('4to. Perito_B'!L45,"AAAAAGn5uzg=")</f>
        <v>#VALUE!</v>
      </c>
      <c r="BF33" t="e">
        <f>AND('4to. Perito_B'!M45,"AAAAAGn5uzk=")</f>
        <v>#VALUE!</v>
      </c>
      <c r="BG33" t="e">
        <f>AND('4to. Perito_B'!N45,"AAAAAGn5uzo=")</f>
        <v>#VALUE!</v>
      </c>
      <c r="BH33" t="e">
        <f>AND('4to. Perito_B'!O45,"AAAAAGn5uzs=")</f>
        <v>#VALUE!</v>
      </c>
      <c r="BI33" t="e">
        <f>AND('4to. Perito_B'!P45,"AAAAAGn5uzw=")</f>
        <v>#VALUE!</v>
      </c>
      <c r="BJ33" t="e">
        <f>AND('4to. Perito_B'!Q45,"AAAAAGn5uz0=")</f>
        <v>#VALUE!</v>
      </c>
      <c r="BK33" t="e">
        <f>AND('4to. Perito_B'!R45,"AAAAAGn5uz4=")</f>
        <v>#VALUE!</v>
      </c>
      <c r="BL33" t="e">
        <f>AND('4to. Perito_B'!S45,"AAAAAGn5uz8=")</f>
        <v>#VALUE!</v>
      </c>
      <c r="BM33" t="e">
        <f>AND('4to. Perito_B'!T45,"AAAAAGn5u0A=")</f>
        <v>#VALUE!</v>
      </c>
      <c r="BN33" t="e">
        <f>AND('4to. Perito_B'!#REF!,"AAAAAGn5u0E=")</f>
        <v>#REF!</v>
      </c>
      <c r="BO33" t="e">
        <f>AND('4to. Perito_B'!#REF!,"AAAAAGn5u0I=")</f>
        <v>#REF!</v>
      </c>
      <c r="BP33" t="e">
        <f>AND('4to. Perito_B'!#REF!,"AAAAAGn5u0M=")</f>
        <v>#REF!</v>
      </c>
      <c r="BQ33" t="e">
        <f>AND('4to. Perito_B'!#REF!,"AAAAAGn5u0Q=")</f>
        <v>#REF!</v>
      </c>
      <c r="BR33" t="e">
        <f>AND('4to. Perito_B'!#REF!,"AAAAAGn5u0U=")</f>
        <v>#REF!</v>
      </c>
      <c r="BS33">
        <f>IF('4to. Perito_B'!46:46,"AAAAAGn5u0Y=",0)</f>
        <v>0</v>
      </c>
      <c r="BT33" t="e">
        <f>AND('4to. Perito_B'!A46,"AAAAAGn5u0c=")</f>
        <v>#VALUE!</v>
      </c>
      <c r="BU33" t="e">
        <f>AND('4to. Perito_B'!B46,"AAAAAGn5u0g=")</f>
        <v>#VALUE!</v>
      </c>
      <c r="BV33" t="e">
        <f>AND('4to. Perito_B'!C46,"AAAAAGn5u0k=")</f>
        <v>#VALUE!</v>
      </c>
      <c r="BW33" t="e">
        <f>AND('4to. Perito_B'!D46,"AAAAAGn5u0o=")</f>
        <v>#VALUE!</v>
      </c>
      <c r="BX33" t="e">
        <f>AND('4to. Perito_B'!E46,"AAAAAGn5u0s=")</f>
        <v>#VALUE!</v>
      </c>
      <c r="BY33" t="e">
        <f>AND('4to. Perito_B'!F46,"AAAAAGn5u0w=")</f>
        <v>#VALUE!</v>
      </c>
      <c r="BZ33" t="e">
        <f>AND('4to. Perito_B'!G46,"AAAAAGn5u00=")</f>
        <v>#VALUE!</v>
      </c>
      <c r="CA33" t="e">
        <f>AND('4to. Perito_B'!H46,"AAAAAGn5u04=")</f>
        <v>#VALUE!</v>
      </c>
      <c r="CB33" t="e">
        <f>AND('4to. Perito_B'!I46,"AAAAAGn5u08=")</f>
        <v>#VALUE!</v>
      </c>
      <c r="CC33" t="e">
        <f>AND('4to. Perito_B'!J46,"AAAAAGn5u1A=")</f>
        <v>#VALUE!</v>
      </c>
      <c r="CD33" t="e">
        <f>AND('4to. Perito_B'!K46,"AAAAAGn5u1E=")</f>
        <v>#VALUE!</v>
      </c>
      <c r="CE33" t="e">
        <f>AND('4to. Perito_B'!L46,"AAAAAGn5u1I=")</f>
        <v>#VALUE!</v>
      </c>
      <c r="CF33" t="e">
        <f>AND('4to. Perito_B'!M46,"AAAAAGn5u1M=")</f>
        <v>#VALUE!</v>
      </c>
      <c r="CG33" t="e">
        <f>AND('4to. Perito_B'!N46,"AAAAAGn5u1Q=")</f>
        <v>#VALUE!</v>
      </c>
      <c r="CH33" t="e">
        <f>AND('4to. Perito_B'!O46,"AAAAAGn5u1U=")</f>
        <v>#VALUE!</v>
      </c>
      <c r="CI33" t="e">
        <f>AND('4to. Perito_B'!P46,"AAAAAGn5u1Y=")</f>
        <v>#VALUE!</v>
      </c>
      <c r="CJ33" t="e">
        <f>AND('4to. Perito_B'!Q46,"AAAAAGn5u1c=")</f>
        <v>#VALUE!</v>
      </c>
      <c r="CK33" t="e">
        <f>AND('4to. Perito_B'!R46,"AAAAAGn5u1g=")</f>
        <v>#VALUE!</v>
      </c>
      <c r="CL33" t="e">
        <f>AND('4to. Perito_B'!S46,"AAAAAGn5u1k=")</f>
        <v>#VALUE!</v>
      </c>
      <c r="CM33" t="e">
        <f>AND('4to. Perito_B'!T46,"AAAAAGn5u1o=")</f>
        <v>#VALUE!</v>
      </c>
      <c r="CN33" t="e">
        <f>AND('4to. Perito_B'!#REF!,"AAAAAGn5u1s=")</f>
        <v>#REF!</v>
      </c>
      <c r="CO33" t="e">
        <f>AND('4to. Perito_B'!#REF!,"AAAAAGn5u1w=")</f>
        <v>#REF!</v>
      </c>
      <c r="CP33" t="e">
        <f>AND('4to. Perito_B'!#REF!,"AAAAAGn5u10=")</f>
        <v>#REF!</v>
      </c>
      <c r="CQ33" t="e">
        <f>AND('4to. Perito_B'!#REF!,"AAAAAGn5u14=")</f>
        <v>#REF!</v>
      </c>
      <c r="CR33" t="e">
        <f>AND('4to. Perito_B'!#REF!,"AAAAAGn5u18=")</f>
        <v>#REF!</v>
      </c>
      <c r="CS33" t="e">
        <f>IF('4to. Perito_B'!#REF!,"AAAAAGn5u2A=",0)</f>
        <v>#REF!</v>
      </c>
      <c r="CT33" t="e">
        <f>AND('4to. Perito_B'!#REF!,"AAAAAGn5u2E=")</f>
        <v>#REF!</v>
      </c>
      <c r="CU33" t="e">
        <f>AND('4to. Perito_B'!#REF!,"AAAAAGn5u2I=")</f>
        <v>#REF!</v>
      </c>
      <c r="CV33" t="e">
        <f>AND('4to. Perito_B'!#REF!,"AAAAAGn5u2M=")</f>
        <v>#REF!</v>
      </c>
      <c r="CW33" t="e">
        <f>AND('4to. Perito_B'!#REF!,"AAAAAGn5u2Q=")</f>
        <v>#REF!</v>
      </c>
      <c r="CX33" t="e">
        <f>AND('4to. Perito_B'!#REF!,"AAAAAGn5u2U=")</f>
        <v>#REF!</v>
      </c>
      <c r="CY33" t="e">
        <f>AND('4to. Perito_B'!#REF!,"AAAAAGn5u2Y=")</f>
        <v>#REF!</v>
      </c>
      <c r="CZ33" t="e">
        <f>AND('4to. Perito_B'!#REF!,"AAAAAGn5u2c=")</f>
        <v>#REF!</v>
      </c>
      <c r="DA33" t="e">
        <f>AND('4to. Perito_B'!#REF!,"AAAAAGn5u2g=")</f>
        <v>#REF!</v>
      </c>
      <c r="DB33" t="e">
        <f>AND('4to. Perito_B'!#REF!,"AAAAAGn5u2k=")</f>
        <v>#REF!</v>
      </c>
      <c r="DC33" t="e">
        <f>AND('4to. Perito_B'!#REF!,"AAAAAGn5u2o=")</f>
        <v>#REF!</v>
      </c>
      <c r="DD33" t="e">
        <f>AND('4to. Perito_B'!#REF!,"AAAAAGn5u2s=")</f>
        <v>#REF!</v>
      </c>
      <c r="DE33" t="e">
        <f>AND('4to. Perito_B'!#REF!,"AAAAAGn5u2w=")</f>
        <v>#REF!</v>
      </c>
      <c r="DF33" t="e">
        <f>AND('4to. Perito_B'!#REF!,"AAAAAGn5u20=")</f>
        <v>#REF!</v>
      </c>
      <c r="DG33" t="e">
        <f>AND('4to. Perito_B'!#REF!,"AAAAAGn5u24=")</f>
        <v>#REF!</v>
      </c>
      <c r="DH33" t="e">
        <f>AND('4to. Perito_B'!#REF!,"AAAAAGn5u28=")</f>
        <v>#REF!</v>
      </c>
      <c r="DI33" t="e">
        <f>AND('4to. Perito_B'!#REF!,"AAAAAGn5u3A=")</f>
        <v>#REF!</v>
      </c>
      <c r="DJ33" t="e">
        <f>AND('4to. Perito_B'!#REF!,"AAAAAGn5u3E=")</f>
        <v>#REF!</v>
      </c>
      <c r="DK33" t="e">
        <f>AND('4to. Perito_B'!#REF!,"AAAAAGn5u3I=")</f>
        <v>#REF!</v>
      </c>
      <c r="DL33" t="e">
        <f>AND('4to. Perito_B'!#REF!,"AAAAAGn5u3M=")</f>
        <v>#REF!</v>
      </c>
      <c r="DM33" t="e">
        <f>AND('4to. Perito_B'!#REF!,"AAAAAGn5u3Q=")</f>
        <v>#REF!</v>
      </c>
      <c r="DN33" t="e">
        <f>AND('4to. Perito_B'!#REF!,"AAAAAGn5u3U=")</f>
        <v>#REF!</v>
      </c>
      <c r="DO33" t="e">
        <f>AND('4to. Perito_B'!#REF!,"AAAAAGn5u3Y=")</f>
        <v>#REF!</v>
      </c>
      <c r="DP33" t="e">
        <f>AND('4to. Perito_B'!#REF!,"AAAAAGn5u3c=")</f>
        <v>#REF!</v>
      </c>
      <c r="DQ33" t="e">
        <f>AND('4to. Perito_B'!#REF!,"AAAAAGn5u3g=")</f>
        <v>#REF!</v>
      </c>
      <c r="DR33" t="e">
        <f>AND('4to. Perito_B'!#REF!,"AAAAAGn5u3k=")</f>
        <v>#REF!</v>
      </c>
      <c r="DS33">
        <f>IF('4to. Perito_B'!47:47,"AAAAAGn5u3o=",0)</f>
        <v>0</v>
      </c>
      <c r="DT33" t="e">
        <f>AND('4to. Perito_B'!A47,"AAAAAGn5u3s=")</f>
        <v>#VALUE!</v>
      </c>
      <c r="DU33" t="e">
        <f>AND('4to. Perito_B'!B47,"AAAAAGn5u3w=")</f>
        <v>#VALUE!</v>
      </c>
      <c r="DV33" t="e">
        <f>AND('4to. Perito_B'!C47,"AAAAAGn5u30=")</f>
        <v>#VALUE!</v>
      </c>
      <c r="DW33" t="e">
        <f>AND('4to. Perito_B'!D47,"AAAAAGn5u34=")</f>
        <v>#VALUE!</v>
      </c>
      <c r="DX33" t="e">
        <f>AND('4to. Perito_B'!E47,"AAAAAGn5u38=")</f>
        <v>#VALUE!</v>
      </c>
      <c r="DY33" t="e">
        <f>AND('4to. Perito_B'!F47,"AAAAAGn5u4A=")</f>
        <v>#VALUE!</v>
      </c>
      <c r="DZ33" t="e">
        <f>AND('4to. Perito_B'!G47,"AAAAAGn5u4E=")</f>
        <v>#VALUE!</v>
      </c>
      <c r="EA33" t="e">
        <f>AND('4to. Perito_B'!H47,"AAAAAGn5u4I=")</f>
        <v>#VALUE!</v>
      </c>
      <c r="EB33" t="e">
        <f>AND('4to. Perito_B'!I47,"AAAAAGn5u4M=")</f>
        <v>#VALUE!</v>
      </c>
      <c r="EC33" t="e">
        <f>AND('4to. Perito_B'!J47,"AAAAAGn5u4Q=")</f>
        <v>#VALUE!</v>
      </c>
      <c r="ED33" t="e">
        <f>AND('4to. Perito_B'!K47,"AAAAAGn5u4U=")</f>
        <v>#VALUE!</v>
      </c>
      <c r="EE33" t="e">
        <f>AND('4to. Perito_B'!L47,"AAAAAGn5u4Y=")</f>
        <v>#VALUE!</v>
      </c>
      <c r="EF33" t="e">
        <f>AND('4to. Perito_B'!M47,"AAAAAGn5u4c=")</f>
        <v>#VALUE!</v>
      </c>
      <c r="EG33" t="e">
        <f>AND('4to. Perito_B'!N47,"AAAAAGn5u4g=")</f>
        <v>#VALUE!</v>
      </c>
      <c r="EH33" t="e">
        <f>AND('4to. Perito_B'!O47,"AAAAAGn5u4k=")</f>
        <v>#VALUE!</v>
      </c>
      <c r="EI33" t="e">
        <f>AND('4to. Perito_B'!P47,"AAAAAGn5u4o=")</f>
        <v>#VALUE!</v>
      </c>
      <c r="EJ33" t="e">
        <f>AND('4to. Perito_B'!Q47,"AAAAAGn5u4s=")</f>
        <v>#VALUE!</v>
      </c>
      <c r="EK33" t="e">
        <f>AND('4to. Perito_B'!R47,"AAAAAGn5u4w=")</f>
        <v>#VALUE!</v>
      </c>
      <c r="EL33" t="e">
        <f>AND('4to. Perito_B'!S47,"AAAAAGn5u40=")</f>
        <v>#VALUE!</v>
      </c>
      <c r="EM33" t="e">
        <f>AND('4to. Perito_B'!T47,"AAAAAGn5u44=")</f>
        <v>#VALUE!</v>
      </c>
      <c r="EN33" t="e">
        <f>AND('4to. Perito_B'!#REF!,"AAAAAGn5u48=")</f>
        <v>#REF!</v>
      </c>
      <c r="EO33" t="e">
        <f>AND('4to. Perito_B'!#REF!,"AAAAAGn5u5A=")</f>
        <v>#REF!</v>
      </c>
      <c r="EP33" t="e">
        <f>AND('4to. Perito_B'!#REF!,"AAAAAGn5u5E=")</f>
        <v>#REF!</v>
      </c>
      <c r="EQ33" t="e">
        <f>AND('4to. Perito_B'!#REF!,"AAAAAGn5u5I=")</f>
        <v>#REF!</v>
      </c>
      <c r="ER33" t="e">
        <f>AND('4to. Perito_B'!#REF!,"AAAAAGn5u5M=")</f>
        <v>#REF!</v>
      </c>
      <c r="ES33">
        <f>IF('4to. Perito_B'!48:48,"AAAAAGn5u5Q=",0)</f>
        <v>0</v>
      </c>
      <c r="ET33" t="e">
        <f>AND('4to. Perito_B'!A48,"AAAAAGn5u5U=")</f>
        <v>#VALUE!</v>
      </c>
      <c r="EU33" t="e">
        <f>AND('4to. Perito_B'!B48,"AAAAAGn5u5Y=")</f>
        <v>#VALUE!</v>
      </c>
      <c r="EV33" t="e">
        <f>AND('4to. Perito_B'!C48,"AAAAAGn5u5c=")</f>
        <v>#VALUE!</v>
      </c>
      <c r="EW33" t="e">
        <f>AND('4to. Perito_B'!D48,"AAAAAGn5u5g=")</f>
        <v>#VALUE!</v>
      </c>
      <c r="EX33" t="e">
        <f>AND('4to. Perito_B'!E48,"AAAAAGn5u5k=")</f>
        <v>#VALUE!</v>
      </c>
      <c r="EY33" t="e">
        <f>AND('4to. Perito_B'!F48,"AAAAAGn5u5o=")</f>
        <v>#VALUE!</v>
      </c>
      <c r="EZ33" t="e">
        <f>AND('4to. Perito_B'!G48,"AAAAAGn5u5s=")</f>
        <v>#VALUE!</v>
      </c>
      <c r="FA33" t="e">
        <f>AND('4to. Perito_B'!H48,"AAAAAGn5u5w=")</f>
        <v>#VALUE!</v>
      </c>
      <c r="FB33" t="e">
        <f>AND('4to. Perito_B'!I48,"AAAAAGn5u50=")</f>
        <v>#VALUE!</v>
      </c>
      <c r="FC33" t="e">
        <f>AND('4to. Perito_B'!J48,"AAAAAGn5u54=")</f>
        <v>#VALUE!</v>
      </c>
      <c r="FD33" t="e">
        <f>AND('4to. Perito_B'!K48,"AAAAAGn5u58=")</f>
        <v>#VALUE!</v>
      </c>
      <c r="FE33" t="e">
        <f>AND('4to. Perito_B'!L48,"AAAAAGn5u6A=")</f>
        <v>#VALUE!</v>
      </c>
      <c r="FF33" t="e">
        <f>AND('4to. Perito_B'!M48,"AAAAAGn5u6E=")</f>
        <v>#VALUE!</v>
      </c>
      <c r="FG33" t="e">
        <f>AND('4to. Perito_B'!N48,"AAAAAGn5u6I=")</f>
        <v>#VALUE!</v>
      </c>
      <c r="FH33" t="e">
        <f>AND('4to. Perito_B'!O48,"AAAAAGn5u6M=")</f>
        <v>#VALUE!</v>
      </c>
      <c r="FI33" t="e">
        <f>AND('4to. Perito_B'!P48,"AAAAAGn5u6Q=")</f>
        <v>#VALUE!</v>
      </c>
      <c r="FJ33" t="e">
        <f>AND('4to. Perito_B'!Q48,"AAAAAGn5u6U=")</f>
        <v>#VALUE!</v>
      </c>
      <c r="FK33" t="e">
        <f>AND('4to. Perito_B'!R48,"AAAAAGn5u6Y=")</f>
        <v>#VALUE!</v>
      </c>
      <c r="FL33" t="e">
        <f>AND('4to. Perito_B'!S48,"AAAAAGn5u6c=")</f>
        <v>#VALUE!</v>
      </c>
      <c r="FM33" t="e">
        <f>AND('4to. Perito_B'!T48,"AAAAAGn5u6g=")</f>
        <v>#VALUE!</v>
      </c>
      <c r="FN33" t="e">
        <f>AND('4to. Perito_B'!#REF!,"AAAAAGn5u6k=")</f>
        <v>#REF!</v>
      </c>
      <c r="FO33" t="e">
        <f>AND('4to. Perito_B'!#REF!,"AAAAAGn5u6o=")</f>
        <v>#REF!</v>
      </c>
      <c r="FP33" t="e">
        <f>AND('4to. Perito_B'!#REF!,"AAAAAGn5u6s=")</f>
        <v>#REF!</v>
      </c>
      <c r="FQ33" t="e">
        <f>AND('4to. Perito_B'!#REF!,"AAAAAGn5u6w=")</f>
        <v>#REF!</v>
      </c>
      <c r="FR33" t="e">
        <f>AND('4to. Perito_B'!#REF!,"AAAAAGn5u60=")</f>
        <v>#REF!</v>
      </c>
      <c r="FS33">
        <f>IF('4to. Perito_B'!49:49,"AAAAAGn5u64=",0)</f>
        <v>0</v>
      </c>
      <c r="FT33" t="e">
        <f>AND('4to. Perito_B'!A49,"AAAAAGn5u68=")</f>
        <v>#VALUE!</v>
      </c>
      <c r="FU33" t="e">
        <f>AND('4to. Perito_B'!B49,"AAAAAGn5u7A=")</f>
        <v>#VALUE!</v>
      </c>
      <c r="FV33" t="e">
        <f>AND('4to. Perito_B'!C49,"AAAAAGn5u7E=")</f>
        <v>#VALUE!</v>
      </c>
      <c r="FW33" t="e">
        <f>AND('4to. Perito_B'!D49,"AAAAAGn5u7I=")</f>
        <v>#VALUE!</v>
      </c>
      <c r="FX33" t="e">
        <f>AND('4to. Perito_B'!E49,"AAAAAGn5u7M=")</f>
        <v>#VALUE!</v>
      </c>
      <c r="FY33" t="e">
        <f>AND('4to. Perito_B'!F49,"AAAAAGn5u7Q=")</f>
        <v>#VALUE!</v>
      </c>
      <c r="FZ33" t="e">
        <f>AND('4to. Perito_B'!G49,"AAAAAGn5u7U=")</f>
        <v>#VALUE!</v>
      </c>
      <c r="GA33" t="e">
        <f>AND('4to. Perito_B'!H49,"AAAAAGn5u7Y=")</f>
        <v>#VALUE!</v>
      </c>
      <c r="GB33" t="e">
        <f>AND('4to. Perito_B'!I49,"AAAAAGn5u7c=")</f>
        <v>#VALUE!</v>
      </c>
      <c r="GC33" t="e">
        <f>AND('4to. Perito_B'!J49,"AAAAAGn5u7g=")</f>
        <v>#VALUE!</v>
      </c>
      <c r="GD33" t="e">
        <f>AND('4to. Perito_B'!K49,"AAAAAGn5u7k=")</f>
        <v>#VALUE!</v>
      </c>
      <c r="GE33" t="e">
        <f>AND('4to. Perito_B'!L49,"AAAAAGn5u7o=")</f>
        <v>#VALUE!</v>
      </c>
      <c r="GF33" t="e">
        <f>AND('4to. Perito_B'!M49,"AAAAAGn5u7s=")</f>
        <v>#VALUE!</v>
      </c>
      <c r="GG33" t="e">
        <f>AND('4to. Perito_B'!N49,"AAAAAGn5u7w=")</f>
        <v>#VALUE!</v>
      </c>
      <c r="GH33" t="e">
        <f>AND('4to. Perito_B'!O49,"AAAAAGn5u70=")</f>
        <v>#VALUE!</v>
      </c>
      <c r="GI33" t="e">
        <f>AND('4to. Perito_B'!P49,"AAAAAGn5u74=")</f>
        <v>#VALUE!</v>
      </c>
      <c r="GJ33" t="e">
        <f>AND('4to. Perito_B'!Q49,"AAAAAGn5u78=")</f>
        <v>#VALUE!</v>
      </c>
      <c r="GK33" t="e">
        <f>AND('4to. Perito_B'!R49,"AAAAAGn5u8A=")</f>
        <v>#VALUE!</v>
      </c>
      <c r="GL33" t="e">
        <f>AND('4to. Perito_B'!S49,"AAAAAGn5u8E=")</f>
        <v>#VALUE!</v>
      </c>
      <c r="GM33" t="e">
        <f>AND('4to. Perito_B'!T49,"AAAAAGn5u8I=")</f>
        <v>#VALUE!</v>
      </c>
      <c r="GN33" t="e">
        <f>AND('4to. Perito_B'!#REF!,"AAAAAGn5u8M=")</f>
        <v>#REF!</v>
      </c>
      <c r="GO33" t="e">
        <f>AND('4to. Perito_B'!#REF!,"AAAAAGn5u8Q=")</f>
        <v>#REF!</v>
      </c>
      <c r="GP33" t="e">
        <f>AND('4to. Perito_B'!#REF!,"AAAAAGn5u8U=")</f>
        <v>#REF!</v>
      </c>
      <c r="GQ33" t="e">
        <f>AND('4to. Perito_B'!#REF!,"AAAAAGn5u8Y=")</f>
        <v>#REF!</v>
      </c>
      <c r="GR33" t="e">
        <f>AND('4to. Perito_B'!#REF!,"AAAAAGn5u8c=")</f>
        <v>#REF!</v>
      </c>
      <c r="GS33" t="e">
        <f>IF('4to. Perito_B'!#REF!,"AAAAAGn5u8g=",0)</f>
        <v>#REF!</v>
      </c>
      <c r="GT33" t="e">
        <f>AND('4to. Perito_B'!#REF!,"AAAAAGn5u8k=")</f>
        <v>#REF!</v>
      </c>
      <c r="GU33" t="e">
        <f>AND('4to. Perito_B'!#REF!,"AAAAAGn5u8o=")</f>
        <v>#REF!</v>
      </c>
      <c r="GV33" t="e">
        <f>AND('4to. Perito_B'!#REF!,"AAAAAGn5u8s=")</f>
        <v>#REF!</v>
      </c>
      <c r="GW33" t="e">
        <f>AND('4to. Perito_B'!#REF!,"AAAAAGn5u8w=")</f>
        <v>#REF!</v>
      </c>
      <c r="GX33" t="e">
        <f>AND('4to. Perito_B'!#REF!,"AAAAAGn5u80=")</f>
        <v>#REF!</v>
      </c>
      <c r="GY33" t="e">
        <f>AND('4to. Perito_B'!#REF!,"AAAAAGn5u84=")</f>
        <v>#REF!</v>
      </c>
      <c r="GZ33" t="e">
        <f>AND('4to. Perito_B'!#REF!,"AAAAAGn5u88=")</f>
        <v>#REF!</v>
      </c>
      <c r="HA33" t="e">
        <f>AND('4to. Perito_B'!#REF!,"AAAAAGn5u9A=")</f>
        <v>#REF!</v>
      </c>
      <c r="HB33" t="e">
        <f>AND('4to. Perito_B'!#REF!,"AAAAAGn5u9E=")</f>
        <v>#REF!</v>
      </c>
      <c r="HC33" t="e">
        <f>AND('4to. Perito_B'!#REF!,"AAAAAGn5u9I=")</f>
        <v>#REF!</v>
      </c>
      <c r="HD33" t="e">
        <f>AND('4to. Perito_B'!#REF!,"AAAAAGn5u9M=")</f>
        <v>#REF!</v>
      </c>
      <c r="HE33" t="e">
        <f>AND('4to. Perito_B'!#REF!,"AAAAAGn5u9Q=")</f>
        <v>#REF!</v>
      </c>
      <c r="HF33" t="e">
        <f>AND('4to. Perito_B'!#REF!,"AAAAAGn5u9U=")</f>
        <v>#REF!</v>
      </c>
      <c r="HG33" t="e">
        <f>AND('4to. Perito_B'!#REF!,"AAAAAGn5u9Y=")</f>
        <v>#REF!</v>
      </c>
      <c r="HH33" t="e">
        <f>AND('4to. Perito_B'!#REF!,"AAAAAGn5u9c=")</f>
        <v>#REF!</v>
      </c>
      <c r="HI33" t="e">
        <f>AND('4to. Perito_B'!#REF!,"AAAAAGn5u9g=")</f>
        <v>#REF!</v>
      </c>
      <c r="HJ33" t="e">
        <f>AND('4to. Perito_B'!#REF!,"AAAAAGn5u9k=")</f>
        <v>#REF!</v>
      </c>
      <c r="HK33" t="e">
        <f>AND('4to. Perito_B'!#REF!,"AAAAAGn5u9o=")</f>
        <v>#REF!</v>
      </c>
      <c r="HL33" t="e">
        <f>AND('4to. Perito_B'!#REF!,"AAAAAGn5u9s=")</f>
        <v>#REF!</v>
      </c>
      <c r="HM33" t="e">
        <f>AND('4to. Perito_B'!#REF!,"AAAAAGn5u9w=")</f>
        <v>#REF!</v>
      </c>
      <c r="HN33" t="e">
        <f>AND('4to. Perito_B'!#REF!,"AAAAAGn5u90=")</f>
        <v>#REF!</v>
      </c>
      <c r="HO33" t="e">
        <f>AND('4to. Perito_B'!#REF!,"AAAAAGn5u94=")</f>
        <v>#REF!</v>
      </c>
      <c r="HP33" t="e">
        <f>AND('4to. Perito_B'!#REF!,"AAAAAGn5u98=")</f>
        <v>#REF!</v>
      </c>
      <c r="HQ33" t="e">
        <f>AND('4to. Perito_B'!#REF!,"AAAAAGn5u+A=")</f>
        <v>#REF!</v>
      </c>
      <c r="HR33" t="e">
        <f>AND('4to. Perito_B'!#REF!,"AAAAAGn5u+E=")</f>
        <v>#REF!</v>
      </c>
      <c r="HS33" t="e">
        <f>IF('4to. Perito_B'!#REF!,"AAAAAGn5u+I=",0)</f>
        <v>#REF!</v>
      </c>
      <c r="HT33" t="e">
        <f>AND('4to. Perito_B'!#REF!,"AAAAAGn5u+M=")</f>
        <v>#REF!</v>
      </c>
      <c r="HU33" t="e">
        <f>AND('4to. Perito_B'!#REF!,"AAAAAGn5u+Q=")</f>
        <v>#REF!</v>
      </c>
      <c r="HV33" t="e">
        <f>AND('4to. Perito_B'!#REF!,"AAAAAGn5u+U=")</f>
        <v>#REF!</v>
      </c>
      <c r="HW33" t="e">
        <f>AND('4to. Perito_B'!#REF!,"AAAAAGn5u+Y=")</f>
        <v>#REF!</v>
      </c>
      <c r="HX33" t="e">
        <f>AND('4to. Perito_B'!#REF!,"AAAAAGn5u+c=")</f>
        <v>#REF!</v>
      </c>
      <c r="HY33" t="e">
        <f>AND('4to. Perito_B'!#REF!,"AAAAAGn5u+g=")</f>
        <v>#REF!</v>
      </c>
      <c r="HZ33" t="e">
        <f>AND('4to. Perito_B'!#REF!,"AAAAAGn5u+k=")</f>
        <v>#REF!</v>
      </c>
      <c r="IA33" t="e">
        <f>AND('4to. Perito_B'!#REF!,"AAAAAGn5u+o=")</f>
        <v>#REF!</v>
      </c>
      <c r="IB33" t="e">
        <f>AND('4to. Perito_B'!#REF!,"AAAAAGn5u+s=")</f>
        <v>#REF!</v>
      </c>
      <c r="IC33" t="e">
        <f>AND('4to. Perito_B'!#REF!,"AAAAAGn5u+w=")</f>
        <v>#REF!</v>
      </c>
      <c r="ID33" t="e">
        <f>AND('4to. Perito_B'!#REF!,"AAAAAGn5u+0=")</f>
        <v>#REF!</v>
      </c>
      <c r="IE33" t="e">
        <f>AND('4to. Perito_B'!#REF!,"AAAAAGn5u+4=")</f>
        <v>#REF!</v>
      </c>
      <c r="IF33" t="e">
        <f>AND('4to. Perito_B'!#REF!,"AAAAAGn5u+8=")</f>
        <v>#REF!</v>
      </c>
      <c r="IG33" t="e">
        <f>AND('4to. Perito_B'!#REF!,"AAAAAGn5u/A=")</f>
        <v>#REF!</v>
      </c>
      <c r="IH33" t="e">
        <f>AND('4to. Perito_B'!#REF!,"AAAAAGn5u/E=")</f>
        <v>#REF!</v>
      </c>
      <c r="II33" t="e">
        <f>AND('4to. Perito_B'!#REF!,"AAAAAGn5u/I=")</f>
        <v>#REF!</v>
      </c>
      <c r="IJ33" t="e">
        <f>AND('4to. Perito_B'!#REF!,"AAAAAGn5u/M=")</f>
        <v>#REF!</v>
      </c>
      <c r="IK33" t="e">
        <f>AND('4to. Perito_B'!#REF!,"AAAAAGn5u/Q=")</f>
        <v>#REF!</v>
      </c>
      <c r="IL33" t="e">
        <f>AND('4to. Perito_B'!#REF!,"AAAAAGn5u/U=")</f>
        <v>#REF!</v>
      </c>
      <c r="IM33" t="e">
        <f>AND('4to. Perito_B'!#REF!,"AAAAAGn5u/Y=")</f>
        <v>#REF!</v>
      </c>
      <c r="IN33" t="e">
        <f>AND('4to. Perito_B'!#REF!,"AAAAAGn5u/c=")</f>
        <v>#REF!</v>
      </c>
      <c r="IO33" t="e">
        <f>AND('4to. Perito_B'!#REF!,"AAAAAGn5u/g=")</f>
        <v>#REF!</v>
      </c>
      <c r="IP33" t="e">
        <f>AND('4to. Perito_B'!#REF!,"AAAAAGn5u/k=")</f>
        <v>#REF!</v>
      </c>
      <c r="IQ33" t="e">
        <f>AND('4to. Perito_B'!#REF!,"AAAAAGn5u/o=")</f>
        <v>#REF!</v>
      </c>
      <c r="IR33" t="e">
        <f>AND('4to. Perito_B'!#REF!,"AAAAAGn5u/s=")</f>
        <v>#REF!</v>
      </c>
      <c r="IS33" t="e">
        <f>IF('4to. Perito_B'!#REF!,"AAAAAGn5u/w=",0)</f>
        <v>#REF!</v>
      </c>
      <c r="IT33" t="e">
        <f>AND('4to. Perito_B'!#REF!,"AAAAAGn5u/0=")</f>
        <v>#REF!</v>
      </c>
      <c r="IU33" t="e">
        <f>AND('4to. Perito_B'!#REF!,"AAAAAGn5u/4=")</f>
        <v>#REF!</v>
      </c>
      <c r="IV33" t="e">
        <f>AND('4to. Perito_B'!#REF!,"AAAAAGn5u/8=")</f>
        <v>#REF!</v>
      </c>
    </row>
    <row r="34" spans="1:256">
      <c r="A34" t="e">
        <f>AND('4to. Perito_B'!#REF!,"AAAAAH3TfwA=")</f>
        <v>#REF!</v>
      </c>
      <c r="B34" t="e">
        <f>AND('4to. Perito_B'!#REF!,"AAAAAH3TfwE=")</f>
        <v>#REF!</v>
      </c>
      <c r="C34" t="e">
        <f>AND('4to. Perito_B'!#REF!,"AAAAAH3TfwI=")</f>
        <v>#REF!</v>
      </c>
      <c r="D34" t="e">
        <f>AND('4to. Perito_B'!#REF!,"AAAAAH3TfwM=")</f>
        <v>#REF!</v>
      </c>
      <c r="E34" t="e">
        <f>AND('4to. Perito_B'!#REF!,"AAAAAH3TfwQ=")</f>
        <v>#REF!</v>
      </c>
      <c r="F34" t="e">
        <f>AND('4to. Perito_B'!#REF!,"AAAAAH3TfwU=")</f>
        <v>#REF!</v>
      </c>
      <c r="G34" t="e">
        <f>AND('4to. Perito_B'!#REF!,"AAAAAH3TfwY=")</f>
        <v>#REF!</v>
      </c>
      <c r="H34" t="e">
        <f>AND('4to. Perito_B'!#REF!,"AAAAAH3Tfwc=")</f>
        <v>#REF!</v>
      </c>
      <c r="I34" t="e">
        <f>AND('4to. Perito_B'!#REF!,"AAAAAH3Tfwg=")</f>
        <v>#REF!</v>
      </c>
      <c r="J34" t="e">
        <f>AND('4to. Perito_B'!#REF!,"AAAAAH3Tfwk=")</f>
        <v>#REF!</v>
      </c>
      <c r="K34" t="e">
        <f>AND('4to. Perito_B'!#REF!,"AAAAAH3Tfwo=")</f>
        <v>#REF!</v>
      </c>
      <c r="L34" t="e">
        <f>AND('4to. Perito_B'!#REF!,"AAAAAH3Tfws=")</f>
        <v>#REF!</v>
      </c>
      <c r="M34" t="e">
        <f>AND('4to. Perito_B'!#REF!,"AAAAAH3Tfww=")</f>
        <v>#REF!</v>
      </c>
      <c r="N34" t="e">
        <f>AND('4to. Perito_B'!#REF!,"AAAAAH3Tfw0=")</f>
        <v>#REF!</v>
      </c>
      <c r="O34" t="e">
        <f>AND('4to. Perito_B'!#REF!,"AAAAAH3Tfw4=")</f>
        <v>#REF!</v>
      </c>
      <c r="P34" t="e">
        <f>AND('4to. Perito_B'!#REF!,"AAAAAH3Tfw8=")</f>
        <v>#REF!</v>
      </c>
      <c r="Q34" t="e">
        <f>AND('4to. Perito_B'!#REF!,"AAAAAH3TfxA=")</f>
        <v>#REF!</v>
      </c>
      <c r="R34" t="e">
        <f>AND('4to. Perito_B'!#REF!,"AAAAAH3TfxE=")</f>
        <v>#REF!</v>
      </c>
      <c r="S34" t="e">
        <f>AND('4to. Perito_B'!#REF!,"AAAAAH3TfxI=")</f>
        <v>#REF!</v>
      </c>
      <c r="T34" t="e">
        <f>AND('4to. Perito_B'!#REF!,"AAAAAH3TfxM=")</f>
        <v>#REF!</v>
      </c>
      <c r="U34" t="e">
        <f>AND('4to. Perito_B'!#REF!,"AAAAAH3TfxQ=")</f>
        <v>#REF!</v>
      </c>
      <c r="V34" t="e">
        <f>AND('4to. Perito_B'!#REF!,"AAAAAH3TfxU=")</f>
        <v>#REF!</v>
      </c>
      <c r="W34" t="e">
        <f>IF('4to. Perito_B'!#REF!,"AAAAAH3TfxY=",0)</f>
        <v>#REF!</v>
      </c>
      <c r="X34" t="e">
        <f>AND('4to. Perito_B'!#REF!,"AAAAAH3Tfxc=")</f>
        <v>#REF!</v>
      </c>
      <c r="Y34" t="e">
        <f>AND('4to. Perito_B'!#REF!,"AAAAAH3Tfxg=")</f>
        <v>#REF!</v>
      </c>
      <c r="Z34" t="e">
        <f>AND('4to. Perito_B'!#REF!,"AAAAAH3Tfxk=")</f>
        <v>#REF!</v>
      </c>
      <c r="AA34" t="e">
        <f>AND('4to. Perito_B'!#REF!,"AAAAAH3Tfxo=")</f>
        <v>#REF!</v>
      </c>
      <c r="AB34" t="e">
        <f>AND('4to. Perito_B'!#REF!,"AAAAAH3Tfxs=")</f>
        <v>#REF!</v>
      </c>
      <c r="AC34" t="e">
        <f>AND('4to. Perito_B'!#REF!,"AAAAAH3Tfxw=")</f>
        <v>#REF!</v>
      </c>
      <c r="AD34" t="e">
        <f>AND('4to. Perito_B'!#REF!,"AAAAAH3Tfx0=")</f>
        <v>#REF!</v>
      </c>
      <c r="AE34" t="e">
        <f>AND('4to. Perito_B'!#REF!,"AAAAAH3Tfx4=")</f>
        <v>#REF!</v>
      </c>
      <c r="AF34" t="e">
        <f>AND('4to. Perito_B'!#REF!,"AAAAAH3Tfx8=")</f>
        <v>#REF!</v>
      </c>
      <c r="AG34" t="e">
        <f>AND('4to. Perito_B'!#REF!,"AAAAAH3TfyA=")</f>
        <v>#REF!</v>
      </c>
      <c r="AH34" t="e">
        <f>AND('4to. Perito_B'!#REF!,"AAAAAH3TfyE=")</f>
        <v>#REF!</v>
      </c>
      <c r="AI34" t="e">
        <f>AND('4to. Perito_B'!#REF!,"AAAAAH3TfyI=")</f>
        <v>#REF!</v>
      </c>
      <c r="AJ34" t="e">
        <f>AND('4to. Perito_B'!#REF!,"AAAAAH3TfyM=")</f>
        <v>#REF!</v>
      </c>
      <c r="AK34" t="e">
        <f>AND('4to. Perito_B'!#REF!,"AAAAAH3TfyQ=")</f>
        <v>#REF!</v>
      </c>
      <c r="AL34" t="e">
        <f>AND('4to. Perito_B'!#REF!,"AAAAAH3TfyU=")</f>
        <v>#REF!</v>
      </c>
      <c r="AM34" t="e">
        <f>AND('4to. Perito_B'!#REF!,"AAAAAH3TfyY=")</f>
        <v>#REF!</v>
      </c>
      <c r="AN34" t="e">
        <f>AND('4to. Perito_B'!#REF!,"AAAAAH3Tfyc=")</f>
        <v>#REF!</v>
      </c>
      <c r="AO34" t="e">
        <f>AND('4to. Perito_B'!#REF!,"AAAAAH3Tfyg=")</f>
        <v>#REF!</v>
      </c>
      <c r="AP34" t="e">
        <f>AND('4to. Perito_B'!#REF!,"AAAAAH3Tfyk=")</f>
        <v>#REF!</v>
      </c>
      <c r="AQ34" t="e">
        <f>AND('4to. Perito_B'!#REF!,"AAAAAH3Tfyo=")</f>
        <v>#REF!</v>
      </c>
      <c r="AR34" t="e">
        <f>AND('4to. Perito_B'!#REF!,"AAAAAH3Tfys=")</f>
        <v>#REF!</v>
      </c>
      <c r="AS34" t="e">
        <f>AND('4to. Perito_B'!#REF!,"AAAAAH3Tfyw=")</f>
        <v>#REF!</v>
      </c>
      <c r="AT34" t="e">
        <f>AND('4to. Perito_B'!#REF!,"AAAAAH3Tfy0=")</f>
        <v>#REF!</v>
      </c>
      <c r="AU34" t="e">
        <f>AND('4to. Perito_B'!#REF!,"AAAAAH3Tfy4=")</f>
        <v>#REF!</v>
      </c>
      <c r="AV34" t="e">
        <f>AND('4to. Perito_B'!#REF!,"AAAAAH3Tfy8=")</f>
        <v>#REF!</v>
      </c>
      <c r="AW34" t="e">
        <f>IF('4to. Perito_B'!#REF!,"AAAAAH3TfzA=",0)</f>
        <v>#REF!</v>
      </c>
      <c r="AX34" t="e">
        <f>AND('4to. Perito_B'!#REF!,"AAAAAH3TfzE=")</f>
        <v>#REF!</v>
      </c>
      <c r="AY34" t="e">
        <f>AND('4to. Perito_B'!#REF!,"AAAAAH3TfzI=")</f>
        <v>#REF!</v>
      </c>
      <c r="AZ34" t="e">
        <f>AND('4to. Perito_B'!#REF!,"AAAAAH3TfzM=")</f>
        <v>#REF!</v>
      </c>
      <c r="BA34" t="e">
        <f>AND('4to. Perito_B'!#REF!,"AAAAAH3TfzQ=")</f>
        <v>#REF!</v>
      </c>
      <c r="BB34" t="e">
        <f>AND('4to. Perito_B'!#REF!,"AAAAAH3TfzU=")</f>
        <v>#REF!</v>
      </c>
      <c r="BC34" t="e">
        <f>AND('4to. Perito_B'!#REF!,"AAAAAH3TfzY=")</f>
        <v>#REF!</v>
      </c>
      <c r="BD34" t="e">
        <f>AND('4to. Perito_B'!#REF!,"AAAAAH3Tfzc=")</f>
        <v>#REF!</v>
      </c>
      <c r="BE34" t="e">
        <f>AND('4to. Perito_B'!#REF!,"AAAAAH3Tfzg=")</f>
        <v>#REF!</v>
      </c>
      <c r="BF34" t="e">
        <f>AND('4to. Perito_B'!#REF!,"AAAAAH3Tfzk=")</f>
        <v>#REF!</v>
      </c>
      <c r="BG34" t="e">
        <f>AND('4to. Perito_B'!#REF!,"AAAAAH3Tfzo=")</f>
        <v>#REF!</v>
      </c>
      <c r="BH34" t="e">
        <f>AND('4to. Perito_B'!#REF!,"AAAAAH3Tfzs=")</f>
        <v>#REF!</v>
      </c>
      <c r="BI34" t="e">
        <f>AND('4to. Perito_B'!#REF!,"AAAAAH3Tfzw=")</f>
        <v>#REF!</v>
      </c>
      <c r="BJ34" t="e">
        <f>AND('4to. Perito_B'!#REF!,"AAAAAH3Tfz0=")</f>
        <v>#REF!</v>
      </c>
      <c r="BK34" t="e">
        <f>AND('4to. Perito_B'!#REF!,"AAAAAH3Tfz4=")</f>
        <v>#REF!</v>
      </c>
      <c r="BL34" t="e">
        <f>AND('4to. Perito_B'!#REF!,"AAAAAH3Tfz8=")</f>
        <v>#REF!</v>
      </c>
      <c r="BM34" t="e">
        <f>AND('4to. Perito_B'!#REF!,"AAAAAH3Tf0A=")</f>
        <v>#REF!</v>
      </c>
      <c r="BN34" t="e">
        <f>AND('4to. Perito_B'!#REF!,"AAAAAH3Tf0E=")</f>
        <v>#REF!</v>
      </c>
      <c r="BO34" t="e">
        <f>AND('4to. Perito_B'!#REF!,"AAAAAH3Tf0I=")</f>
        <v>#REF!</v>
      </c>
      <c r="BP34" t="e">
        <f>AND('4to. Perito_B'!#REF!,"AAAAAH3Tf0M=")</f>
        <v>#REF!</v>
      </c>
      <c r="BQ34" t="e">
        <f>AND('4to. Perito_B'!#REF!,"AAAAAH3Tf0Q=")</f>
        <v>#REF!</v>
      </c>
      <c r="BR34" t="e">
        <f>AND('4to. Perito_B'!#REF!,"AAAAAH3Tf0U=")</f>
        <v>#REF!</v>
      </c>
      <c r="BS34" t="e">
        <f>AND('4to. Perito_B'!#REF!,"AAAAAH3Tf0Y=")</f>
        <v>#REF!</v>
      </c>
      <c r="BT34" t="e">
        <f>AND('4to. Perito_B'!#REF!,"AAAAAH3Tf0c=")</f>
        <v>#REF!</v>
      </c>
      <c r="BU34" t="e">
        <f>AND('4to. Perito_B'!#REF!,"AAAAAH3Tf0g=")</f>
        <v>#REF!</v>
      </c>
      <c r="BV34" t="e">
        <f>AND('4to. Perito_B'!#REF!,"AAAAAH3Tf0k=")</f>
        <v>#REF!</v>
      </c>
      <c r="BW34" t="e">
        <f>IF('4to. Perito_B'!#REF!,"AAAAAH3Tf0o=",0)</f>
        <v>#REF!</v>
      </c>
      <c r="BX34" t="e">
        <f>AND('4to. Perito_B'!#REF!,"AAAAAH3Tf0s=")</f>
        <v>#REF!</v>
      </c>
      <c r="BY34" t="e">
        <f>AND('4to. Perito_B'!#REF!,"AAAAAH3Tf0w=")</f>
        <v>#REF!</v>
      </c>
      <c r="BZ34" t="e">
        <f>AND('4to. Perito_B'!#REF!,"AAAAAH3Tf00=")</f>
        <v>#REF!</v>
      </c>
      <c r="CA34" t="e">
        <f>AND('4to. Perito_B'!#REF!,"AAAAAH3Tf04=")</f>
        <v>#REF!</v>
      </c>
      <c r="CB34" t="e">
        <f>AND('4to. Perito_B'!#REF!,"AAAAAH3Tf08=")</f>
        <v>#REF!</v>
      </c>
      <c r="CC34" t="e">
        <f>AND('4to. Perito_B'!#REF!,"AAAAAH3Tf1A=")</f>
        <v>#REF!</v>
      </c>
      <c r="CD34" t="e">
        <f>AND('4to. Perito_B'!#REF!,"AAAAAH3Tf1E=")</f>
        <v>#REF!</v>
      </c>
      <c r="CE34" t="e">
        <f>AND('4to. Perito_B'!#REF!,"AAAAAH3Tf1I=")</f>
        <v>#REF!</v>
      </c>
      <c r="CF34" t="e">
        <f>AND('4to. Perito_B'!#REF!,"AAAAAH3Tf1M=")</f>
        <v>#REF!</v>
      </c>
      <c r="CG34" t="e">
        <f>AND('4to. Perito_B'!#REF!,"AAAAAH3Tf1Q=")</f>
        <v>#REF!</v>
      </c>
      <c r="CH34" t="e">
        <f>AND('4to. Perito_B'!#REF!,"AAAAAH3Tf1U=")</f>
        <v>#REF!</v>
      </c>
      <c r="CI34" t="e">
        <f>AND('4to. Perito_B'!#REF!,"AAAAAH3Tf1Y=")</f>
        <v>#REF!</v>
      </c>
      <c r="CJ34" t="e">
        <f>AND('4to. Perito_B'!#REF!,"AAAAAH3Tf1c=")</f>
        <v>#REF!</v>
      </c>
      <c r="CK34" t="e">
        <f>AND('4to. Perito_B'!#REF!,"AAAAAH3Tf1g=")</f>
        <v>#REF!</v>
      </c>
      <c r="CL34" t="e">
        <f>AND('4to. Perito_B'!#REF!,"AAAAAH3Tf1k=")</f>
        <v>#REF!</v>
      </c>
      <c r="CM34" t="e">
        <f>AND('4to. Perito_B'!#REF!,"AAAAAH3Tf1o=")</f>
        <v>#REF!</v>
      </c>
      <c r="CN34" t="e">
        <f>AND('4to. Perito_B'!#REF!,"AAAAAH3Tf1s=")</f>
        <v>#REF!</v>
      </c>
      <c r="CO34" t="e">
        <f>AND('4to. Perito_B'!#REF!,"AAAAAH3Tf1w=")</f>
        <v>#REF!</v>
      </c>
      <c r="CP34" t="e">
        <f>AND('4to. Perito_B'!#REF!,"AAAAAH3Tf10=")</f>
        <v>#REF!</v>
      </c>
      <c r="CQ34" t="e">
        <f>AND('4to. Perito_B'!#REF!,"AAAAAH3Tf14=")</f>
        <v>#REF!</v>
      </c>
      <c r="CR34" t="e">
        <f>AND('4to. Perito_B'!#REF!,"AAAAAH3Tf18=")</f>
        <v>#REF!</v>
      </c>
      <c r="CS34" t="e">
        <f>AND('4to. Perito_B'!#REF!,"AAAAAH3Tf2A=")</f>
        <v>#REF!</v>
      </c>
      <c r="CT34" t="e">
        <f>AND('4to. Perito_B'!#REF!,"AAAAAH3Tf2E=")</f>
        <v>#REF!</v>
      </c>
      <c r="CU34" t="e">
        <f>AND('4to. Perito_B'!#REF!,"AAAAAH3Tf2I=")</f>
        <v>#REF!</v>
      </c>
      <c r="CV34" t="e">
        <f>AND('4to. Perito_B'!#REF!,"AAAAAH3Tf2M=")</f>
        <v>#REF!</v>
      </c>
      <c r="CW34" t="e">
        <f>IF('4to. Perito_B'!#REF!,"AAAAAH3Tf2Q=",0)</f>
        <v>#REF!</v>
      </c>
      <c r="CX34" t="e">
        <f>AND('4to. Perito_B'!#REF!,"AAAAAH3Tf2U=")</f>
        <v>#REF!</v>
      </c>
      <c r="CY34" t="e">
        <f>AND('4to. Perito_B'!#REF!,"AAAAAH3Tf2Y=")</f>
        <v>#REF!</v>
      </c>
      <c r="CZ34" t="e">
        <f>AND('4to. Perito_B'!#REF!,"AAAAAH3Tf2c=")</f>
        <v>#REF!</v>
      </c>
      <c r="DA34" t="e">
        <f>AND('4to. Perito_B'!#REF!,"AAAAAH3Tf2g=")</f>
        <v>#REF!</v>
      </c>
      <c r="DB34" t="e">
        <f>AND('4to. Perito_B'!#REF!,"AAAAAH3Tf2k=")</f>
        <v>#REF!</v>
      </c>
      <c r="DC34" t="e">
        <f>AND('4to. Perito_B'!#REF!,"AAAAAH3Tf2o=")</f>
        <v>#REF!</v>
      </c>
      <c r="DD34" t="e">
        <f>AND('4to. Perito_B'!#REF!,"AAAAAH3Tf2s=")</f>
        <v>#REF!</v>
      </c>
      <c r="DE34" t="e">
        <f>AND('4to. Perito_B'!#REF!,"AAAAAH3Tf2w=")</f>
        <v>#REF!</v>
      </c>
      <c r="DF34" t="e">
        <f>AND('4to. Perito_B'!#REF!,"AAAAAH3Tf20=")</f>
        <v>#REF!</v>
      </c>
      <c r="DG34" t="e">
        <f>AND('4to. Perito_B'!#REF!,"AAAAAH3Tf24=")</f>
        <v>#REF!</v>
      </c>
      <c r="DH34" t="e">
        <f>AND('4to. Perito_B'!#REF!,"AAAAAH3Tf28=")</f>
        <v>#REF!</v>
      </c>
      <c r="DI34" t="e">
        <f>AND('4to. Perito_B'!#REF!,"AAAAAH3Tf3A=")</f>
        <v>#REF!</v>
      </c>
      <c r="DJ34" t="e">
        <f>AND('4to. Perito_B'!#REF!,"AAAAAH3Tf3E=")</f>
        <v>#REF!</v>
      </c>
      <c r="DK34" t="e">
        <f>AND('4to. Perito_B'!#REF!,"AAAAAH3Tf3I=")</f>
        <v>#REF!</v>
      </c>
      <c r="DL34" t="e">
        <f>AND('4to. Perito_B'!#REF!,"AAAAAH3Tf3M=")</f>
        <v>#REF!</v>
      </c>
      <c r="DM34" t="e">
        <f>AND('4to. Perito_B'!#REF!,"AAAAAH3Tf3Q=")</f>
        <v>#REF!</v>
      </c>
      <c r="DN34" t="e">
        <f>AND('4to. Perito_B'!#REF!,"AAAAAH3Tf3U=")</f>
        <v>#REF!</v>
      </c>
      <c r="DO34" t="e">
        <f>AND('4to. Perito_B'!#REF!,"AAAAAH3Tf3Y=")</f>
        <v>#REF!</v>
      </c>
      <c r="DP34" t="e">
        <f>AND('4to. Perito_B'!#REF!,"AAAAAH3Tf3c=")</f>
        <v>#REF!</v>
      </c>
      <c r="DQ34" t="e">
        <f>AND('4to. Perito_B'!#REF!,"AAAAAH3Tf3g=")</f>
        <v>#REF!</v>
      </c>
      <c r="DR34" t="e">
        <f>AND('4to. Perito_B'!#REF!,"AAAAAH3Tf3k=")</f>
        <v>#REF!</v>
      </c>
      <c r="DS34" t="e">
        <f>AND('4to. Perito_B'!#REF!,"AAAAAH3Tf3o=")</f>
        <v>#REF!</v>
      </c>
      <c r="DT34" t="e">
        <f>AND('4to. Perito_B'!#REF!,"AAAAAH3Tf3s=")</f>
        <v>#REF!</v>
      </c>
      <c r="DU34" t="e">
        <f>AND('4to. Perito_B'!#REF!,"AAAAAH3Tf3w=")</f>
        <v>#REF!</v>
      </c>
      <c r="DV34" t="e">
        <f>AND('4to. Perito_B'!#REF!,"AAAAAH3Tf30=")</f>
        <v>#REF!</v>
      </c>
      <c r="DW34" t="e">
        <f>IF('4to. Perito_B'!#REF!,"AAAAAH3Tf34=",0)</f>
        <v>#REF!</v>
      </c>
      <c r="DX34" t="e">
        <f>AND('4to. Perito_B'!#REF!,"AAAAAH3Tf38=")</f>
        <v>#REF!</v>
      </c>
      <c r="DY34" t="e">
        <f>AND('4to. Perito_B'!#REF!,"AAAAAH3Tf4A=")</f>
        <v>#REF!</v>
      </c>
      <c r="DZ34" t="e">
        <f>AND('4to. Perito_B'!#REF!,"AAAAAH3Tf4E=")</f>
        <v>#REF!</v>
      </c>
      <c r="EA34" t="e">
        <f>AND('4to. Perito_B'!#REF!,"AAAAAH3Tf4I=")</f>
        <v>#REF!</v>
      </c>
      <c r="EB34" t="e">
        <f>AND('4to. Perito_B'!#REF!,"AAAAAH3Tf4M=")</f>
        <v>#REF!</v>
      </c>
      <c r="EC34" t="e">
        <f>AND('4to. Perito_B'!#REF!,"AAAAAH3Tf4Q=")</f>
        <v>#REF!</v>
      </c>
      <c r="ED34" t="e">
        <f>AND('4to. Perito_B'!#REF!,"AAAAAH3Tf4U=")</f>
        <v>#REF!</v>
      </c>
      <c r="EE34" t="e">
        <f>AND('4to. Perito_B'!#REF!,"AAAAAH3Tf4Y=")</f>
        <v>#REF!</v>
      </c>
      <c r="EF34" t="e">
        <f>AND('4to. Perito_B'!#REF!,"AAAAAH3Tf4c=")</f>
        <v>#REF!</v>
      </c>
      <c r="EG34" t="e">
        <f>AND('4to. Perito_B'!#REF!,"AAAAAH3Tf4g=")</f>
        <v>#REF!</v>
      </c>
      <c r="EH34" t="e">
        <f>AND('4to. Perito_B'!#REF!,"AAAAAH3Tf4k=")</f>
        <v>#REF!</v>
      </c>
      <c r="EI34" t="e">
        <f>AND('4to. Perito_B'!#REF!,"AAAAAH3Tf4o=")</f>
        <v>#REF!</v>
      </c>
      <c r="EJ34" t="e">
        <f>AND('4to. Perito_B'!#REF!,"AAAAAH3Tf4s=")</f>
        <v>#REF!</v>
      </c>
      <c r="EK34" t="e">
        <f>AND('4to. Perito_B'!#REF!,"AAAAAH3Tf4w=")</f>
        <v>#REF!</v>
      </c>
      <c r="EL34" t="e">
        <f>AND('4to. Perito_B'!#REF!,"AAAAAH3Tf40=")</f>
        <v>#REF!</v>
      </c>
      <c r="EM34" t="e">
        <f>AND('4to. Perito_B'!#REF!,"AAAAAH3Tf44=")</f>
        <v>#REF!</v>
      </c>
      <c r="EN34" t="e">
        <f>AND('4to. Perito_B'!#REF!,"AAAAAH3Tf48=")</f>
        <v>#REF!</v>
      </c>
      <c r="EO34" t="e">
        <f>AND('4to. Perito_B'!#REF!,"AAAAAH3Tf5A=")</f>
        <v>#REF!</v>
      </c>
      <c r="EP34" t="e">
        <f>AND('4to. Perito_B'!#REF!,"AAAAAH3Tf5E=")</f>
        <v>#REF!</v>
      </c>
      <c r="EQ34" t="e">
        <f>AND('4to. Perito_B'!#REF!,"AAAAAH3Tf5I=")</f>
        <v>#REF!</v>
      </c>
      <c r="ER34" t="e">
        <f>AND('4to. Perito_B'!#REF!,"AAAAAH3Tf5M=")</f>
        <v>#REF!</v>
      </c>
      <c r="ES34" t="e">
        <f>AND('4to. Perito_B'!#REF!,"AAAAAH3Tf5Q=")</f>
        <v>#REF!</v>
      </c>
      <c r="ET34" t="e">
        <f>AND('4to. Perito_B'!#REF!,"AAAAAH3Tf5U=")</f>
        <v>#REF!</v>
      </c>
      <c r="EU34" t="e">
        <f>AND('4to. Perito_B'!#REF!,"AAAAAH3Tf5Y=")</f>
        <v>#REF!</v>
      </c>
      <c r="EV34" t="e">
        <f>AND('4to. Perito_B'!#REF!,"AAAAAH3Tf5c=")</f>
        <v>#REF!</v>
      </c>
      <c r="EW34" t="e">
        <f>IF('4to. Perito_B'!#REF!,"AAAAAH3Tf5g=",0)</f>
        <v>#REF!</v>
      </c>
      <c r="EX34" t="e">
        <f>AND('4to. Perito_B'!#REF!,"AAAAAH3Tf5k=")</f>
        <v>#REF!</v>
      </c>
      <c r="EY34" t="e">
        <f>AND('4to. Perito_B'!#REF!,"AAAAAH3Tf5o=")</f>
        <v>#REF!</v>
      </c>
      <c r="EZ34" t="e">
        <f>AND('4to. Perito_B'!#REF!,"AAAAAH3Tf5s=")</f>
        <v>#REF!</v>
      </c>
      <c r="FA34" t="e">
        <f>AND('4to. Perito_B'!#REF!,"AAAAAH3Tf5w=")</f>
        <v>#REF!</v>
      </c>
      <c r="FB34" t="e">
        <f>AND('4to. Perito_B'!#REF!,"AAAAAH3Tf50=")</f>
        <v>#REF!</v>
      </c>
      <c r="FC34" t="e">
        <f>AND('4to. Perito_B'!#REF!,"AAAAAH3Tf54=")</f>
        <v>#REF!</v>
      </c>
      <c r="FD34" t="e">
        <f>AND('4to. Perito_B'!#REF!,"AAAAAH3Tf58=")</f>
        <v>#REF!</v>
      </c>
      <c r="FE34" t="e">
        <f>AND('4to. Perito_B'!#REF!,"AAAAAH3Tf6A=")</f>
        <v>#REF!</v>
      </c>
      <c r="FF34" t="e">
        <f>AND('4to. Perito_B'!#REF!,"AAAAAH3Tf6E=")</f>
        <v>#REF!</v>
      </c>
      <c r="FG34" t="e">
        <f>AND('4to. Perito_B'!#REF!,"AAAAAH3Tf6I=")</f>
        <v>#REF!</v>
      </c>
      <c r="FH34" t="e">
        <f>AND('4to. Perito_B'!#REF!,"AAAAAH3Tf6M=")</f>
        <v>#REF!</v>
      </c>
      <c r="FI34" t="e">
        <f>AND('4to. Perito_B'!#REF!,"AAAAAH3Tf6Q=")</f>
        <v>#REF!</v>
      </c>
      <c r="FJ34" t="e">
        <f>AND('4to. Perito_B'!#REF!,"AAAAAH3Tf6U=")</f>
        <v>#REF!</v>
      </c>
      <c r="FK34" t="e">
        <f>AND('4to. Perito_B'!#REF!,"AAAAAH3Tf6Y=")</f>
        <v>#REF!</v>
      </c>
      <c r="FL34" t="e">
        <f>AND('4to. Perito_B'!#REF!,"AAAAAH3Tf6c=")</f>
        <v>#REF!</v>
      </c>
      <c r="FM34" t="e">
        <f>AND('4to. Perito_B'!#REF!,"AAAAAH3Tf6g=")</f>
        <v>#REF!</v>
      </c>
      <c r="FN34" t="e">
        <f>AND('4to. Perito_B'!#REF!,"AAAAAH3Tf6k=")</f>
        <v>#REF!</v>
      </c>
      <c r="FO34" t="e">
        <f>AND('4to. Perito_B'!#REF!,"AAAAAH3Tf6o=")</f>
        <v>#REF!</v>
      </c>
      <c r="FP34" t="e">
        <f>AND('4to. Perito_B'!#REF!,"AAAAAH3Tf6s=")</f>
        <v>#REF!</v>
      </c>
      <c r="FQ34" t="e">
        <f>AND('4to. Perito_B'!#REF!,"AAAAAH3Tf6w=")</f>
        <v>#REF!</v>
      </c>
      <c r="FR34" t="e">
        <f>AND('4to. Perito_B'!#REF!,"AAAAAH3Tf60=")</f>
        <v>#REF!</v>
      </c>
      <c r="FS34" t="e">
        <f>AND('4to. Perito_B'!#REF!,"AAAAAH3Tf64=")</f>
        <v>#REF!</v>
      </c>
      <c r="FT34" t="e">
        <f>AND('4to. Perito_B'!#REF!,"AAAAAH3Tf68=")</f>
        <v>#REF!</v>
      </c>
      <c r="FU34" t="e">
        <f>AND('4to. Perito_B'!#REF!,"AAAAAH3Tf7A=")</f>
        <v>#REF!</v>
      </c>
      <c r="FV34" t="e">
        <f>AND('4to. Perito_B'!#REF!,"AAAAAH3Tf7E=")</f>
        <v>#REF!</v>
      </c>
      <c r="FW34" t="e">
        <f>IF('4to. Perito_B'!#REF!,"AAAAAH3Tf7I=",0)</f>
        <v>#REF!</v>
      </c>
      <c r="FX34" t="e">
        <f>AND('4to. Perito_B'!#REF!,"AAAAAH3Tf7M=")</f>
        <v>#REF!</v>
      </c>
      <c r="FY34" t="e">
        <f>AND('4to. Perito_B'!#REF!,"AAAAAH3Tf7Q=")</f>
        <v>#REF!</v>
      </c>
      <c r="FZ34" t="e">
        <f>AND('4to. Perito_B'!#REF!,"AAAAAH3Tf7U=")</f>
        <v>#REF!</v>
      </c>
      <c r="GA34" t="e">
        <f>AND('4to. Perito_B'!#REF!,"AAAAAH3Tf7Y=")</f>
        <v>#REF!</v>
      </c>
      <c r="GB34" t="e">
        <f>AND('4to. Perito_B'!#REF!,"AAAAAH3Tf7c=")</f>
        <v>#REF!</v>
      </c>
      <c r="GC34" t="e">
        <f>AND('4to. Perito_B'!#REF!,"AAAAAH3Tf7g=")</f>
        <v>#REF!</v>
      </c>
      <c r="GD34" t="e">
        <f>AND('4to. Perito_B'!#REF!,"AAAAAH3Tf7k=")</f>
        <v>#REF!</v>
      </c>
      <c r="GE34" t="e">
        <f>AND('4to. Perito_B'!#REF!,"AAAAAH3Tf7o=")</f>
        <v>#REF!</v>
      </c>
      <c r="GF34" t="e">
        <f>AND('4to. Perito_B'!#REF!,"AAAAAH3Tf7s=")</f>
        <v>#REF!</v>
      </c>
      <c r="GG34" t="e">
        <f>AND('4to. Perito_B'!#REF!,"AAAAAH3Tf7w=")</f>
        <v>#REF!</v>
      </c>
      <c r="GH34" t="e">
        <f>AND('4to. Perito_B'!#REF!,"AAAAAH3Tf70=")</f>
        <v>#REF!</v>
      </c>
      <c r="GI34" t="e">
        <f>AND('4to. Perito_B'!#REF!,"AAAAAH3Tf74=")</f>
        <v>#REF!</v>
      </c>
      <c r="GJ34" t="e">
        <f>AND('4to. Perito_B'!#REF!,"AAAAAH3Tf78=")</f>
        <v>#REF!</v>
      </c>
      <c r="GK34" t="e">
        <f>AND('4to. Perito_B'!#REF!,"AAAAAH3Tf8A=")</f>
        <v>#REF!</v>
      </c>
      <c r="GL34" t="e">
        <f>AND('4to. Perito_B'!#REF!,"AAAAAH3Tf8E=")</f>
        <v>#REF!</v>
      </c>
      <c r="GM34" t="e">
        <f>AND('4to. Perito_B'!#REF!,"AAAAAH3Tf8I=")</f>
        <v>#REF!</v>
      </c>
      <c r="GN34" t="e">
        <f>AND('4to. Perito_B'!#REF!,"AAAAAH3Tf8M=")</f>
        <v>#REF!</v>
      </c>
      <c r="GO34" t="e">
        <f>AND('4to. Perito_B'!#REF!,"AAAAAH3Tf8Q=")</f>
        <v>#REF!</v>
      </c>
      <c r="GP34" t="e">
        <f>AND('4to. Perito_B'!#REF!,"AAAAAH3Tf8U=")</f>
        <v>#REF!</v>
      </c>
      <c r="GQ34" t="e">
        <f>AND('4to. Perito_B'!#REF!,"AAAAAH3Tf8Y=")</f>
        <v>#REF!</v>
      </c>
      <c r="GR34" t="e">
        <f>AND('4to. Perito_B'!#REF!,"AAAAAH3Tf8c=")</f>
        <v>#REF!</v>
      </c>
      <c r="GS34" t="e">
        <f>AND('4to. Perito_B'!#REF!,"AAAAAH3Tf8g=")</f>
        <v>#REF!</v>
      </c>
      <c r="GT34" t="e">
        <f>AND('4to. Perito_B'!#REF!,"AAAAAH3Tf8k=")</f>
        <v>#REF!</v>
      </c>
      <c r="GU34" t="e">
        <f>AND('4to. Perito_B'!#REF!,"AAAAAH3Tf8o=")</f>
        <v>#REF!</v>
      </c>
      <c r="GV34" t="e">
        <f>AND('4to. Perito_B'!#REF!,"AAAAAH3Tf8s=")</f>
        <v>#REF!</v>
      </c>
      <c r="GW34" t="e">
        <f>IF('4to. Perito_B'!#REF!,"AAAAAH3Tf8w=",0)</f>
        <v>#REF!</v>
      </c>
      <c r="GX34" t="e">
        <f>AND('4to. Perito_B'!#REF!,"AAAAAH3Tf80=")</f>
        <v>#REF!</v>
      </c>
      <c r="GY34" t="e">
        <f>AND('4to. Perito_B'!#REF!,"AAAAAH3Tf84=")</f>
        <v>#REF!</v>
      </c>
      <c r="GZ34" t="e">
        <f>AND('4to. Perito_B'!#REF!,"AAAAAH3Tf88=")</f>
        <v>#REF!</v>
      </c>
      <c r="HA34" t="e">
        <f>AND('4to. Perito_B'!#REF!,"AAAAAH3Tf9A=")</f>
        <v>#REF!</v>
      </c>
      <c r="HB34" t="e">
        <f>AND('4to. Perito_B'!#REF!,"AAAAAH3Tf9E=")</f>
        <v>#REF!</v>
      </c>
      <c r="HC34" t="e">
        <f>AND('4to. Perito_B'!#REF!,"AAAAAH3Tf9I=")</f>
        <v>#REF!</v>
      </c>
      <c r="HD34" t="e">
        <f>AND('4to. Perito_B'!#REF!,"AAAAAH3Tf9M=")</f>
        <v>#REF!</v>
      </c>
      <c r="HE34" t="e">
        <f>AND('4to. Perito_B'!#REF!,"AAAAAH3Tf9Q=")</f>
        <v>#REF!</v>
      </c>
      <c r="HF34" t="e">
        <f>AND('4to. Perito_B'!#REF!,"AAAAAH3Tf9U=")</f>
        <v>#REF!</v>
      </c>
      <c r="HG34" t="e">
        <f>AND('4to. Perito_B'!#REF!,"AAAAAH3Tf9Y=")</f>
        <v>#REF!</v>
      </c>
      <c r="HH34" t="e">
        <f>AND('4to. Perito_B'!#REF!,"AAAAAH3Tf9c=")</f>
        <v>#REF!</v>
      </c>
      <c r="HI34" t="e">
        <f>AND('4to. Perito_B'!#REF!,"AAAAAH3Tf9g=")</f>
        <v>#REF!</v>
      </c>
      <c r="HJ34" t="e">
        <f>AND('4to. Perito_B'!#REF!,"AAAAAH3Tf9k=")</f>
        <v>#REF!</v>
      </c>
      <c r="HK34" t="e">
        <f>AND('4to. Perito_B'!#REF!,"AAAAAH3Tf9o=")</f>
        <v>#REF!</v>
      </c>
      <c r="HL34" t="e">
        <f>AND('4to. Perito_B'!#REF!,"AAAAAH3Tf9s=")</f>
        <v>#REF!</v>
      </c>
      <c r="HM34" t="e">
        <f>AND('4to. Perito_B'!#REF!,"AAAAAH3Tf9w=")</f>
        <v>#REF!</v>
      </c>
      <c r="HN34" t="e">
        <f>AND('4to. Perito_B'!#REF!,"AAAAAH3Tf90=")</f>
        <v>#REF!</v>
      </c>
      <c r="HO34" t="e">
        <f>AND('4to. Perito_B'!#REF!,"AAAAAH3Tf94=")</f>
        <v>#REF!</v>
      </c>
      <c r="HP34" t="e">
        <f>AND('4to. Perito_B'!#REF!,"AAAAAH3Tf98=")</f>
        <v>#REF!</v>
      </c>
      <c r="HQ34" t="e">
        <f>AND('4to. Perito_B'!#REF!,"AAAAAH3Tf+A=")</f>
        <v>#REF!</v>
      </c>
      <c r="HR34" t="e">
        <f>AND('4to. Perito_B'!#REF!,"AAAAAH3Tf+E=")</f>
        <v>#REF!</v>
      </c>
      <c r="HS34" t="e">
        <f>AND('4to. Perito_B'!#REF!,"AAAAAH3Tf+I=")</f>
        <v>#REF!</v>
      </c>
      <c r="HT34" t="e">
        <f>AND('4to. Perito_B'!#REF!,"AAAAAH3Tf+M=")</f>
        <v>#REF!</v>
      </c>
      <c r="HU34" t="e">
        <f>AND('4to. Perito_B'!#REF!,"AAAAAH3Tf+Q=")</f>
        <v>#REF!</v>
      </c>
      <c r="HV34" t="e">
        <f>AND('4to. Perito_B'!#REF!,"AAAAAH3Tf+U=")</f>
        <v>#REF!</v>
      </c>
      <c r="HW34" t="e">
        <f>IF('4to. Perito_B'!#REF!,"AAAAAH3Tf+Y=",0)</f>
        <v>#REF!</v>
      </c>
      <c r="HX34" t="e">
        <f>AND('4to. Perito_B'!#REF!,"AAAAAH3Tf+c=")</f>
        <v>#REF!</v>
      </c>
      <c r="HY34" t="e">
        <f>AND('4to. Perito_B'!#REF!,"AAAAAH3Tf+g=")</f>
        <v>#REF!</v>
      </c>
      <c r="HZ34" t="e">
        <f>AND('4to. Perito_B'!#REF!,"AAAAAH3Tf+k=")</f>
        <v>#REF!</v>
      </c>
      <c r="IA34" t="e">
        <f>AND('4to. Perito_B'!#REF!,"AAAAAH3Tf+o=")</f>
        <v>#REF!</v>
      </c>
      <c r="IB34" t="e">
        <f>AND('4to. Perito_B'!#REF!,"AAAAAH3Tf+s=")</f>
        <v>#REF!</v>
      </c>
      <c r="IC34" t="e">
        <f>AND('4to. Perito_B'!#REF!,"AAAAAH3Tf+w=")</f>
        <v>#REF!</v>
      </c>
      <c r="ID34" t="e">
        <f>AND('4to. Perito_B'!#REF!,"AAAAAH3Tf+0=")</f>
        <v>#REF!</v>
      </c>
      <c r="IE34" t="e">
        <f>AND('4to. Perito_B'!#REF!,"AAAAAH3Tf+4=")</f>
        <v>#REF!</v>
      </c>
      <c r="IF34" t="e">
        <f>AND('4to. Perito_B'!#REF!,"AAAAAH3Tf+8=")</f>
        <v>#REF!</v>
      </c>
      <c r="IG34" t="e">
        <f>AND('4to. Perito_B'!#REF!,"AAAAAH3Tf/A=")</f>
        <v>#REF!</v>
      </c>
      <c r="IH34" t="e">
        <f>AND('4to. Perito_B'!#REF!,"AAAAAH3Tf/E=")</f>
        <v>#REF!</v>
      </c>
      <c r="II34" t="e">
        <f>AND('4to. Perito_B'!#REF!,"AAAAAH3Tf/I=")</f>
        <v>#REF!</v>
      </c>
      <c r="IJ34" t="e">
        <f>AND('4to. Perito_B'!#REF!,"AAAAAH3Tf/M=")</f>
        <v>#REF!</v>
      </c>
      <c r="IK34" t="e">
        <f>AND('4to. Perito_B'!#REF!,"AAAAAH3Tf/Q=")</f>
        <v>#REF!</v>
      </c>
      <c r="IL34" t="e">
        <f>AND('4to. Perito_B'!#REF!,"AAAAAH3Tf/U=")</f>
        <v>#REF!</v>
      </c>
      <c r="IM34" t="e">
        <f>AND('4to. Perito_B'!#REF!,"AAAAAH3Tf/Y=")</f>
        <v>#REF!</v>
      </c>
      <c r="IN34" t="e">
        <f>AND('4to. Perito_B'!#REF!,"AAAAAH3Tf/c=")</f>
        <v>#REF!</v>
      </c>
      <c r="IO34" t="e">
        <f>AND('4to. Perito_B'!#REF!,"AAAAAH3Tf/g=")</f>
        <v>#REF!</v>
      </c>
      <c r="IP34" t="e">
        <f>AND('4to. Perito_B'!#REF!,"AAAAAH3Tf/k=")</f>
        <v>#REF!</v>
      </c>
      <c r="IQ34" t="e">
        <f>AND('4to. Perito_B'!#REF!,"AAAAAH3Tf/o=")</f>
        <v>#REF!</v>
      </c>
      <c r="IR34" t="e">
        <f>AND('4to. Perito_B'!#REF!,"AAAAAH3Tf/s=")</f>
        <v>#REF!</v>
      </c>
      <c r="IS34" t="e">
        <f>AND('4to. Perito_B'!#REF!,"AAAAAH3Tf/w=")</f>
        <v>#REF!</v>
      </c>
      <c r="IT34" t="e">
        <f>AND('4to. Perito_B'!#REF!,"AAAAAH3Tf/0=")</f>
        <v>#REF!</v>
      </c>
      <c r="IU34" t="e">
        <f>AND('4to. Perito_B'!#REF!,"AAAAAH3Tf/4=")</f>
        <v>#REF!</v>
      </c>
      <c r="IV34" t="e">
        <f>AND('4to. Perito_B'!#REF!,"AAAAAH3Tf/8=")</f>
        <v>#REF!</v>
      </c>
    </row>
    <row r="35" spans="1:256">
      <c r="A35" t="e">
        <f>IF('4to. Perito_B'!A:A,"AAAAADX/mQA=",0)</f>
        <v>#VALUE!</v>
      </c>
      <c r="B35" t="e">
        <f>IF('4to. Perito_B'!B:B,"AAAAADX/mQE=",0)</f>
        <v>#VALUE!</v>
      </c>
      <c r="C35" t="e">
        <f>IF('4to. Perito_B'!C:C,"AAAAADX/mQI=",0)</f>
        <v>#VALUE!</v>
      </c>
      <c r="D35">
        <f>IF('4to. Perito_B'!D:D,"AAAAADX/mQM=",0)</f>
        <v>0</v>
      </c>
      <c r="E35">
        <f>IF('4to. Perito_B'!E:E,"AAAAADX/mQQ=",0)</f>
        <v>0</v>
      </c>
      <c r="F35">
        <f>IF('4to. Perito_B'!F:F,"AAAAADX/mQU=",0)</f>
        <v>0</v>
      </c>
      <c r="G35">
        <f>IF('4to. Perito_B'!G:G,"AAAAADX/mQY=",0)</f>
        <v>0</v>
      </c>
      <c r="H35">
        <f>IF('4to. Perito_B'!H:H,"AAAAADX/mQc=",0)</f>
        <v>0</v>
      </c>
      <c r="I35">
        <f>IF('4to. Perito_B'!I:I,"AAAAADX/mQg=",0)</f>
        <v>0</v>
      </c>
      <c r="J35">
        <f>IF('4to. Perito_B'!J:J,"AAAAADX/mQk=",0)</f>
        <v>0</v>
      </c>
      <c r="K35">
        <f>IF('4to. Perito_B'!K:K,"AAAAADX/mQo=",0)</f>
        <v>0</v>
      </c>
      <c r="L35">
        <f>IF('4to. Perito_B'!L:L,"AAAAADX/mQs=",0)</f>
        <v>0</v>
      </c>
      <c r="M35">
        <f>IF('4to. Perito_B'!M:M,"AAAAADX/mQw=",0)</f>
        <v>0</v>
      </c>
      <c r="N35">
        <f>IF('4to. Perito_B'!N:N,"AAAAADX/mQ0=",0)</f>
        <v>0</v>
      </c>
      <c r="O35">
        <f>IF('4to. Perito_B'!O:O,"AAAAADX/mQ4=",0)</f>
        <v>0</v>
      </c>
      <c r="P35">
        <f>IF('4to. Perito_B'!P:P,"AAAAADX/mQ8=",0)</f>
        <v>0</v>
      </c>
      <c r="Q35">
        <f>IF('4to. Perito_B'!Q:Q,"AAAAADX/mRA=",0)</f>
        <v>0</v>
      </c>
      <c r="R35">
        <f>IF('4to. Perito_B'!R:R,"AAAAADX/mRE=",0)</f>
        <v>0</v>
      </c>
      <c r="S35">
        <f>IF('4to. Perito_B'!S:S,"AAAAADX/mRI=",0)</f>
        <v>0</v>
      </c>
      <c r="T35">
        <f>IF('4to. Perito_B'!T:T,"AAAAADX/mRM=",0)</f>
        <v>0</v>
      </c>
      <c r="U35" t="e">
        <f>IF('4to. Perito_B'!#REF!,"AAAAADX/mRQ=",0)</f>
        <v>#REF!</v>
      </c>
      <c r="V35" t="e">
        <f>IF('4to. Perito_B'!#REF!,"AAAAADX/mRU=",0)</f>
        <v>#REF!</v>
      </c>
      <c r="W35" t="e">
        <f>IF('4to. Perito_B'!#REF!,"AAAAADX/mRY=",0)</f>
        <v>#REF!</v>
      </c>
      <c r="X35" t="e">
        <f>IF('4to. Perito_B'!#REF!,"AAAAADX/mRc=",0)</f>
        <v>#REF!</v>
      </c>
      <c r="Y35" t="e">
        <f>IF('4to. Perito_B'!#REF!,"AAAAADX/mRg=",0)</f>
        <v>#REF!</v>
      </c>
      <c r="Z35" t="e">
        <f>IF('5to. Bach_A'!#REF!,"AAAAADX/mRk=",0)</f>
        <v>#REF!</v>
      </c>
      <c r="AA35" t="e">
        <f>AND('5to. Bach_A'!#REF!,"AAAAADX/mRo=")</f>
        <v>#REF!</v>
      </c>
      <c r="AB35" t="e">
        <f>AND('5to. Bach_A'!#REF!,"AAAAADX/mRs=")</f>
        <v>#REF!</v>
      </c>
      <c r="AC35" t="e">
        <f>AND('5to. Bach_A'!#REF!,"AAAAADX/mRw=")</f>
        <v>#REF!</v>
      </c>
      <c r="AD35" t="e">
        <f>AND('5to. Bach_A'!#REF!,"AAAAADX/mR0=")</f>
        <v>#REF!</v>
      </c>
      <c r="AE35" t="e">
        <f>AND('5to. Bach_A'!#REF!,"AAAAADX/mR4=")</f>
        <v>#REF!</v>
      </c>
      <c r="AF35" t="e">
        <f>AND('5to. Bach_A'!#REF!,"AAAAADX/mR8=")</f>
        <v>#REF!</v>
      </c>
      <c r="AG35" t="e">
        <f>AND('5to. Bach_A'!#REF!,"AAAAADX/mSA=")</f>
        <v>#REF!</v>
      </c>
      <c r="AH35" t="e">
        <f>AND('5to. Bach_A'!#REF!,"AAAAADX/mSE=")</f>
        <v>#REF!</v>
      </c>
      <c r="AI35" t="e">
        <f>AND('5to. Bach_A'!#REF!,"AAAAADX/mSI=")</f>
        <v>#REF!</v>
      </c>
      <c r="AJ35" t="e">
        <f>AND('5to. Bach_A'!#REF!,"AAAAADX/mSM=")</f>
        <v>#REF!</v>
      </c>
      <c r="AK35" t="e">
        <f>AND('5to. Bach_A'!#REF!,"AAAAADX/mSQ=")</f>
        <v>#REF!</v>
      </c>
      <c r="AL35" t="e">
        <f>AND('5to. Bach_A'!#REF!,"AAAAADX/mSU=")</f>
        <v>#REF!</v>
      </c>
      <c r="AM35" t="e">
        <f>AND('5to. Bach_A'!#REF!,"AAAAADX/mSY=")</f>
        <v>#REF!</v>
      </c>
      <c r="AN35" t="e">
        <f>AND('5to. Bach_A'!#REF!,"AAAAADX/mSc=")</f>
        <v>#REF!</v>
      </c>
      <c r="AO35" t="e">
        <f>AND('5to. Bach_A'!#REF!,"AAAAADX/mSg=")</f>
        <v>#REF!</v>
      </c>
      <c r="AP35" t="e">
        <f>AND('5to. Bach_A'!#REF!,"AAAAADX/mSk=")</f>
        <v>#REF!</v>
      </c>
      <c r="AQ35" t="e">
        <f>AND('5to. Bach_A'!#REF!,"AAAAADX/mSo=")</f>
        <v>#REF!</v>
      </c>
      <c r="AR35" t="e">
        <f>AND('5to. Bach_A'!#REF!,"AAAAADX/mSs=")</f>
        <v>#REF!</v>
      </c>
      <c r="AS35" t="e">
        <f>AND('5to. Bach_A'!#REF!,"AAAAADX/mSw=")</f>
        <v>#REF!</v>
      </c>
      <c r="AT35" t="e">
        <f>AND('5to. Bach_A'!#REF!,"AAAAADX/mS0=")</f>
        <v>#REF!</v>
      </c>
      <c r="AU35" t="e">
        <f>AND('5to. Bach_A'!#REF!,"AAAAADX/mS4=")</f>
        <v>#REF!</v>
      </c>
      <c r="AV35" t="e">
        <f>AND('5to. Bach_A'!#REF!,"AAAAADX/mS8=")</f>
        <v>#REF!</v>
      </c>
      <c r="AW35" t="e">
        <f>AND('5to. Bach_A'!#REF!,"AAAAADX/mTA=")</f>
        <v>#REF!</v>
      </c>
      <c r="AX35" t="e">
        <f>AND('5to. Bach_A'!#REF!,"AAAAADX/mTE=")</f>
        <v>#REF!</v>
      </c>
      <c r="AY35" t="e">
        <f>AND('5to. Bach_A'!#REF!,"AAAAADX/mTI=")</f>
        <v>#REF!</v>
      </c>
      <c r="AZ35" t="e">
        <f>IF('5to. Bach_A'!#REF!,"AAAAADX/mTM=",0)</f>
        <v>#REF!</v>
      </c>
      <c r="BA35" t="e">
        <f>AND('5to. Bach_A'!#REF!,"AAAAADX/mTQ=")</f>
        <v>#REF!</v>
      </c>
      <c r="BB35" t="e">
        <f>AND('5to. Bach_A'!#REF!,"AAAAADX/mTU=")</f>
        <v>#REF!</v>
      </c>
      <c r="BC35" t="e">
        <f>AND('5to. Bach_A'!#REF!,"AAAAADX/mTY=")</f>
        <v>#REF!</v>
      </c>
      <c r="BD35" t="e">
        <f>AND('5to. Bach_A'!#REF!,"AAAAADX/mTc=")</f>
        <v>#REF!</v>
      </c>
      <c r="BE35" t="e">
        <f>AND('5to. Bach_A'!#REF!,"AAAAADX/mTg=")</f>
        <v>#REF!</v>
      </c>
      <c r="BF35" t="e">
        <f>AND('5to. Bach_A'!#REF!,"AAAAADX/mTk=")</f>
        <v>#REF!</v>
      </c>
      <c r="BG35" t="e">
        <f>AND('5to. Bach_A'!#REF!,"AAAAADX/mTo=")</f>
        <v>#REF!</v>
      </c>
      <c r="BH35" t="e">
        <f>AND('5to. Bach_A'!#REF!,"AAAAADX/mTs=")</f>
        <v>#REF!</v>
      </c>
      <c r="BI35" t="e">
        <f>AND('5to. Bach_A'!#REF!,"AAAAADX/mTw=")</f>
        <v>#REF!</v>
      </c>
      <c r="BJ35" t="e">
        <f>AND('5to. Bach_A'!#REF!,"AAAAADX/mT0=")</f>
        <v>#REF!</v>
      </c>
      <c r="BK35" t="e">
        <f>AND('5to. Bach_A'!#REF!,"AAAAADX/mT4=")</f>
        <v>#REF!</v>
      </c>
      <c r="BL35" t="e">
        <f>AND('5to. Bach_A'!#REF!,"AAAAADX/mT8=")</f>
        <v>#REF!</v>
      </c>
      <c r="BM35" t="e">
        <f>AND('5to. Bach_A'!#REF!,"AAAAADX/mUA=")</f>
        <v>#REF!</v>
      </c>
      <c r="BN35" t="e">
        <f>AND('5to. Bach_A'!#REF!,"AAAAADX/mUE=")</f>
        <v>#REF!</v>
      </c>
      <c r="BO35" t="e">
        <f>AND('5to. Bach_A'!#REF!,"AAAAADX/mUI=")</f>
        <v>#REF!</v>
      </c>
      <c r="BP35" t="e">
        <f>AND('5to. Bach_A'!#REF!,"AAAAADX/mUM=")</f>
        <v>#REF!</v>
      </c>
      <c r="BQ35" t="e">
        <f>AND('5to. Bach_A'!#REF!,"AAAAADX/mUQ=")</f>
        <v>#REF!</v>
      </c>
      <c r="BR35" t="e">
        <f>AND('5to. Bach_A'!#REF!,"AAAAADX/mUU=")</f>
        <v>#REF!</v>
      </c>
      <c r="BS35" t="e">
        <f>AND('5to. Bach_A'!#REF!,"AAAAADX/mUY=")</f>
        <v>#REF!</v>
      </c>
      <c r="BT35" t="e">
        <f>AND('5to. Bach_A'!#REF!,"AAAAADX/mUc=")</f>
        <v>#REF!</v>
      </c>
      <c r="BU35" t="e">
        <f>AND('5to. Bach_A'!#REF!,"AAAAADX/mUg=")</f>
        <v>#REF!</v>
      </c>
      <c r="BV35" t="e">
        <f>AND('5to. Bach_A'!#REF!,"AAAAADX/mUk=")</f>
        <v>#REF!</v>
      </c>
      <c r="BW35" t="e">
        <f>AND('5to. Bach_A'!#REF!,"AAAAADX/mUo=")</f>
        <v>#REF!</v>
      </c>
      <c r="BX35" t="e">
        <f>AND('5to. Bach_A'!#REF!,"AAAAADX/mUs=")</f>
        <v>#REF!</v>
      </c>
      <c r="BY35" t="e">
        <f>AND('5to. Bach_A'!#REF!,"AAAAADX/mUw=")</f>
        <v>#REF!</v>
      </c>
      <c r="BZ35" t="e">
        <f>IF('5to. Bach_A'!#REF!,"AAAAADX/mU0=",0)</f>
        <v>#REF!</v>
      </c>
      <c r="CA35" t="e">
        <f>AND('5to. Bach_A'!#REF!,"AAAAADX/mU4=")</f>
        <v>#REF!</v>
      </c>
      <c r="CB35" t="e">
        <f>AND('5to. Bach_A'!#REF!,"AAAAADX/mU8=")</f>
        <v>#REF!</v>
      </c>
      <c r="CC35" t="e">
        <f>AND('5to. Bach_A'!#REF!,"AAAAADX/mVA=")</f>
        <v>#REF!</v>
      </c>
      <c r="CD35" t="e">
        <f>AND('5to. Bach_A'!#REF!,"AAAAADX/mVE=")</f>
        <v>#REF!</v>
      </c>
      <c r="CE35" t="e">
        <f>AND('5to. Bach_A'!#REF!,"AAAAADX/mVI=")</f>
        <v>#REF!</v>
      </c>
      <c r="CF35" t="e">
        <f>AND('5to. Bach_A'!#REF!,"AAAAADX/mVM=")</f>
        <v>#REF!</v>
      </c>
      <c r="CG35" t="e">
        <f>AND('5to. Bach_A'!#REF!,"AAAAADX/mVQ=")</f>
        <v>#REF!</v>
      </c>
      <c r="CH35" t="e">
        <f>AND('5to. Bach_A'!#REF!,"AAAAADX/mVU=")</f>
        <v>#REF!</v>
      </c>
      <c r="CI35" t="e">
        <f>AND('5to. Bach_A'!#REF!,"AAAAADX/mVY=")</f>
        <v>#REF!</v>
      </c>
      <c r="CJ35" t="e">
        <f>AND('5to. Bach_A'!#REF!,"AAAAADX/mVc=")</f>
        <v>#REF!</v>
      </c>
      <c r="CK35" t="e">
        <f>AND('5to. Bach_A'!#REF!,"AAAAADX/mVg=")</f>
        <v>#REF!</v>
      </c>
      <c r="CL35" t="e">
        <f>AND('5to. Bach_A'!#REF!,"AAAAADX/mVk=")</f>
        <v>#REF!</v>
      </c>
      <c r="CM35" t="e">
        <f>AND('5to. Bach_A'!#REF!,"AAAAADX/mVo=")</f>
        <v>#REF!</v>
      </c>
      <c r="CN35" t="e">
        <f>AND('5to. Bach_A'!#REF!,"AAAAADX/mVs=")</f>
        <v>#REF!</v>
      </c>
      <c r="CO35" t="e">
        <f>AND('5to. Bach_A'!#REF!,"AAAAADX/mVw=")</f>
        <v>#REF!</v>
      </c>
      <c r="CP35" t="e">
        <f>AND('5to. Bach_A'!#REF!,"AAAAADX/mV0=")</f>
        <v>#REF!</v>
      </c>
      <c r="CQ35" t="e">
        <f>AND('5to. Bach_A'!#REF!,"AAAAADX/mV4=")</f>
        <v>#REF!</v>
      </c>
      <c r="CR35" t="e">
        <f>AND('5to. Bach_A'!#REF!,"AAAAADX/mV8=")</f>
        <v>#REF!</v>
      </c>
      <c r="CS35" t="e">
        <f>AND('5to. Bach_A'!#REF!,"AAAAADX/mWA=")</f>
        <v>#REF!</v>
      </c>
      <c r="CT35" t="e">
        <f>AND('5to. Bach_A'!#REF!,"AAAAADX/mWE=")</f>
        <v>#REF!</v>
      </c>
      <c r="CU35" t="e">
        <f>AND('5to. Bach_A'!#REF!,"AAAAADX/mWI=")</f>
        <v>#REF!</v>
      </c>
      <c r="CV35" t="e">
        <f>AND('5to. Bach_A'!#REF!,"AAAAADX/mWM=")</f>
        <v>#REF!</v>
      </c>
      <c r="CW35" t="e">
        <f>AND('5to. Bach_A'!#REF!,"AAAAADX/mWQ=")</f>
        <v>#REF!</v>
      </c>
      <c r="CX35" t="e">
        <f>AND('5to. Bach_A'!#REF!,"AAAAADX/mWU=")</f>
        <v>#REF!</v>
      </c>
      <c r="CY35" t="e">
        <f>AND('5to. Bach_A'!#REF!,"AAAAADX/mWY=")</f>
        <v>#REF!</v>
      </c>
      <c r="CZ35" t="e">
        <f>IF('5to. Bach_A'!#REF!,"AAAAADX/mWc=",0)</f>
        <v>#REF!</v>
      </c>
      <c r="DA35" t="e">
        <f>AND('5to. Bach_A'!#REF!,"AAAAADX/mWg=")</f>
        <v>#REF!</v>
      </c>
      <c r="DB35" t="e">
        <f>AND('5to. Bach_A'!#REF!,"AAAAADX/mWk=")</f>
        <v>#REF!</v>
      </c>
      <c r="DC35" t="e">
        <f>AND('5to. Bach_A'!#REF!,"AAAAADX/mWo=")</f>
        <v>#REF!</v>
      </c>
      <c r="DD35" t="e">
        <f>AND('5to. Bach_A'!#REF!,"AAAAADX/mWs=")</f>
        <v>#REF!</v>
      </c>
      <c r="DE35" t="e">
        <f>AND('5to. Bach_A'!#REF!,"AAAAADX/mWw=")</f>
        <v>#REF!</v>
      </c>
      <c r="DF35" t="e">
        <f>AND('5to. Bach_A'!#REF!,"AAAAADX/mW0=")</f>
        <v>#REF!</v>
      </c>
      <c r="DG35" t="e">
        <f>AND('5to. Bach_A'!#REF!,"AAAAADX/mW4=")</f>
        <v>#REF!</v>
      </c>
      <c r="DH35" t="e">
        <f>AND('5to. Bach_A'!#REF!,"AAAAADX/mW8=")</f>
        <v>#REF!</v>
      </c>
      <c r="DI35" t="e">
        <f>AND('5to. Bach_A'!#REF!,"AAAAADX/mXA=")</f>
        <v>#REF!</v>
      </c>
      <c r="DJ35" t="e">
        <f>AND('5to. Bach_A'!#REF!,"AAAAADX/mXE=")</f>
        <v>#REF!</v>
      </c>
      <c r="DK35" t="e">
        <f>AND('5to. Bach_A'!#REF!,"AAAAADX/mXI=")</f>
        <v>#REF!</v>
      </c>
      <c r="DL35" t="e">
        <f>AND('5to. Bach_A'!#REF!,"AAAAADX/mXM=")</f>
        <v>#REF!</v>
      </c>
      <c r="DM35" t="e">
        <f>AND('5to. Bach_A'!#REF!,"AAAAADX/mXQ=")</f>
        <v>#REF!</v>
      </c>
      <c r="DN35" t="e">
        <f>AND('5to. Bach_A'!#REF!,"AAAAADX/mXU=")</f>
        <v>#REF!</v>
      </c>
      <c r="DO35" t="e">
        <f>AND('5to. Bach_A'!#REF!,"AAAAADX/mXY=")</f>
        <v>#REF!</v>
      </c>
      <c r="DP35" t="e">
        <f>AND('5to. Bach_A'!#REF!,"AAAAADX/mXc=")</f>
        <v>#REF!</v>
      </c>
      <c r="DQ35" t="e">
        <f>AND('5to. Bach_A'!#REF!,"AAAAADX/mXg=")</f>
        <v>#REF!</v>
      </c>
      <c r="DR35" t="e">
        <f>AND('5to. Bach_A'!#REF!,"AAAAADX/mXk=")</f>
        <v>#REF!</v>
      </c>
      <c r="DS35" t="e">
        <f>AND('5to. Bach_A'!#REF!,"AAAAADX/mXo=")</f>
        <v>#REF!</v>
      </c>
      <c r="DT35" t="e">
        <f>AND('5to. Bach_A'!#REF!,"AAAAADX/mXs=")</f>
        <v>#REF!</v>
      </c>
      <c r="DU35" t="e">
        <f>AND('5to. Bach_A'!#REF!,"AAAAADX/mXw=")</f>
        <v>#REF!</v>
      </c>
      <c r="DV35" t="e">
        <f>AND('5to. Bach_A'!#REF!,"AAAAADX/mX0=")</f>
        <v>#REF!</v>
      </c>
      <c r="DW35" t="e">
        <f>AND('5to. Bach_A'!#REF!,"AAAAADX/mX4=")</f>
        <v>#REF!</v>
      </c>
      <c r="DX35" t="e">
        <f>AND('5to. Bach_A'!#REF!,"AAAAADX/mX8=")</f>
        <v>#REF!</v>
      </c>
      <c r="DY35" t="e">
        <f>AND('5to. Bach_A'!#REF!,"AAAAADX/mYA=")</f>
        <v>#REF!</v>
      </c>
      <c r="DZ35">
        <f>IF('5to. Bach_A'!2:2,"AAAAADX/mYE=",0)</f>
        <v>0</v>
      </c>
      <c r="EA35" t="e">
        <f>AND('5to. Bach_A'!A2,"AAAAADX/mYI=")</f>
        <v>#VALUE!</v>
      </c>
      <c r="EB35" t="e">
        <f>AND('5to. Bach_A'!B2,"AAAAADX/mYM=")</f>
        <v>#VALUE!</v>
      </c>
      <c r="EC35" t="e">
        <f>AND('5to. Bach_A'!C2,"AAAAADX/mYQ=")</f>
        <v>#VALUE!</v>
      </c>
      <c r="ED35" t="e">
        <f>AND('5to. Bach_A'!D2,"AAAAADX/mYU=")</f>
        <v>#VALUE!</v>
      </c>
      <c r="EE35" t="e">
        <f>AND('5to. Bach_A'!E2,"AAAAADX/mYY=")</f>
        <v>#VALUE!</v>
      </c>
      <c r="EF35" t="e">
        <f>AND('5to. Bach_A'!F2,"AAAAADX/mYc=")</f>
        <v>#VALUE!</v>
      </c>
      <c r="EG35" t="e">
        <f>AND('5to. Bach_A'!G2,"AAAAADX/mYg=")</f>
        <v>#VALUE!</v>
      </c>
      <c r="EH35" t="e">
        <f>AND('5to. Bach_A'!H2,"AAAAADX/mYk=")</f>
        <v>#VALUE!</v>
      </c>
      <c r="EI35" t="e">
        <f>AND('5to. Bach_A'!I2,"AAAAADX/mYo=")</f>
        <v>#VALUE!</v>
      </c>
      <c r="EJ35" t="e">
        <f>AND('5to. Bach_A'!J2,"AAAAADX/mYs=")</f>
        <v>#VALUE!</v>
      </c>
      <c r="EK35" t="e">
        <f>AND('5to. Bach_A'!K2,"AAAAADX/mYw=")</f>
        <v>#VALUE!</v>
      </c>
      <c r="EL35" t="e">
        <f>AND('5to. Bach_A'!L2,"AAAAADX/mY0=")</f>
        <v>#VALUE!</v>
      </c>
      <c r="EM35" t="e">
        <f>AND('5to. Bach_A'!M2,"AAAAADX/mY4=")</f>
        <v>#VALUE!</v>
      </c>
      <c r="EN35" t="e">
        <f>AND('5to. Bach_A'!N2,"AAAAADX/mY8=")</f>
        <v>#VALUE!</v>
      </c>
      <c r="EO35" t="e">
        <f>AND('5to. Bach_A'!O2,"AAAAADX/mZA=")</f>
        <v>#VALUE!</v>
      </c>
      <c r="EP35" t="e">
        <f>AND('5to. Bach_A'!P2,"AAAAADX/mZE=")</f>
        <v>#VALUE!</v>
      </c>
      <c r="EQ35" t="e">
        <f>AND('5to. Bach_A'!Q2,"AAAAADX/mZI=")</f>
        <v>#VALUE!</v>
      </c>
      <c r="ER35" t="e">
        <f>AND('5to. Bach_A'!R2,"AAAAADX/mZM=")</f>
        <v>#VALUE!</v>
      </c>
      <c r="ES35" t="e">
        <f>AND('5to. Bach_A'!S2,"AAAAADX/mZQ=")</f>
        <v>#VALUE!</v>
      </c>
      <c r="ET35" t="e">
        <f>AND('5to. Bach_A'!T2,"AAAAADX/mZU=")</f>
        <v>#VALUE!</v>
      </c>
      <c r="EU35" t="e">
        <f>AND('5to. Bach_A'!#REF!,"AAAAADX/mZY=")</f>
        <v>#REF!</v>
      </c>
      <c r="EV35" t="e">
        <f>AND('5to. Bach_A'!#REF!,"AAAAADX/mZc=")</f>
        <v>#REF!</v>
      </c>
      <c r="EW35" t="e">
        <f>AND('5to. Bach_A'!#REF!,"AAAAADX/mZg=")</f>
        <v>#REF!</v>
      </c>
      <c r="EX35" t="e">
        <f>AND('5to. Bach_A'!#REF!,"AAAAADX/mZk=")</f>
        <v>#REF!</v>
      </c>
      <c r="EY35" t="e">
        <f>AND('5to. Bach_A'!#REF!,"AAAAADX/mZo=")</f>
        <v>#REF!</v>
      </c>
      <c r="EZ35">
        <f>IF('5to. Bach_A'!3:3,"AAAAADX/mZs=",0)</f>
        <v>0</v>
      </c>
      <c r="FA35" t="e">
        <f>AND('5to. Bach_A'!A3,"AAAAADX/mZw=")</f>
        <v>#VALUE!</v>
      </c>
      <c r="FB35" t="e">
        <f>AND('5to. Bach_A'!B3,"AAAAADX/mZ0=")</f>
        <v>#VALUE!</v>
      </c>
      <c r="FC35" t="e">
        <f>AND('5to. Bach_A'!C3,"AAAAADX/mZ4=")</f>
        <v>#VALUE!</v>
      </c>
      <c r="FD35" t="e">
        <f>AND('5to. Bach_A'!D3,"AAAAADX/mZ8=")</f>
        <v>#VALUE!</v>
      </c>
      <c r="FE35" t="e">
        <f>AND('5to. Bach_A'!E3,"AAAAADX/maA=")</f>
        <v>#VALUE!</v>
      </c>
      <c r="FF35" t="e">
        <f>AND('5to. Bach_A'!F3,"AAAAADX/maE=")</f>
        <v>#VALUE!</v>
      </c>
      <c r="FG35" t="e">
        <f>AND('5to. Bach_A'!G3,"AAAAADX/maI=")</f>
        <v>#VALUE!</v>
      </c>
      <c r="FH35" t="e">
        <f>AND('5to. Bach_A'!H3,"AAAAADX/maM=")</f>
        <v>#VALUE!</v>
      </c>
      <c r="FI35" t="e">
        <f>AND('5to. Bach_A'!I3,"AAAAADX/maQ=")</f>
        <v>#VALUE!</v>
      </c>
      <c r="FJ35" t="e">
        <f>AND('5to. Bach_A'!J3,"AAAAADX/maU=")</f>
        <v>#VALUE!</v>
      </c>
      <c r="FK35" t="e">
        <f>AND('5to. Bach_A'!K3,"AAAAADX/maY=")</f>
        <v>#VALUE!</v>
      </c>
      <c r="FL35" t="e">
        <f>AND('5to. Bach_A'!L3,"AAAAADX/mac=")</f>
        <v>#VALUE!</v>
      </c>
      <c r="FM35" t="e">
        <f>AND('5to. Bach_A'!M3,"AAAAADX/mag=")</f>
        <v>#VALUE!</v>
      </c>
      <c r="FN35" t="e">
        <f>AND('5to. Bach_A'!N3,"AAAAADX/mak=")</f>
        <v>#VALUE!</v>
      </c>
      <c r="FO35" t="e">
        <f>AND('5to. Bach_A'!O3,"AAAAADX/mao=")</f>
        <v>#VALUE!</v>
      </c>
      <c r="FP35" t="e">
        <f>AND('5to. Bach_A'!P3,"AAAAADX/mas=")</f>
        <v>#VALUE!</v>
      </c>
      <c r="FQ35" t="e">
        <f>AND('5to. Bach_A'!Q3,"AAAAADX/maw=")</f>
        <v>#VALUE!</v>
      </c>
      <c r="FR35" t="e">
        <f>AND('5to. Bach_A'!R3,"AAAAADX/ma0=")</f>
        <v>#VALUE!</v>
      </c>
      <c r="FS35" t="e">
        <f>AND('5to. Bach_A'!S3,"AAAAADX/ma4=")</f>
        <v>#VALUE!</v>
      </c>
      <c r="FT35" t="e">
        <f>AND('5to. Bach_A'!T3,"AAAAADX/ma8=")</f>
        <v>#VALUE!</v>
      </c>
      <c r="FU35" t="e">
        <f>AND('5to. Bach_A'!#REF!,"AAAAADX/mbA=")</f>
        <v>#REF!</v>
      </c>
      <c r="FV35" t="e">
        <f>AND('5to. Bach_A'!#REF!,"AAAAADX/mbE=")</f>
        <v>#REF!</v>
      </c>
      <c r="FW35" t="e">
        <f>AND('5to. Bach_A'!#REF!,"AAAAADX/mbI=")</f>
        <v>#REF!</v>
      </c>
      <c r="FX35" t="e">
        <f>AND('5to. Bach_A'!#REF!,"AAAAADX/mbM=")</f>
        <v>#REF!</v>
      </c>
      <c r="FY35" t="e">
        <f>AND('5to. Bach_A'!#REF!,"AAAAADX/mbQ=")</f>
        <v>#REF!</v>
      </c>
      <c r="FZ35">
        <f>IF('5to. Bach_A'!4:4,"AAAAADX/mbU=",0)</f>
        <v>0</v>
      </c>
      <c r="GA35" t="e">
        <f>AND('5to. Bach_A'!A4,"AAAAADX/mbY=")</f>
        <v>#VALUE!</v>
      </c>
      <c r="GB35" t="e">
        <f>AND('5to. Bach_A'!B4,"AAAAADX/mbc=")</f>
        <v>#VALUE!</v>
      </c>
      <c r="GC35" t="e">
        <f>AND('5to. Bach_A'!C4,"AAAAADX/mbg=")</f>
        <v>#VALUE!</v>
      </c>
      <c r="GD35" t="e">
        <f>AND('5to. Bach_A'!D4,"AAAAADX/mbk=")</f>
        <v>#VALUE!</v>
      </c>
      <c r="GE35" t="e">
        <f>AND('5to. Bach_A'!E4,"AAAAADX/mbo=")</f>
        <v>#VALUE!</v>
      </c>
      <c r="GF35" t="e">
        <f>AND('5to. Bach_A'!F4,"AAAAADX/mbs=")</f>
        <v>#VALUE!</v>
      </c>
      <c r="GG35" t="e">
        <f>AND('5to. Bach_A'!G4,"AAAAADX/mbw=")</f>
        <v>#VALUE!</v>
      </c>
      <c r="GH35" t="e">
        <f>AND('5to. Bach_A'!H4,"AAAAADX/mb0=")</f>
        <v>#VALUE!</v>
      </c>
      <c r="GI35" t="e">
        <f>AND('5to. Bach_A'!I4,"AAAAADX/mb4=")</f>
        <v>#VALUE!</v>
      </c>
      <c r="GJ35" t="e">
        <f>AND('5to. Bach_A'!J4,"AAAAADX/mb8=")</f>
        <v>#VALUE!</v>
      </c>
      <c r="GK35" t="e">
        <f>AND('5to. Bach_A'!K4,"AAAAADX/mcA=")</f>
        <v>#VALUE!</v>
      </c>
      <c r="GL35" t="e">
        <f>AND('5to. Bach_A'!L4,"AAAAADX/mcE=")</f>
        <v>#VALUE!</v>
      </c>
      <c r="GM35" t="e">
        <f>AND('5to. Bach_A'!M4,"AAAAADX/mcI=")</f>
        <v>#VALUE!</v>
      </c>
      <c r="GN35" t="e">
        <f>AND('5to. Bach_A'!N4,"AAAAADX/mcM=")</f>
        <v>#VALUE!</v>
      </c>
      <c r="GO35" t="e">
        <f>AND('5to. Bach_A'!O4,"AAAAADX/mcQ=")</f>
        <v>#VALUE!</v>
      </c>
      <c r="GP35" t="e">
        <f>AND('5to. Bach_A'!P4,"AAAAADX/mcU=")</f>
        <v>#VALUE!</v>
      </c>
      <c r="GQ35" t="e">
        <f>AND('5to. Bach_A'!Q4,"AAAAADX/mcY=")</f>
        <v>#VALUE!</v>
      </c>
      <c r="GR35" t="e">
        <f>AND('5to. Bach_A'!R4,"AAAAADX/mcc=")</f>
        <v>#VALUE!</v>
      </c>
      <c r="GS35" t="e">
        <f>AND('5to. Bach_A'!S4,"AAAAADX/mcg=")</f>
        <v>#VALUE!</v>
      </c>
      <c r="GT35" t="e">
        <f>AND('5to. Bach_A'!T4,"AAAAADX/mck=")</f>
        <v>#VALUE!</v>
      </c>
      <c r="GU35" t="e">
        <f>AND('5to. Bach_A'!#REF!,"AAAAADX/mco=")</f>
        <v>#REF!</v>
      </c>
      <c r="GV35" t="e">
        <f>AND('5to. Bach_A'!#REF!,"AAAAADX/mcs=")</f>
        <v>#REF!</v>
      </c>
      <c r="GW35" t="e">
        <f>AND('5to. Bach_A'!#REF!,"AAAAADX/mcw=")</f>
        <v>#REF!</v>
      </c>
      <c r="GX35" t="e">
        <f>AND('5to. Bach_A'!#REF!,"AAAAADX/mc0=")</f>
        <v>#REF!</v>
      </c>
      <c r="GY35" t="e">
        <f>AND('5to. Bach_A'!#REF!,"AAAAADX/mc4=")</f>
        <v>#REF!</v>
      </c>
      <c r="GZ35">
        <f>IF('5to. Bach_A'!5:5,"AAAAADX/mc8=",0)</f>
        <v>0</v>
      </c>
      <c r="HA35" t="e">
        <f>AND('5to. Bach_A'!A5,"AAAAADX/mdA=")</f>
        <v>#VALUE!</v>
      </c>
      <c r="HB35" t="e">
        <f>AND('5to. Bach_A'!B5,"AAAAADX/mdE=")</f>
        <v>#VALUE!</v>
      </c>
      <c r="HC35" t="e">
        <f>AND('5to. Bach_A'!C5,"AAAAADX/mdI=")</f>
        <v>#VALUE!</v>
      </c>
      <c r="HD35" t="e">
        <f>AND('5to. Bach_A'!D5,"AAAAADX/mdM=")</f>
        <v>#VALUE!</v>
      </c>
      <c r="HE35" t="e">
        <f>AND('5to. Bach_A'!E5,"AAAAADX/mdQ=")</f>
        <v>#VALUE!</v>
      </c>
      <c r="HF35" t="e">
        <f>AND('5to. Bach_A'!F5,"AAAAADX/mdU=")</f>
        <v>#VALUE!</v>
      </c>
      <c r="HG35" t="e">
        <f>AND('5to. Bach_A'!G5,"AAAAADX/mdY=")</f>
        <v>#VALUE!</v>
      </c>
      <c r="HH35" t="e">
        <f>AND('5to. Bach_A'!H5,"AAAAADX/mdc=")</f>
        <v>#VALUE!</v>
      </c>
      <c r="HI35" t="e">
        <f>AND('5to. Bach_A'!I5,"AAAAADX/mdg=")</f>
        <v>#VALUE!</v>
      </c>
      <c r="HJ35" t="e">
        <f>AND('5to. Bach_A'!J5,"AAAAADX/mdk=")</f>
        <v>#VALUE!</v>
      </c>
      <c r="HK35" t="e">
        <f>AND('5to. Bach_A'!K5,"AAAAADX/mdo=")</f>
        <v>#VALUE!</v>
      </c>
      <c r="HL35" t="e">
        <f>AND('5to. Bach_A'!L5,"AAAAADX/mds=")</f>
        <v>#VALUE!</v>
      </c>
      <c r="HM35" t="e">
        <f>AND('5to. Bach_A'!M5,"AAAAADX/mdw=")</f>
        <v>#VALUE!</v>
      </c>
      <c r="HN35" t="e">
        <f>AND('5to. Bach_A'!N5,"AAAAADX/md0=")</f>
        <v>#VALUE!</v>
      </c>
      <c r="HO35" t="e">
        <f>AND('5to. Bach_A'!O5,"AAAAADX/md4=")</f>
        <v>#VALUE!</v>
      </c>
      <c r="HP35" t="e">
        <f>AND('5to. Bach_A'!P5,"AAAAADX/md8=")</f>
        <v>#VALUE!</v>
      </c>
      <c r="HQ35" t="e">
        <f>AND('5to. Bach_A'!Q5,"AAAAADX/meA=")</f>
        <v>#VALUE!</v>
      </c>
      <c r="HR35" t="e">
        <f>AND('5to. Bach_A'!R5,"AAAAADX/meE=")</f>
        <v>#VALUE!</v>
      </c>
      <c r="HS35" t="e">
        <f>AND('5to. Bach_A'!S5,"AAAAADX/meI=")</f>
        <v>#VALUE!</v>
      </c>
      <c r="HT35" t="e">
        <f>AND('5to. Bach_A'!T5,"AAAAADX/meM=")</f>
        <v>#VALUE!</v>
      </c>
      <c r="HU35" t="e">
        <f>AND('5to. Bach_A'!#REF!,"AAAAADX/meQ=")</f>
        <v>#REF!</v>
      </c>
      <c r="HV35" t="e">
        <f>AND('5to. Bach_A'!#REF!,"AAAAADX/meU=")</f>
        <v>#REF!</v>
      </c>
      <c r="HW35" t="e">
        <f>AND('5to. Bach_A'!#REF!,"AAAAADX/meY=")</f>
        <v>#REF!</v>
      </c>
      <c r="HX35" t="e">
        <f>AND('5to. Bach_A'!#REF!,"AAAAADX/mec=")</f>
        <v>#REF!</v>
      </c>
      <c r="HY35" t="e">
        <f>AND('5to. Bach_A'!#REF!,"AAAAADX/meg=")</f>
        <v>#REF!</v>
      </c>
      <c r="HZ35">
        <f>IF('5to. Bach_A'!6:6,"AAAAADX/mek=",0)</f>
        <v>0</v>
      </c>
      <c r="IA35" t="e">
        <f>AND('5to. Bach_A'!A6,"AAAAADX/meo=")</f>
        <v>#VALUE!</v>
      </c>
      <c r="IB35" t="e">
        <f>AND('5to. Bach_A'!B6,"AAAAADX/mes=")</f>
        <v>#VALUE!</v>
      </c>
      <c r="IC35" t="e">
        <f>AND('5to. Bach_A'!C6,"AAAAADX/mew=")</f>
        <v>#VALUE!</v>
      </c>
      <c r="ID35" t="e">
        <f>AND('5to. Bach_A'!D6,"AAAAADX/me0=")</f>
        <v>#VALUE!</v>
      </c>
      <c r="IE35" t="e">
        <f>AND('5to. Bach_A'!E6,"AAAAADX/me4=")</f>
        <v>#VALUE!</v>
      </c>
      <c r="IF35" t="e">
        <f>AND('5to. Bach_A'!F6,"AAAAADX/me8=")</f>
        <v>#VALUE!</v>
      </c>
      <c r="IG35" t="e">
        <f>AND('5to. Bach_A'!G6,"AAAAADX/mfA=")</f>
        <v>#VALUE!</v>
      </c>
      <c r="IH35" t="e">
        <f>AND('5to. Bach_A'!H6,"AAAAADX/mfE=")</f>
        <v>#VALUE!</v>
      </c>
      <c r="II35" t="e">
        <f>AND('5to. Bach_A'!I6,"AAAAADX/mfI=")</f>
        <v>#VALUE!</v>
      </c>
      <c r="IJ35" t="e">
        <f>AND('5to. Bach_A'!J6,"AAAAADX/mfM=")</f>
        <v>#VALUE!</v>
      </c>
      <c r="IK35" t="e">
        <f>AND('5to. Bach_A'!K6,"AAAAADX/mfQ=")</f>
        <v>#VALUE!</v>
      </c>
      <c r="IL35" t="e">
        <f>AND('5to. Bach_A'!L6,"AAAAADX/mfU=")</f>
        <v>#VALUE!</v>
      </c>
      <c r="IM35" t="e">
        <f>AND('5to. Bach_A'!M6,"AAAAADX/mfY=")</f>
        <v>#VALUE!</v>
      </c>
      <c r="IN35" t="e">
        <f>AND('5to. Bach_A'!N6,"AAAAADX/mfc=")</f>
        <v>#VALUE!</v>
      </c>
      <c r="IO35" t="e">
        <f>AND('5to. Bach_A'!O6,"AAAAADX/mfg=")</f>
        <v>#VALUE!</v>
      </c>
      <c r="IP35" t="e">
        <f>AND('5to. Bach_A'!P6,"AAAAADX/mfk=")</f>
        <v>#VALUE!</v>
      </c>
      <c r="IQ35" t="e">
        <f>AND('5to. Bach_A'!Q6,"AAAAADX/mfo=")</f>
        <v>#VALUE!</v>
      </c>
      <c r="IR35" t="e">
        <f>AND('5to. Bach_A'!R6,"AAAAADX/mfs=")</f>
        <v>#VALUE!</v>
      </c>
      <c r="IS35" t="e">
        <f>AND('5to. Bach_A'!S6,"AAAAADX/mfw=")</f>
        <v>#VALUE!</v>
      </c>
      <c r="IT35" t="e">
        <f>AND('5to. Bach_A'!T6,"AAAAADX/mf0=")</f>
        <v>#VALUE!</v>
      </c>
      <c r="IU35" t="e">
        <f>AND('5to. Bach_A'!#REF!,"AAAAADX/mf4=")</f>
        <v>#REF!</v>
      </c>
      <c r="IV35" t="e">
        <f>AND('5to. Bach_A'!#REF!,"AAAAADX/mf8=")</f>
        <v>#REF!</v>
      </c>
    </row>
    <row r="36" spans="1:256">
      <c r="A36" t="e">
        <f>AND('5to. Bach_A'!#REF!,"AAAAABrP3AA=")</f>
        <v>#REF!</v>
      </c>
      <c r="B36" t="e">
        <f>AND('5to. Bach_A'!#REF!,"AAAAABrP3AE=")</f>
        <v>#REF!</v>
      </c>
      <c r="C36" t="e">
        <f>AND('5to. Bach_A'!#REF!,"AAAAABrP3AI=")</f>
        <v>#REF!</v>
      </c>
      <c r="D36">
        <f>IF('5to. Bach_A'!7:7,"AAAAABrP3AM=",0)</f>
        <v>0</v>
      </c>
      <c r="E36" t="e">
        <f>AND('5to. Bach_A'!A7,"AAAAABrP3AQ=")</f>
        <v>#VALUE!</v>
      </c>
      <c r="F36" t="e">
        <f>AND('5to. Bach_A'!B7,"AAAAABrP3AU=")</f>
        <v>#VALUE!</v>
      </c>
      <c r="G36" t="e">
        <f>AND('5to. Bach_A'!C7,"AAAAABrP3AY=")</f>
        <v>#VALUE!</v>
      </c>
      <c r="H36" t="e">
        <f>AND('5to. Bach_A'!D7,"AAAAABrP3Ac=")</f>
        <v>#VALUE!</v>
      </c>
      <c r="I36" t="e">
        <f>AND('5to. Bach_A'!E7,"AAAAABrP3Ag=")</f>
        <v>#VALUE!</v>
      </c>
      <c r="J36" t="e">
        <f>AND('5to. Bach_A'!F7,"AAAAABrP3Ak=")</f>
        <v>#VALUE!</v>
      </c>
      <c r="K36" t="e">
        <f>AND('5to. Bach_A'!G7,"AAAAABrP3Ao=")</f>
        <v>#VALUE!</v>
      </c>
      <c r="L36" t="e">
        <f>AND('5to. Bach_A'!H7,"AAAAABrP3As=")</f>
        <v>#VALUE!</v>
      </c>
      <c r="M36" t="e">
        <f>AND('5to. Bach_A'!I7,"AAAAABrP3Aw=")</f>
        <v>#VALUE!</v>
      </c>
      <c r="N36" t="e">
        <f>AND('5to. Bach_A'!J7,"AAAAABrP3A0=")</f>
        <v>#VALUE!</v>
      </c>
      <c r="O36" t="e">
        <f>AND('5to. Bach_A'!K7,"AAAAABrP3A4=")</f>
        <v>#VALUE!</v>
      </c>
      <c r="P36" t="e">
        <f>AND('5to. Bach_A'!L7,"AAAAABrP3A8=")</f>
        <v>#VALUE!</v>
      </c>
      <c r="Q36" t="e">
        <f>AND('5to. Bach_A'!M7,"AAAAABrP3BA=")</f>
        <v>#VALUE!</v>
      </c>
      <c r="R36" t="e">
        <f>AND('5to. Bach_A'!N7,"AAAAABrP3BE=")</f>
        <v>#VALUE!</v>
      </c>
      <c r="S36" t="e">
        <f>AND('5to. Bach_A'!O7,"AAAAABrP3BI=")</f>
        <v>#VALUE!</v>
      </c>
      <c r="T36" t="e">
        <f>AND('5to. Bach_A'!P7,"AAAAABrP3BM=")</f>
        <v>#VALUE!</v>
      </c>
      <c r="U36" t="e">
        <f>AND('5to. Bach_A'!Q7,"AAAAABrP3BQ=")</f>
        <v>#VALUE!</v>
      </c>
      <c r="V36" t="e">
        <f>AND('5to. Bach_A'!R7,"AAAAABrP3BU=")</f>
        <v>#VALUE!</v>
      </c>
      <c r="W36" t="e">
        <f>AND('5to. Bach_A'!S7,"AAAAABrP3BY=")</f>
        <v>#VALUE!</v>
      </c>
      <c r="X36" t="e">
        <f>AND('5to. Bach_A'!T7,"AAAAABrP3Bc=")</f>
        <v>#VALUE!</v>
      </c>
      <c r="Y36" t="e">
        <f>AND('5to. Bach_A'!#REF!,"AAAAABrP3Bg=")</f>
        <v>#REF!</v>
      </c>
      <c r="Z36" t="e">
        <f>AND('5to. Bach_A'!#REF!,"AAAAABrP3Bk=")</f>
        <v>#REF!</v>
      </c>
      <c r="AA36" t="e">
        <f>AND('5to. Bach_A'!#REF!,"AAAAABrP3Bo=")</f>
        <v>#REF!</v>
      </c>
      <c r="AB36" t="e">
        <f>AND('5to. Bach_A'!#REF!,"AAAAABrP3Bs=")</f>
        <v>#REF!</v>
      </c>
      <c r="AC36" t="e">
        <f>AND('5to. Bach_A'!#REF!,"AAAAABrP3Bw=")</f>
        <v>#REF!</v>
      </c>
      <c r="AD36">
        <f>IF('5to. Bach_A'!8:8,"AAAAABrP3B0=",0)</f>
        <v>0</v>
      </c>
      <c r="AE36" t="e">
        <f>AND('5to. Bach_A'!A8,"AAAAABrP3B4=")</f>
        <v>#VALUE!</v>
      </c>
      <c r="AF36" t="e">
        <f>AND('5to. Bach_A'!B8,"AAAAABrP3B8=")</f>
        <v>#VALUE!</v>
      </c>
      <c r="AG36" t="e">
        <f>AND('5to. Bach_A'!C8,"AAAAABrP3CA=")</f>
        <v>#VALUE!</v>
      </c>
      <c r="AH36" t="e">
        <f>AND('5to. Bach_A'!D8,"AAAAABrP3CE=")</f>
        <v>#VALUE!</v>
      </c>
      <c r="AI36" t="e">
        <f>AND('5to. Bach_A'!E8,"AAAAABrP3CI=")</f>
        <v>#VALUE!</v>
      </c>
      <c r="AJ36" t="e">
        <f>AND('5to. Bach_A'!F8,"AAAAABrP3CM=")</f>
        <v>#VALUE!</v>
      </c>
      <c r="AK36" t="e">
        <f>AND('5to. Bach_A'!G8,"AAAAABrP3CQ=")</f>
        <v>#VALUE!</v>
      </c>
      <c r="AL36" t="e">
        <f>AND('5to. Bach_A'!H8,"AAAAABrP3CU=")</f>
        <v>#VALUE!</v>
      </c>
      <c r="AM36" t="e">
        <f>AND('5to. Bach_A'!I8,"AAAAABrP3CY=")</f>
        <v>#VALUE!</v>
      </c>
      <c r="AN36" t="e">
        <f>AND('5to. Bach_A'!J8,"AAAAABrP3Cc=")</f>
        <v>#VALUE!</v>
      </c>
      <c r="AO36" t="e">
        <f>AND('5to. Bach_A'!K8,"AAAAABrP3Cg=")</f>
        <v>#VALUE!</v>
      </c>
      <c r="AP36" t="e">
        <f>AND('5to. Bach_A'!L8,"AAAAABrP3Ck=")</f>
        <v>#VALUE!</v>
      </c>
      <c r="AQ36" t="e">
        <f>AND('5to. Bach_A'!M8,"AAAAABrP3Co=")</f>
        <v>#VALUE!</v>
      </c>
      <c r="AR36" t="e">
        <f>AND('5to. Bach_A'!N8,"AAAAABrP3Cs=")</f>
        <v>#VALUE!</v>
      </c>
      <c r="AS36" t="e">
        <f>AND('5to. Bach_A'!O8,"AAAAABrP3Cw=")</f>
        <v>#VALUE!</v>
      </c>
      <c r="AT36" t="e">
        <f>AND('5to. Bach_A'!P8,"AAAAABrP3C0=")</f>
        <v>#VALUE!</v>
      </c>
      <c r="AU36" t="e">
        <f>AND('5to. Bach_A'!Q8,"AAAAABrP3C4=")</f>
        <v>#VALUE!</v>
      </c>
      <c r="AV36" t="e">
        <f>AND('5to. Bach_A'!R8,"AAAAABrP3C8=")</f>
        <v>#VALUE!</v>
      </c>
      <c r="AW36" t="e">
        <f>AND('5to. Bach_A'!S8,"AAAAABrP3DA=")</f>
        <v>#VALUE!</v>
      </c>
      <c r="AX36" t="e">
        <f>AND('5to. Bach_A'!T8,"AAAAABrP3DE=")</f>
        <v>#VALUE!</v>
      </c>
      <c r="AY36" t="e">
        <f>AND('5to. Bach_A'!#REF!,"AAAAABrP3DI=")</f>
        <v>#REF!</v>
      </c>
      <c r="AZ36" t="e">
        <f>AND('5to. Bach_A'!#REF!,"AAAAABrP3DM=")</f>
        <v>#REF!</v>
      </c>
      <c r="BA36" t="e">
        <f>AND('5to. Bach_A'!#REF!,"AAAAABrP3DQ=")</f>
        <v>#REF!</v>
      </c>
      <c r="BB36" t="e">
        <f>AND('5to. Bach_A'!#REF!,"AAAAABrP3DU=")</f>
        <v>#REF!</v>
      </c>
      <c r="BC36" t="e">
        <f>AND('5to. Bach_A'!#REF!,"AAAAABrP3DY=")</f>
        <v>#REF!</v>
      </c>
      <c r="BD36">
        <f>IF('5to. Bach_A'!9:9,"AAAAABrP3Dc=",0)</f>
        <v>0</v>
      </c>
      <c r="BE36" t="e">
        <f>AND('5to. Bach_A'!A9,"AAAAABrP3Dg=")</f>
        <v>#VALUE!</v>
      </c>
      <c r="BF36" t="e">
        <f>AND('5to. Bach_A'!B9,"AAAAABrP3Dk=")</f>
        <v>#VALUE!</v>
      </c>
      <c r="BG36" t="e">
        <f>AND('5to. Bach_A'!C9,"AAAAABrP3Do=")</f>
        <v>#VALUE!</v>
      </c>
      <c r="BH36" t="e">
        <f>AND('5to. Bach_A'!D9,"AAAAABrP3Ds=")</f>
        <v>#VALUE!</v>
      </c>
      <c r="BI36" t="e">
        <f>AND('5to. Bach_A'!E9,"AAAAABrP3Dw=")</f>
        <v>#VALUE!</v>
      </c>
      <c r="BJ36" t="e">
        <f>AND('5to. Bach_A'!F9,"AAAAABrP3D0=")</f>
        <v>#VALUE!</v>
      </c>
      <c r="BK36" t="e">
        <f>AND('5to. Bach_A'!G9,"AAAAABrP3D4=")</f>
        <v>#VALUE!</v>
      </c>
      <c r="BL36" t="e">
        <f>AND('5to. Bach_A'!H9,"AAAAABrP3D8=")</f>
        <v>#VALUE!</v>
      </c>
      <c r="BM36" t="e">
        <f>AND('5to. Bach_A'!I9,"AAAAABrP3EA=")</f>
        <v>#VALUE!</v>
      </c>
      <c r="BN36" t="e">
        <f>AND('5to. Bach_A'!J9,"AAAAABrP3EE=")</f>
        <v>#VALUE!</v>
      </c>
      <c r="BO36" t="e">
        <f>AND('5to. Bach_A'!K9,"AAAAABrP3EI=")</f>
        <v>#VALUE!</v>
      </c>
      <c r="BP36" t="e">
        <f>AND('5to. Bach_A'!L9,"AAAAABrP3EM=")</f>
        <v>#VALUE!</v>
      </c>
      <c r="BQ36" t="e">
        <f>AND('5to. Bach_A'!M9,"AAAAABrP3EQ=")</f>
        <v>#VALUE!</v>
      </c>
      <c r="BR36" t="e">
        <f>AND('5to. Bach_A'!N9,"AAAAABrP3EU=")</f>
        <v>#VALUE!</v>
      </c>
      <c r="BS36" t="e">
        <f>AND('5to. Bach_A'!O9,"AAAAABrP3EY=")</f>
        <v>#VALUE!</v>
      </c>
      <c r="BT36" t="e">
        <f>AND('5to. Bach_A'!P9,"AAAAABrP3Ec=")</f>
        <v>#VALUE!</v>
      </c>
      <c r="BU36" t="e">
        <f>AND('5to. Bach_A'!Q9,"AAAAABrP3Eg=")</f>
        <v>#VALUE!</v>
      </c>
      <c r="BV36" t="e">
        <f>AND('5to. Bach_A'!R9,"AAAAABrP3Ek=")</f>
        <v>#VALUE!</v>
      </c>
      <c r="BW36" t="e">
        <f>AND('5to. Bach_A'!S9,"AAAAABrP3Eo=")</f>
        <v>#VALUE!</v>
      </c>
      <c r="BX36" t="e">
        <f>AND('5to. Bach_A'!T9,"AAAAABrP3Es=")</f>
        <v>#VALUE!</v>
      </c>
      <c r="BY36" t="e">
        <f>AND('5to. Bach_A'!#REF!,"AAAAABrP3Ew=")</f>
        <v>#REF!</v>
      </c>
      <c r="BZ36" t="e">
        <f>AND('5to. Bach_A'!#REF!,"AAAAABrP3E0=")</f>
        <v>#REF!</v>
      </c>
      <c r="CA36" t="e">
        <f>AND('5to. Bach_A'!#REF!,"AAAAABrP3E4=")</f>
        <v>#REF!</v>
      </c>
      <c r="CB36" t="e">
        <f>AND('5to. Bach_A'!#REF!,"AAAAABrP3E8=")</f>
        <v>#REF!</v>
      </c>
      <c r="CC36" t="e">
        <f>AND('5to. Bach_A'!#REF!,"AAAAABrP3FA=")</f>
        <v>#REF!</v>
      </c>
      <c r="CD36">
        <f>IF('5to. Bach_A'!10:10,"AAAAABrP3FE=",0)</f>
        <v>0</v>
      </c>
      <c r="CE36" t="e">
        <f>AND('5to. Bach_A'!A10,"AAAAABrP3FI=")</f>
        <v>#VALUE!</v>
      </c>
      <c r="CF36" t="e">
        <f>AND('5to. Bach_A'!B10,"AAAAABrP3FM=")</f>
        <v>#VALUE!</v>
      </c>
      <c r="CG36" t="e">
        <f>AND('5to. Bach_A'!C10,"AAAAABrP3FQ=")</f>
        <v>#VALUE!</v>
      </c>
      <c r="CH36" t="e">
        <f>AND('5to. Bach_A'!D10,"AAAAABrP3FU=")</f>
        <v>#VALUE!</v>
      </c>
      <c r="CI36" t="e">
        <f>AND('5to. Bach_A'!E10,"AAAAABrP3FY=")</f>
        <v>#VALUE!</v>
      </c>
      <c r="CJ36" t="e">
        <f>AND('5to. Bach_A'!F10,"AAAAABrP3Fc=")</f>
        <v>#VALUE!</v>
      </c>
      <c r="CK36" t="e">
        <f>AND('5to. Bach_A'!G10,"AAAAABrP3Fg=")</f>
        <v>#VALUE!</v>
      </c>
      <c r="CL36" t="e">
        <f>AND('5to. Bach_A'!H10,"AAAAABrP3Fk=")</f>
        <v>#VALUE!</v>
      </c>
      <c r="CM36" t="e">
        <f>AND('5to. Bach_A'!I10,"AAAAABrP3Fo=")</f>
        <v>#VALUE!</v>
      </c>
      <c r="CN36" t="e">
        <f>AND('5to. Bach_A'!J10,"AAAAABrP3Fs=")</f>
        <v>#VALUE!</v>
      </c>
      <c r="CO36" t="e">
        <f>AND('5to. Bach_A'!K10,"AAAAABrP3Fw=")</f>
        <v>#VALUE!</v>
      </c>
      <c r="CP36" t="e">
        <f>AND('5to. Bach_A'!L10,"AAAAABrP3F0=")</f>
        <v>#VALUE!</v>
      </c>
      <c r="CQ36" t="e">
        <f>AND('5to. Bach_A'!M10,"AAAAABrP3F4=")</f>
        <v>#VALUE!</v>
      </c>
      <c r="CR36" t="e">
        <f>AND('5to. Bach_A'!N10,"AAAAABrP3F8=")</f>
        <v>#VALUE!</v>
      </c>
      <c r="CS36" t="e">
        <f>AND('5to. Bach_A'!O10,"AAAAABrP3GA=")</f>
        <v>#VALUE!</v>
      </c>
      <c r="CT36" t="e">
        <f>AND('5to. Bach_A'!P10,"AAAAABrP3GE=")</f>
        <v>#VALUE!</v>
      </c>
      <c r="CU36" t="e">
        <f>AND('5to. Bach_A'!Q10,"AAAAABrP3GI=")</f>
        <v>#VALUE!</v>
      </c>
      <c r="CV36" t="e">
        <f>AND('5to. Bach_A'!R10,"AAAAABrP3GM=")</f>
        <v>#VALUE!</v>
      </c>
      <c r="CW36" t="e">
        <f>AND('5to. Bach_A'!S10,"AAAAABrP3GQ=")</f>
        <v>#VALUE!</v>
      </c>
      <c r="CX36" t="e">
        <f>AND('5to. Bach_A'!T10,"AAAAABrP3GU=")</f>
        <v>#VALUE!</v>
      </c>
      <c r="CY36" t="e">
        <f>AND('5to. Bach_A'!#REF!,"AAAAABrP3GY=")</f>
        <v>#REF!</v>
      </c>
      <c r="CZ36" t="e">
        <f>AND('5to. Bach_A'!#REF!,"AAAAABrP3Gc=")</f>
        <v>#REF!</v>
      </c>
      <c r="DA36" t="e">
        <f>AND('5to. Bach_A'!#REF!,"AAAAABrP3Gg=")</f>
        <v>#REF!</v>
      </c>
      <c r="DB36" t="e">
        <f>AND('5to. Bach_A'!#REF!,"AAAAABrP3Gk=")</f>
        <v>#REF!</v>
      </c>
      <c r="DC36" t="e">
        <f>AND('5to. Bach_A'!#REF!,"AAAAABrP3Go=")</f>
        <v>#REF!</v>
      </c>
      <c r="DD36">
        <f>IF('5to. Bach_A'!11:11,"AAAAABrP3Gs=",0)</f>
        <v>0</v>
      </c>
      <c r="DE36" t="e">
        <f>AND('5to. Bach_A'!A11,"AAAAABrP3Gw=")</f>
        <v>#VALUE!</v>
      </c>
      <c r="DF36" t="e">
        <f>AND('5to. Bach_A'!B11,"AAAAABrP3G0=")</f>
        <v>#VALUE!</v>
      </c>
      <c r="DG36" t="e">
        <f>AND('5to. Bach_A'!C11,"AAAAABrP3G4=")</f>
        <v>#VALUE!</v>
      </c>
      <c r="DH36" t="e">
        <f>AND('5to. Bach_A'!D11,"AAAAABrP3G8=")</f>
        <v>#VALUE!</v>
      </c>
      <c r="DI36" t="e">
        <f>AND('5to. Bach_A'!E11,"AAAAABrP3HA=")</f>
        <v>#VALUE!</v>
      </c>
      <c r="DJ36" t="e">
        <f>AND('5to. Bach_A'!F11,"AAAAABrP3HE=")</f>
        <v>#VALUE!</v>
      </c>
      <c r="DK36" t="e">
        <f>AND('5to. Bach_A'!G11,"AAAAABrP3HI=")</f>
        <v>#VALUE!</v>
      </c>
      <c r="DL36" t="e">
        <f>AND('5to. Bach_A'!H11,"AAAAABrP3HM=")</f>
        <v>#VALUE!</v>
      </c>
      <c r="DM36" t="e">
        <f>AND('5to. Bach_A'!I11,"AAAAABrP3HQ=")</f>
        <v>#VALUE!</v>
      </c>
      <c r="DN36" t="e">
        <f>AND('5to. Bach_A'!J11,"AAAAABrP3HU=")</f>
        <v>#VALUE!</v>
      </c>
      <c r="DO36" t="e">
        <f>AND('5to. Bach_A'!K11,"AAAAABrP3HY=")</f>
        <v>#VALUE!</v>
      </c>
      <c r="DP36" t="e">
        <f>AND('5to. Bach_A'!L11,"AAAAABrP3Hc=")</f>
        <v>#VALUE!</v>
      </c>
      <c r="DQ36" t="e">
        <f>AND('5to. Bach_A'!M11,"AAAAABrP3Hg=")</f>
        <v>#VALUE!</v>
      </c>
      <c r="DR36" t="e">
        <f>AND('5to. Bach_A'!N11,"AAAAABrP3Hk=")</f>
        <v>#VALUE!</v>
      </c>
      <c r="DS36" t="e">
        <f>AND('5to. Bach_A'!O11,"AAAAABrP3Ho=")</f>
        <v>#VALUE!</v>
      </c>
      <c r="DT36" t="e">
        <f>AND('5to. Bach_A'!P11,"AAAAABrP3Hs=")</f>
        <v>#VALUE!</v>
      </c>
      <c r="DU36" t="e">
        <f>AND('5to. Bach_A'!Q11,"AAAAABrP3Hw=")</f>
        <v>#VALUE!</v>
      </c>
      <c r="DV36" t="e">
        <f>AND('5to. Bach_A'!R11,"AAAAABrP3H0=")</f>
        <v>#VALUE!</v>
      </c>
      <c r="DW36" t="e">
        <f>AND('5to. Bach_A'!S11,"AAAAABrP3H4=")</f>
        <v>#VALUE!</v>
      </c>
      <c r="DX36" t="e">
        <f>AND('5to. Bach_A'!T11,"AAAAABrP3H8=")</f>
        <v>#VALUE!</v>
      </c>
      <c r="DY36" t="e">
        <f>AND('5to. Bach_A'!#REF!,"AAAAABrP3IA=")</f>
        <v>#REF!</v>
      </c>
      <c r="DZ36" t="e">
        <f>AND('5to. Bach_A'!#REF!,"AAAAABrP3IE=")</f>
        <v>#REF!</v>
      </c>
      <c r="EA36" t="e">
        <f>AND('5to. Bach_A'!#REF!,"AAAAABrP3II=")</f>
        <v>#REF!</v>
      </c>
      <c r="EB36" t="e">
        <f>AND('5to. Bach_A'!#REF!,"AAAAABrP3IM=")</f>
        <v>#REF!</v>
      </c>
      <c r="EC36" t="e">
        <f>AND('5to. Bach_A'!#REF!,"AAAAABrP3IQ=")</f>
        <v>#REF!</v>
      </c>
      <c r="ED36">
        <f>IF('5to. Bach_A'!12:12,"AAAAABrP3IU=",0)</f>
        <v>0</v>
      </c>
      <c r="EE36" t="e">
        <f>AND('5to. Bach_A'!A12,"AAAAABrP3IY=")</f>
        <v>#VALUE!</v>
      </c>
      <c r="EF36" t="e">
        <f>AND('5to. Bach_A'!B12,"AAAAABrP3Ic=")</f>
        <v>#VALUE!</v>
      </c>
      <c r="EG36" t="e">
        <f>AND('5to. Bach_A'!C12,"AAAAABrP3Ig=")</f>
        <v>#VALUE!</v>
      </c>
      <c r="EH36" t="e">
        <f>AND('5to. Bach_A'!D12,"AAAAABrP3Ik=")</f>
        <v>#VALUE!</v>
      </c>
      <c r="EI36" t="e">
        <f>AND('5to. Bach_A'!E12,"AAAAABrP3Io=")</f>
        <v>#VALUE!</v>
      </c>
      <c r="EJ36" t="e">
        <f>AND('5to. Bach_A'!F12,"AAAAABrP3Is=")</f>
        <v>#VALUE!</v>
      </c>
      <c r="EK36" t="e">
        <f>AND('5to. Bach_A'!G12,"AAAAABrP3Iw=")</f>
        <v>#VALUE!</v>
      </c>
      <c r="EL36" t="e">
        <f>AND('5to. Bach_A'!H12,"AAAAABrP3I0=")</f>
        <v>#VALUE!</v>
      </c>
      <c r="EM36" t="e">
        <f>AND('5to. Bach_A'!I12,"AAAAABrP3I4=")</f>
        <v>#VALUE!</v>
      </c>
      <c r="EN36" t="e">
        <f>AND('5to. Bach_A'!J12,"AAAAABrP3I8=")</f>
        <v>#VALUE!</v>
      </c>
      <c r="EO36" t="e">
        <f>AND('5to. Bach_A'!K12,"AAAAABrP3JA=")</f>
        <v>#VALUE!</v>
      </c>
      <c r="EP36" t="e">
        <f>AND('5to. Bach_A'!L12,"AAAAABrP3JE=")</f>
        <v>#VALUE!</v>
      </c>
      <c r="EQ36" t="e">
        <f>AND('5to. Bach_A'!M12,"AAAAABrP3JI=")</f>
        <v>#VALUE!</v>
      </c>
      <c r="ER36" t="e">
        <f>AND('5to. Bach_A'!N12,"AAAAABrP3JM=")</f>
        <v>#VALUE!</v>
      </c>
      <c r="ES36" t="e">
        <f>AND('5to. Bach_A'!O12,"AAAAABrP3JQ=")</f>
        <v>#VALUE!</v>
      </c>
      <c r="ET36" t="e">
        <f>AND('5to. Bach_A'!P12,"AAAAABrP3JU=")</f>
        <v>#VALUE!</v>
      </c>
      <c r="EU36" t="e">
        <f>AND('5to. Bach_A'!Q12,"AAAAABrP3JY=")</f>
        <v>#VALUE!</v>
      </c>
      <c r="EV36" t="e">
        <f>AND('5to. Bach_A'!R12,"AAAAABrP3Jc=")</f>
        <v>#VALUE!</v>
      </c>
      <c r="EW36" t="e">
        <f>AND('5to. Bach_A'!S12,"AAAAABrP3Jg=")</f>
        <v>#VALUE!</v>
      </c>
      <c r="EX36" t="e">
        <f>AND('5to. Bach_A'!T12,"AAAAABrP3Jk=")</f>
        <v>#VALUE!</v>
      </c>
      <c r="EY36" t="e">
        <f>AND('5to. Bach_A'!#REF!,"AAAAABrP3Jo=")</f>
        <v>#REF!</v>
      </c>
      <c r="EZ36" t="e">
        <f>AND('5to. Bach_A'!#REF!,"AAAAABrP3Js=")</f>
        <v>#REF!</v>
      </c>
      <c r="FA36" t="e">
        <f>AND('5to. Bach_A'!#REF!,"AAAAABrP3Jw=")</f>
        <v>#REF!</v>
      </c>
      <c r="FB36" t="e">
        <f>AND('5to. Bach_A'!#REF!,"AAAAABrP3J0=")</f>
        <v>#REF!</v>
      </c>
      <c r="FC36" t="e">
        <f>AND('5to. Bach_A'!#REF!,"AAAAABrP3J4=")</f>
        <v>#REF!</v>
      </c>
      <c r="FD36">
        <f>IF('5to. Bach_A'!13:13,"AAAAABrP3J8=",0)</f>
        <v>0</v>
      </c>
      <c r="FE36" t="e">
        <f>AND('5to. Bach_A'!A13,"AAAAABrP3KA=")</f>
        <v>#VALUE!</v>
      </c>
      <c r="FF36" t="e">
        <f>AND('5to. Bach_A'!B13,"AAAAABrP3KE=")</f>
        <v>#VALUE!</v>
      </c>
      <c r="FG36" t="e">
        <f>AND('5to. Bach_A'!C13,"AAAAABrP3KI=")</f>
        <v>#VALUE!</v>
      </c>
      <c r="FH36" t="e">
        <f>AND('5to. Bach_A'!D13,"AAAAABrP3KM=")</f>
        <v>#VALUE!</v>
      </c>
      <c r="FI36" t="e">
        <f>AND('5to. Bach_A'!E13,"AAAAABrP3KQ=")</f>
        <v>#VALUE!</v>
      </c>
      <c r="FJ36" t="e">
        <f>AND('5to. Bach_A'!F13,"AAAAABrP3KU=")</f>
        <v>#VALUE!</v>
      </c>
      <c r="FK36" t="e">
        <f>AND('5to. Bach_A'!G13,"AAAAABrP3KY=")</f>
        <v>#VALUE!</v>
      </c>
      <c r="FL36" t="e">
        <f>AND('5to. Bach_A'!H13,"AAAAABrP3Kc=")</f>
        <v>#VALUE!</v>
      </c>
      <c r="FM36" t="e">
        <f>AND('5to. Bach_A'!I13,"AAAAABrP3Kg=")</f>
        <v>#VALUE!</v>
      </c>
      <c r="FN36" t="e">
        <f>AND('5to. Bach_A'!J13,"AAAAABrP3Kk=")</f>
        <v>#VALUE!</v>
      </c>
      <c r="FO36" t="e">
        <f>AND('5to. Bach_A'!K13,"AAAAABrP3Ko=")</f>
        <v>#VALUE!</v>
      </c>
      <c r="FP36" t="e">
        <f>AND('5to. Bach_A'!L13,"AAAAABrP3Ks=")</f>
        <v>#VALUE!</v>
      </c>
      <c r="FQ36" t="e">
        <f>AND('5to. Bach_A'!M13,"AAAAABrP3Kw=")</f>
        <v>#VALUE!</v>
      </c>
      <c r="FR36" t="e">
        <f>AND('5to. Bach_A'!N13,"AAAAABrP3K0=")</f>
        <v>#VALUE!</v>
      </c>
      <c r="FS36" t="e">
        <f>AND('5to. Bach_A'!O13,"AAAAABrP3K4=")</f>
        <v>#VALUE!</v>
      </c>
      <c r="FT36" t="e">
        <f>AND('5to. Bach_A'!P13,"AAAAABrP3K8=")</f>
        <v>#VALUE!</v>
      </c>
      <c r="FU36" t="e">
        <f>AND('5to. Bach_A'!Q13,"AAAAABrP3LA=")</f>
        <v>#VALUE!</v>
      </c>
      <c r="FV36" t="e">
        <f>AND('5to. Bach_A'!R13,"AAAAABrP3LE=")</f>
        <v>#VALUE!</v>
      </c>
      <c r="FW36" t="e">
        <f>AND('5to. Bach_A'!S13,"AAAAABrP3LI=")</f>
        <v>#VALUE!</v>
      </c>
      <c r="FX36" t="e">
        <f>AND('5to. Bach_A'!T13,"AAAAABrP3LM=")</f>
        <v>#VALUE!</v>
      </c>
      <c r="FY36" t="e">
        <f>AND('5to. Bach_A'!#REF!,"AAAAABrP3LQ=")</f>
        <v>#REF!</v>
      </c>
      <c r="FZ36" t="e">
        <f>AND('5to. Bach_A'!#REF!,"AAAAABrP3LU=")</f>
        <v>#REF!</v>
      </c>
      <c r="GA36" t="e">
        <f>AND('5to. Bach_A'!#REF!,"AAAAABrP3LY=")</f>
        <v>#REF!</v>
      </c>
      <c r="GB36" t="e">
        <f>AND('5to. Bach_A'!#REF!,"AAAAABrP3Lc=")</f>
        <v>#REF!</v>
      </c>
      <c r="GC36" t="e">
        <f>AND('5to. Bach_A'!#REF!,"AAAAABrP3Lg=")</f>
        <v>#REF!</v>
      </c>
      <c r="GD36">
        <f>IF('5to. Bach_A'!14:14,"AAAAABrP3Lk=",0)</f>
        <v>0</v>
      </c>
      <c r="GE36" t="e">
        <f>AND('5to. Bach_A'!A14,"AAAAABrP3Lo=")</f>
        <v>#VALUE!</v>
      </c>
      <c r="GF36" t="e">
        <f>AND('5to. Bach_A'!B14,"AAAAABrP3Ls=")</f>
        <v>#VALUE!</v>
      </c>
      <c r="GG36" t="e">
        <f>AND('5to. Bach_A'!C14,"AAAAABrP3Lw=")</f>
        <v>#VALUE!</v>
      </c>
      <c r="GH36" t="e">
        <f>AND('5to. Bach_A'!D14,"AAAAABrP3L0=")</f>
        <v>#VALUE!</v>
      </c>
      <c r="GI36" t="e">
        <f>AND('5to. Bach_A'!E14,"AAAAABrP3L4=")</f>
        <v>#VALUE!</v>
      </c>
      <c r="GJ36" t="e">
        <f>AND('5to. Bach_A'!F14,"AAAAABrP3L8=")</f>
        <v>#VALUE!</v>
      </c>
      <c r="GK36" t="e">
        <f>AND('5to. Bach_A'!G14,"AAAAABrP3MA=")</f>
        <v>#VALUE!</v>
      </c>
      <c r="GL36" t="e">
        <f>AND('5to. Bach_A'!H14,"AAAAABrP3ME=")</f>
        <v>#VALUE!</v>
      </c>
      <c r="GM36" t="e">
        <f>AND('5to. Bach_A'!I14,"AAAAABrP3MI=")</f>
        <v>#VALUE!</v>
      </c>
      <c r="GN36" t="e">
        <f>AND('5to. Bach_A'!J14,"AAAAABrP3MM=")</f>
        <v>#VALUE!</v>
      </c>
      <c r="GO36" t="e">
        <f>AND('5to. Bach_A'!K14,"AAAAABrP3MQ=")</f>
        <v>#VALUE!</v>
      </c>
      <c r="GP36" t="e">
        <f>AND('5to. Bach_A'!L14,"AAAAABrP3MU=")</f>
        <v>#VALUE!</v>
      </c>
      <c r="GQ36" t="e">
        <f>AND('5to. Bach_A'!M14,"AAAAABrP3MY=")</f>
        <v>#VALUE!</v>
      </c>
      <c r="GR36" t="e">
        <f>AND('5to. Bach_A'!N14,"AAAAABrP3Mc=")</f>
        <v>#VALUE!</v>
      </c>
      <c r="GS36" t="e">
        <f>AND('5to. Bach_A'!O14,"AAAAABrP3Mg=")</f>
        <v>#VALUE!</v>
      </c>
      <c r="GT36" t="e">
        <f>AND('5to. Bach_A'!P14,"AAAAABrP3Mk=")</f>
        <v>#VALUE!</v>
      </c>
      <c r="GU36" t="e">
        <f>AND('5to. Bach_A'!Q14,"AAAAABrP3Mo=")</f>
        <v>#VALUE!</v>
      </c>
      <c r="GV36" t="e">
        <f>AND('5to. Bach_A'!R14,"AAAAABrP3Ms=")</f>
        <v>#VALUE!</v>
      </c>
      <c r="GW36" t="e">
        <f>AND('5to. Bach_A'!S14,"AAAAABrP3Mw=")</f>
        <v>#VALUE!</v>
      </c>
      <c r="GX36" t="e">
        <f>AND('5to. Bach_A'!T14,"AAAAABrP3M0=")</f>
        <v>#VALUE!</v>
      </c>
      <c r="GY36" t="e">
        <f>AND('5to. Bach_A'!#REF!,"AAAAABrP3M4=")</f>
        <v>#REF!</v>
      </c>
      <c r="GZ36" t="e">
        <f>AND('5to. Bach_A'!#REF!,"AAAAABrP3M8=")</f>
        <v>#REF!</v>
      </c>
      <c r="HA36" t="e">
        <f>AND('5to. Bach_A'!#REF!,"AAAAABrP3NA=")</f>
        <v>#REF!</v>
      </c>
      <c r="HB36" t="e">
        <f>AND('5to. Bach_A'!#REF!,"AAAAABrP3NE=")</f>
        <v>#REF!</v>
      </c>
      <c r="HC36" t="e">
        <f>AND('5to. Bach_A'!#REF!,"AAAAABrP3NI=")</f>
        <v>#REF!</v>
      </c>
      <c r="HD36">
        <f>IF('5to. Bach_A'!15:15,"AAAAABrP3NM=",0)</f>
        <v>0</v>
      </c>
      <c r="HE36" t="e">
        <f>AND('5to. Bach_A'!A15,"AAAAABrP3NQ=")</f>
        <v>#VALUE!</v>
      </c>
      <c r="HF36" t="e">
        <f>AND('5to. Bach_A'!B15,"AAAAABrP3NU=")</f>
        <v>#VALUE!</v>
      </c>
      <c r="HG36" t="e">
        <f>AND('5to. Bach_A'!C15,"AAAAABrP3NY=")</f>
        <v>#VALUE!</v>
      </c>
      <c r="HH36" t="e">
        <f>AND('5to. Bach_A'!D15,"AAAAABrP3Nc=")</f>
        <v>#VALUE!</v>
      </c>
      <c r="HI36" t="e">
        <f>AND('5to. Bach_A'!E15,"AAAAABrP3Ng=")</f>
        <v>#VALUE!</v>
      </c>
      <c r="HJ36" t="e">
        <f>AND('5to. Bach_A'!F15,"AAAAABrP3Nk=")</f>
        <v>#VALUE!</v>
      </c>
      <c r="HK36" t="e">
        <f>AND('5to. Bach_A'!G15,"AAAAABrP3No=")</f>
        <v>#VALUE!</v>
      </c>
      <c r="HL36" t="e">
        <f>AND('5to. Bach_A'!H15,"AAAAABrP3Ns=")</f>
        <v>#VALUE!</v>
      </c>
      <c r="HM36" t="e">
        <f>AND('5to. Bach_A'!I15,"AAAAABrP3Nw=")</f>
        <v>#VALUE!</v>
      </c>
      <c r="HN36" t="e">
        <f>AND('5to. Bach_A'!J15,"AAAAABrP3N0=")</f>
        <v>#VALUE!</v>
      </c>
      <c r="HO36" t="e">
        <f>AND('5to. Bach_A'!K15,"AAAAABrP3N4=")</f>
        <v>#VALUE!</v>
      </c>
      <c r="HP36" t="e">
        <f>AND('5to. Bach_A'!L15,"AAAAABrP3N8=")</f>
        <v>#VALUE!</v>
      </c>
      <c r="HQ36" t="e">
        <f>AND('5to. Bach_A'!M15,"AAAAABrP3OA=")</f>
        <v>#VALUE!</v>
      </c>
      <c r="HR36" t="e">
        <f>AND('5to. Bach_A'!N15,"AAAAABrP3OE=")</f>
        <v>#VALUE!</v>
      </c>
      <c r="HS36" t="e">
        <f>AND('5to. Bach_A'!O15,"AAAAABrP3OI=")</f>
        <v>#VALUE!</v>
      </c>
      <c r="HT36" t="e">
        <f>AND('5to. Bach_A'!P15,"AAAAABrP3OM=")</f>
        <v>#VALUE!</v>
      </c>
      <c r="HU36" t="e">
        <f>AND('5to. Bach_A'!Q15,"AAAAABrP3OQ=")</f>
        <v>#VALUE!</v>
      </c>
      <c r="HV36" t="e">
        <f>AND('5to. Bach_A'!R15,"AAAAABrP3OU=")</f>
        <v>#VALUE!</v>
      </c>
      <c r="HW36" t="e">
        <f>AND('5to. Bach_A'!S15,"AAAAABrP3OY=")</f>
        <v>#VALUE!</v>
      </c>
      <c r="HX36" t="e">
        <f>AND('5to. Bach_A'!T15,"AAAAABrP3Oc=")</f>
        <v>#VALUE!</v>
      </c>
      <c r="HY36" t="e">
        <f>AND('5to. Bach_A'!#REF!,"AAAAABrP3Og=")</f>
        <v>#REF!</v>
      </c>
      <c r="HZ36" t="e">
        <f>AND('5to. Bach_A'!#REF!,"AAAAABrP3Ok=")</f>
        <v>#REF!</v>
      </c>
      <c r="IA36" t="e">
        <f>AND('5to. Bach_A'!#REF!,"AAAAABrP3Oo=")</f>
        <v>#REF!</v>
      </c>
      <c r="IB36" t="e">
        <f>AND('5to. Bach_A'!#REF!,"AAAAABrP3Os=")</f>
        <v>#REF!</v>
      </c>
      <c r="IC36" t="e">
        <f>AND('5to. Bach_A'!#REF!,"AAAAABrP3Ow=")</f>
        <v>#REF!</v>
      </c>
      <c r="ID36">
        <f>IF('5to. Bach_A'!16:16,"AAAAABrP3O0=",0)</f>
        <v>0</v>
      </c>
      <c r="IE36" t="e">
        <f>AND('5to. Bach_A'!A16,"AAAAABrP3O4=")</f>
        <v>#VALUE!</v>
      </c>
      <c r="IF36" t="e">
        <f>AND('5to. Bach_A'!B16,"AAAAABrP3O8=")</f>
        <v>#VALUE!</v>
      </c>
      <c r="IG36" t="e">
        <f>AND('5to. Bach_A'!C16,"AAAAABrP3PA=")</f>
        <v>#VALUE!</v>
      </c>
      <c r="IH36" t="e">
        <f>AND('5to. Bach_A'!D16,"AAAAABrP3PE=")</f>
        <v>#VALUE!</v>
      </c>
      <c r="II36" t="e">
        <f>AND('5to. Bach_A'!E16,"AAAAABrP3PI=")</f>
        <v>#VALUE!</v>
      </c>
      <c r="IJ36" t="e">
        <f>AND('5to. Bach_A'!F16,"AAAAABrP3PM=")</f>
        <v>#VALUE!</v>
      </c>
      <c r="IK36" t="e">
        <f>AND('5to. Bach_A'!G16,"AAAAABrP3PQ=")</f>
        <v>#VALUE!</v>
      </c>
      <c r="IL36" t="e">
        <f>AND('5to. Bach_A'!H16,"AAAAABrP3PU=")</f>
        <v>#VALUE!</v>
      </c>
      <c r="IM36" t="e">
        <f>AND('5to. Bach_A'!I16,"AAAAABrP3PY=")</f>
        <v>#VALUE!</v>
      </c>
      <c r="IN36" t="e">
        <f>AND('5to. Bach_A'!J16,"AAAAABrP3Pc=")</f>
        <v>#VALUE!</v>
      </c>
      <c r="IO36" t="e">
        <f>AND('5to. Bach_A'!K16,"AAAAABrP3Pg=")</f>
        <v>#VALUE!</v>
      </c>
      <c r="IP36" t="e">
        <f>AND('5to. Bach_A'!L16,"AAAAABrP3Pk=")</f>
        <v>#VALUE!</v>
      </c>
      <c r="IQ36" t="e">
        <f>AND('5to. Bach_A'!M16,"AAAAABrP3Po=")</f>
        <v>#VALUE!</v>
      </c>
      <c r="IR36" t="e">
        <f>AND('5to. Bach_A'!N16,"AAAAABrP3Ps=")</f>
        <v>#VALUE!</v>
      </c>
      <c r="IS36" t="e">
        <f>AND('5to. Bach_A'!O16,"AAAAABrP3Pw=")</f>
        <v>#VALUE!</v>
      </c>
      <c r="IT36" t="e">
        <f>AND('5to. Bach_A'!P16,"AAAAABrP3P0=")</f>
        <v>#VALUE!</v>
      </c>
      <c r="IU36" t="e">
        <f>AND('5to. Bach_A'!Q16,"AAAAABrP3P4=")</f>
        <v>#VALUE!</v>
      </c>
      <c r="IV36" t="e">
        <f>AND('5to. Bach_A'!R16,"AAAAABrP3P8=")</f>
        <v>#VALUE!</v>
      </c>
    </row>
    <row r="37" spans="1:256">
      <c r="A37" t="e">
        <f>AND('5to. Bach_A'!S16,"AAAAAFz/4wA=")</f>
        <v>#VALUE!</v>
      </c>
      <c r="B37" t="e">
        <f>AND('5to. Bach_A'!T16,"AAAAAFz/4wE=")</f>
        <v>#VALUE!</v>
      </c>
      <c r="C37" t="e">
        <f>AND('5to. Bach_A'!#REF!,"AAAAAFz/4wI=")</f>
        <v>#REF!</v>
      </c>
      <c r="D37" t="e">
        <f>AND('5to. Bach_A'!#REF!,"AAAAAFz/4wM=")</f>
        <v>#REF!</v>
      </c>
      <c r="E37" t="e">
        <f>AND('5to. Bach_A'!#REF!,"AAAAAFz/4wQ=")</f>
        <v>#REF!</v>
      </c>
      <c r="F37" t="e">
        <f>AND('5to. Bach_A'!#REF!,"AAAAAFz/4wU=")</f>
        <v>#REF!</v>
      </c>
      <c r="G37" t="e">
        <f>AND('5to. Bach_A'!#REF!,"AAAAAFz/4wY=")</f>
        <v>#REF!</v>
      </c>
      <c r="H37">
        <f>IF('5to. Bach_A'!17:17,"AAAAAFz/4wc=",0)</f>
        <v>0</v>
      </c>
      <c r="I37" t="e">
        <f>AND('5to. Bach_A'!A17,"AAAAAFz/4wg=")</f>
        <v>#VALUE!</v>
      </c>
      <c r="J37" t="e">
        <f>AND('5to. Bach_A'!B17,"AAAAAFz/4wk=")</f>
        <v>#VALUE!</v>
      </c>
      <c r="K37" t="e">
        <f>AND('5to. Bach_A'!C17,"AAAAAFz/4wo=")</f>
        <v>#VALUE!</v>
      </c>
      <c r="L37" t="e">
        <f>AND('5to. Bach_A'!D17,"AAAAAFz/4ws=")</f>
        <v>#VALUE!</v>
      </c>
      <c r="M37" t="e">
        <f>AND('5to. Bach_A'!E17,"AAAAAFz/4ww=")</f>
        <v>#VALUE!</v>
      </c>
      <c r="N37" t="e">
        <f>AND('5to. Bach_A'!F17,"AAAAAFz/4w0=")</f>
        <v>#VALUE!</v>
      </c>
      <c r="O37" t="e">
        <f>AND('5to. Bach_A'!G17,"AAAAAFz/4w4=")</f>
        <v>#VALUE!</v>
      </c>
      <c r="P37" t="e">
        <f>AND('5to. Bach_A'!H17,"AAAAAFz/4w8=")</f>
        <v>#VALUE!</v>
      </c>
      <c r="Q37" t="e">
        <f>AND('5to. Bach_A'!I17,"AAAAAFz/4xA=")</f>
        <v>#VALUE!</v>
      </c>
      <c r="R37" t="e">
        <f>AND('5to. Bach_A'!J17,"AAAAAFz/4xE=")</f>
        <v>#VALUE!</v>
      </c>
      <c r="S37" t="e">
        <f>AND('5to. Bach_A'!K17,"AAAAAFz/4xI=")</f>
        <v>#VALUE!</v>
      </c>
      <c r="T37" t="e">
        <f>AND('5to. Bach_A'!L17,"AAAAAFz/4xM=")</f>
        <v>#VALUE!</v>
      </c>
      <c r="U37" t="e">
        <f>AND('5to. Bach_A'!M17,"AAAAAFz/4xQ=")</f>
        <v>#VALUE!</v>
      </c>
      <c r="V37" t="e">
        <f>AND('5to. Bach_A'!N17,"AAAAAFz/4xU=")</f>
        <v>#VALUE!</v>
      </c>
      <c r="W37" t="e">
        <f>AND('5to. Bach_A'!O17,"AAAAAFz/4xY=")</f>
        <v>#VALUE!</v>
      </c>
      <c r="X37" t="e">
        <f>AND('5to. Bach_A'!P17,"AAAAAFz/4xc=")</f>
        <v>#VALUE!</v>
      </c>
      <c r="Y37" t="e">
        <f>AND('5to. Bach_A'!Q17,"AAAAAFz/4xg=")</f>
        <v>#VALUE!</v>
      </c>
      <c r="Z37" t="e">
        <f>AND('5to. Bach_A'!R17,"AAAAAFz/4xk=")</f>
        <v>#VALUE!</v>
      </c>
      <c r="AA37" t="e">
        <f>AND('5to. Bach_A'!S17,"AAAAAFz/4xo=")</f>
        <v>#VALUE!</v>
      </c>
      <c r="AB37" t="e">
        <f>AND('5to. Bach_A'!T17,"AAAAAFz/4xs=")</f>
        <v>#VALUE!</v>
      </c>
      <c r="AC37" t="e">
        <f>AND('5to. Bach_A'!#REF!,"AAAAAFz/4xw=")</f>
        <v>#REF!</v>
      </c>
      <c r="AD37" t="e">
        <f>AND('5to. Bach_A'!#REF!,"AAAAAFz/4x0=")</f>
        <v>#REF!</v>
      </c>
      <c r="AE37" t="e">
        <f>AND('5to. Bach_A'!#REF!,"AAAAAFz/4x4=")</f>
        <v>#REF!</v>
      </c>
      <c r="AF37" t="e">
        <f>AND('5to. Bach_A'!#REF!,"AAAAAFz/4x8=")</f>
        <v>#REF!</v>
      </c>
      <c r="AG37" t="e">
        <f>AND('5to. Bach_A'!#REF!,"AAAAAFz/4yA=")</f>
        <v>#REF!</v>
      </c>
      <c r="AH37">
        <f>IF('5to. Bach_A'!18:18,"AAAAAFz/4yE=",0)</f>
        <v>0</v>
      </c>
      <c r="AI37" t="e">
        <f>AND('5to. Bach_A'!A18,"AAAAAFz/4yI=")</f>
        <v>#VALUE!</v>
      </c>
      <c r="AJ37" t="e">
        <f>AND('5to. Bach_A'!B18,"AAAAAFz/4yM=")</f>
        <v>#VALUE!</v>
      </c>
      <c r="AK37" t="e">
        <f>AND('5to. Bach_A'!C18,"AAAAAFz/4yQ=")</f>
        <v>#VALUE!</v>
      </c>
      <c r="AL37" t="e">
        <f>AND('5to. Bach_A'!D18,"AAAAAFz/4yU=")</f>
        <v>#VALUE!</v>
      </c>
      <c r="AM37" t="e">
        <f>AND('5to. Bach_A'!E18,"AAAAAFz/4yY=")</f>
        <v>#VALUE!</v>
      </c>
      <c r="AN37" t="e">
        <f>AND('5to. Bach_A'!F18,"AAAAAFz/4yc=")</f>
        <v>#VALUE!</v>
      </c>
      <c r="AO37" t="e">
        <f>AND('5to. Bach_A'!G18,"AAAAAFz/4yg=")</f>
        <v>#VALUE!</v>
      </c>
      <c r="AP37" t="e">
        <f>AND('5to. Bach_A'!H18,"AAAAAFz/4yk=")</f>
        <v>#VALUE!</v>
      </c>
      <c r="AQ37" t="e">
        <f>AND('5to. Bach_A'!I18,"AAAAAFz/4yo=")</f>
        <v>#VALUE!</v>
      </c>
      <c r="AR37" t="e">
        <f>AND('5to. Bach_A'!J18,"AAAAAFz/4ys=")</f>
        <v>#VALUE!</v>
      </c>
      <c r="AS37" t="e">
        <f>AND('5to. Bach_A'!K18,"AAAAAFz/4yw=")</f>
        <v>#VALUE!</v>
      </c>
      <c r="AT37" t="e">
        <f>AND('5to. Bach_A'!L18,"AAAAAFz/4y0=")</f>
        <v>#VALUE!</v>
      </c>
      <c r="AU37" t="e">
        <f>AND('5to. Bach_A'!M18,"AAAAAFz/4y4=")</f>
        <v>#VALUE!</v>
      </c>
      <c r="AV37" t="e">
        <f>AND('5to. Bach_A'!N18,"AAAAAFz/4y8=")</f>
        <v>#VALUE!</v>
      </c>
      <c r="AW37" t="e">
        <f>AND('5to. Bach_A'!O18,"AAAAAFz/4zA=")</f>
        <v>#VALUE!</v>
      </c>
      <c r="AX37" t="e">
        <f>AND('5to. Bach_A'!P18,"AAAAAFz/4zE=")</f>
        <v>#VALUE!</v>
      </c>
      <c r="AY37" t="e">
        <f>AND('5to. Bach_A'!Q18,"AAAAAFz/4zI=")</f>
        <v>#VALUE!</v>
      </c>
      <c r="AZ37" t="e">
        <f>AND('5to. Bach_A'!R18,"AAAAAFz/4zM=")</f>
        <v>#VALUE!</v>
      </c>
      <c r="BA37" t="e">
        <f>AND('5to. Bach_A'!S18,"AAAAAFz/4zQ=")</f>
        <v>#VALUE!</v>
      </c>
      <c r="BB37" t="e">
        <f>AND('5to. Bach_A'!T18,"AAAAAFz/4zU=")</f>
        <v>#VALUE!</v>
      </c>
      <c r="BC37" t="e">
        <f>AND('5to. Bach_A'!#REF!,"AAAAAFz/4zY=")</f>
        <v>#REF!</v>
      </c>
      <c r="BD37" t="e">
        <f>AND('5to. Bach_A'!#REF!,"AAAAAFz/4zc=")</f>
        <v>#REF!</v>
      </c>
      <c r="BE37" t="e">
        <f>AND('5to. Bach_A'!#REF!,"AAAAAFz/4zg=")</f>
        <v>#REF!</v>
      </c>
      <c r="BF37" t="e">
        <f>AND('5to. Bach_A'!#REF!,"AAAAAFz/4zk=")</f>
        <v>#REF!</v>
      </c>
      <c r="BG37" t="e">
        <f>AND('5to. Bach_A'!#REF!,"AAAAAFz/4zo=")</f>
        <v>#REF!</v>
      </c>
      <c r="BH37">
        <f>IF('5to. Bach_A'!19:19,"AAAAAFz/4zs=",0)</f>
        <v>0</v>
      </c>
      <c r="BI37" t="e">
        <f>AND('5to. Bach_A'!A19,"AAAAAFz/4zw=")</f>
        <v>#VALUE!</v>
      </c>
      <c r="BJ37" t="e">
        <f>AND('5to. Bach_A'!B19,"AAAAAFz/4z0=")</f>
        <v>#VALUE!</v>
      </c>
      <c r="BK37" t="e">
        <f>AND('5to. Bach_A'!C19,"AAAAAFz/4z4=")</f>
        <v>#VALUE!</v>
      </c>
      <c r="BL37" t="e">
        <f>AND('5to. Bach_A'!D19,"AAAAAFz/4z8=")</f>
        <v>#VALUE!</v>
      </c>
      <c r="BM37" t="e">
        <f>AND('5to. Bach_A'!E19,"AAAAAFz/40A=")</f>
        <v>#VALUE!</v>
      </c>
      <c r="BN37" t="e">
        <f>AND('5to. Bach_A'!F19,"AAAAAFz/40E=")</f>
        <v>#VALUE!</v>
      </c>
      <c r="BO37" t="e">
        <f>AND('5to. Bach_A'!G19,"AAAAAFz/40I=")</f>
        <v>#VALUE!</v>
      </c>
      <c r="BP37" t="e">
        <f>AND('5to. Bach_A'!H19,"AAAAAFz/40M=")</f>
        <v>#VALUE!</v>
      </c>
      <c r="BQ37" t="e">
        <f>AND('5to. Bach_A'!I19,"AAAAAFz/40Q=")</f>
        <v>#VALUE!</v>
      </c>
      <c r="BR37" t="e">
        <f>AND('5to. Bach_A'!J19,"AAAAAFz/40U=")</f>
        <v>#VALUE!</v>
      </c>
      <c r="BS37" t="e">
        <f>AND('5to. Bach_A'!K19,"AAAAAFz/40Y=")</f>
        <v>#VALUE!</v>
      </c>
      <c r="BT37" t="e">
        <f>AND('5to. Bach_A'!L19,"AAAAAFz/40c=")</f>
        <v>#VALUE!</v>
      </c>
      <c r="BU37" t="e">
        <f>AND('5to. Bach_A'!M19,"AAAAAFz/40g=")</f>
        <v>#VALUE!</v>
      </c>
      <c r="BV37" t="e">
        <f>AND('5to. Bach_A'!N19,"AAAAAFz/40k=")</f>
        <v>#VALUE!</v>
      </c>
      <c r="BW37" t="e">
        <f>AND('5to. Bach_A'!O19,"AAAAAFz/40o=")</f>
        <v>#VALUE!</v>
      </c>
      <c r="BX37" t="e">
        <f>AND('5to. Bach_A'!P19,"AAAAAFz/40s=")</f>
        <v>#VALUE!</v>
      </c>
      <c r="BY37" t="e">
        <f>AND('5to. Bach_A'!Q19,"AAAAAFz/40w=")</f>
        <v>#VALUE!</v>
      </c>
      <c r="BZ37" t="e">
        <f>AND('5to. Bach_A'!R19,"AAAAAFz/400=")</f>
        <v>#VALUE!</v>
      </c>
      <c r="CA37" t="e">
        <f>AND('5to. Bach_A'!S19,"AAAAAFz/404=")</f>
        <v>#VALUE!</v>
      </c>
      <c r="CB37" t="e">
        <f>AND('5to. Bach_A'!T19,"AAAAAFz/408=")</f>
        <v>#VALUE!</v>
      </c>
      <c r="CC37" t="e">
        <f>AND('5to. Bach_A'!#REF!,"AAAAAFz/41A=")</f>
        <v>#REF!</v>
      </c>
      <c r="CD37" t="e">
        <f>AND('5to. Bach_A'!#REF!,"AAAAAFz/41E=")</f>
        <v>#REF!</v>
      </c>
      <c r="CE37" t="e">
        <f>AND('5to. Bach_A'!#REF!,"AAAAAFz/41I=")</f>
        <v>#REF!</v>
      </c>
      <c r="CF37" t="e">
        <f>AND('5to. Bach_A'!#REF!,"AAAAAFz/41M=")</f>
        <v>#REF!</v>
      </c>
      <c r="CG37" t="e">
        <f>AND('5to. Bach_A'!#REF!,"AAAAAFz/41Q=")</f>
        <v>#REF!</v>
      </c>
      <c r="CH37">
        <f>IF('5to. Bach_A'!20:20,"AAAAAFz/41U=",0)</f>
        <v>0</v>
      </c>
      <c r="CI37" t="e">
        <f>AND('5to. Bach_A'!A20,"AAAAAFz/41Y=")</f>
        <v>#VALUE!</v>
      </c>
      <c r="CJ37" t="e">
        <f>AND('5to. Bach_A'!B20,"AAAAAFz/41c=")</f>
        <v>#VALUE!</v>
      </c>
      <c r="CK37" t="e">
        <f>AND('5to. Bach_A'!C20,"AAAAAFz/41g=")</f>
        <v>#VALUE!</v>
      </c>
      <c r="CL37" t="e">
        <f>AND('5to. Bach_A'!D20,"AAAAAFz/41k=")</f>
        <v>#VALUE!</v>
      </c>
      <c r="CM37" t="e">
        <f>AND('5to. Bach_A'!E20,"AAAAAFz/41o=")</f>
        <v>#VALUE!</v>
      </c>
      <c r="CN37" t="e">
        <f>AND('5to. Bach_A'!F20,"AAAAAFz/41s=")</f>
        <v>#VALUE!</v>
      </c>
      <c r="CO37" t="e">
        <f>AND('5to. Bach_A'!G20,"AAAAAFz/41w=")</f>
        <v>#VALUE!</v>
      </c>
      <c r="CP37" t="e">
        <f>AND('5to. Bach_A'!H20,"AAAAAFz/410=")</f>
        <v>#VALUE!</v>
      </c>
      <c r="CQ37" t="e">
        <f>AND('5to. Bach_A'!I20,"AAAAAFz/414=")</f>
        <v>#VALUE!</v>
      </c>
      <c r="CR37" t="e">
        <f>AND('5to. Bach_A'!J20,"AAAAAFz/418=")</f>
        <v>#VALUE!</v>
      </c>
      <c r="CS37" t="e">
        <f>AND('5to. Bach_A'!K20,"AAAAAFz/42A=")</f>
        <v>#VALUE!</v>
      </c>
      <c r="CT37" t="e">
        <f>AND('5to. Bach_A'!L20,"AAAAAFz/42E=")</f>
        <v>#VALUE!</v>
      </c>
      <c r="CU37" t="e">
        <f>AND('5to. Bach_A'!M20,"AAAAAFz/42I=")</f>
        <v>#VALUE!</v>
      </c>
      <c r="CV37" t="e">
        <f>AND('5to. Bach_A'!N20,"AAAAAFz/42M=")</f>
        <v>#VALUE!</v>
      </c>
      <c r="CW37" t="e">
        <f>AND('5to. Bach_A'!O20,"AAAAAFz/42Q=")</f>
        <v>#VALUE!</v>
      </c>
      <c r="CX37" t="e">
        <f>AND('5to. Bach_A'!P20,"AAAAAFz/42U=")</f>
        <v>#VALUE!</v>
      </c>
      <c r="CY37" t="e">
        <f>AND('5to. Bach_A'!Q20,"AAAAAFz/42Y=")</f>
        <v>#VALUE!</v>
      </c>
      <c r="CZ37" t="e">
        <f>AND('5to. Bach_A'!R20,"AAAAAFz/42c=")</f>
        <v>#VALUE!</v>
      </c>
      <c r="DA37" t="e">
        <f>AND('5to. Bach_A'!S20,"AAAAAFz/42g=")</f>
        <v>#VALUE!</v>
      </c>
      <c r="DB37" t="e">
        <f>AND('5to. Bach_A'!T20,"AAAAAFz/42k=")</f>
        <v>#VALUE!</v>
      </c>
      <c r="DC37" t="e">
        <f>AND('5to. Bach_A'!#REF!,"AAAAAFz/42o=")</f>
        <v>#REF!</v>
      </c>
      <c r="DD37" t="e">
        <f>AND('5to. Bach_A'!#REF!,"AAAAAFz/42s=")</f>
        <v>#REF!</v>
      </c>
      <c r="DE37" t="e">
        <f>AND('5to. Bach_A'!#REF!,"AAAAAFz/42w=")</f>
        <v>#REF!</v>
      </c>
      <c r="DF37" t="e">
        <f>AND('5to. Bach_A'!#REF!,"AAAAAFz/420=")</f>
        <v>#REF!</v>
      </c>
      <c r="DG37" t="e">
        <f>AND('5to. Bach_A'!#REF!,"AAAAAFz/424=")</f>
        <v>#REF!</v>
      </c>
      <c r="DH37">
        <f>IF('5to. Bach_A'!21:21,"AAAAAFz/428=",0)</f>
        <v>0</v>
      </c>
      <c r="DI37" t="e">
        <f>AND('5to. Bach_A'!A21,"AAAAAFz/43A=")</f>
        <v>#VALUE!</v>
      </c>
      <c r="DJ37" t="e">
        <f>AND('5to. Bach_A'!B21,"AAAAAFz/43E=")</f>
        <v>#VALUE!</v>
      </c>
      <c r="DK37" t="e">
        <f>AND('5to. Bach_A'!C21,"AAAAAFz/43I=")</f>
        <v>#VALUE!</v>
      </c>
      <c r="DL37" t="e">
        <f>AND('5to. Bach_A'!D21,"AAAAAFz/43M=")</f>
        <v>#VALUE!</v>
      </c>
      <c r="DM37" t="e">
        <f>AND('5to. Bach_A'!E21,"AAAAAFz/43Q=")</f>
        <v>#VALUE!</v>
      </c>
      <c r="DN37" t="e">
        <f>AND('5to. Bach_A'!F21,"AAAAAFz/43U=")</f>
        <v>#VALUE!</v>
      </c>
      <c r="DO37" t="e">
        <f>AND('5to. Bach_A'!G21,"AAAAAFz/43Y=")</f>
        <v>#VALUE!</v>
      </c>
      <c r="DP37" t="e">
        <f>AND('5to. Bach_A'!H21,"AAAAAFz/43c=")</f>
        <v>#VALUE!</v>
      </c>
      <c r="DQ37" t="e">
        <f>AND('5to. Bach_A'!I21,"AAAAAFz/43g=")</f>
        <v>#VALUE!</v>
      </c>
      <c r="DR37" t="e">
        <f>AND('5to. Bach_A'!J21,"AAAAAFz/43k=")</f>
        <v>#VALUE!</v>
      </c>
      <c r="DS37" t="e">
        <f>AND('5to. Bach_A'!K21,"AAAAAFz/43o=")</f>
        <v>#VALUE!</v>
      </c>
      <c r="DT37" t="e">
        <f>AND('5to. Bach_A'!L21,"AAAAAFz/43s=")</f>
        <v>#VALUE!</v>
      </c>
      <c r="DU37" t="e">
        <f>AND('5to. Bach_A'!M21,"AAAAAFz/43w=")</f>
        <v>#VALUE!</v>
      </c>
      <c r="DV37" t="e">
        <f>AND('5to. Bach_A'!N21,"AAAAAFz/430=")</f>
        <v>#VALUE!</v>
      </c>
      <c r="DW37" t="e">
        <f>AND('5to. Bach_A'!O21,"AAAAAFz/434=")</f>
        <v>#VALUE!</v>
      </c>
      <c r="DX37" t="e">
        <f>AND('5to. Bach_A'!P21,"AAAAAFz/438=")</f>
        <v>#VALUE!</v>
      </c>
      <c r="DY37" t="e">
        <f>AND('5to. Bach_A'!Q21,"AAAAAFz/44A=")</f>
        <v>#VALUE!</v>
      </c>
      <c r="DZ37" t="e">
        <f>AND('5to. Bach_A'!R21,"AAAAAFz/44E=")</f>
        <v>#VALUE!</v>
      </c>
      <c r="EA37" t="e">
        <f>AND('5to. Bach_A'!S21,"AAAAAFz/44I=")</f>
        <v>#VALUE!</v>
      </c>
      <c r="EB37" t="e">
        <f>AND('5to. Bach_A'!T21,"AAAAAFz/44M=")</f>
        <v>#VALUE!</v>
      </c>
      <c r="EC37" t="e">
        <f>AND('5to. Bach_A'!#REF!,"AAAAAFz/44Q=")</f>
        <v>#REF!</v>
      </c>
      <c r="ED37" t="e">
        <f>AND('5to. Bach_A'!#REF!,"AAAAAFz/44U=")</f>
        <v>#REF!</v>
      </c>
      <c r="EE37" t="e">
        <f>AND('5to. Bach_A'!#REF!,"AAAAAFz/44Y=")</f>
        <v>#REF!</v>
      </c>
      <c r="EF37" t="e">
        <f>AND('5to. Bach_A'!#REF!,"AAAAAFz/44c=")</f>
        <v>#REF!</v>
      </c>
      <c r="EG37" t="e">
        <f>AND('5to. Bach_A'!#REF!,"AAAAAFz/44g=")</f>
        <v>#REF!</v>
      </c>
      <c r="EH37">
        <f>IF('5to. Bach_A'!22:22,"AAAAAFz/44k=",0)</f>
        <v>0</v>
      </c>
      <c r="EI37" t="e">
        <f>AND('5to. Bach_A'!A22,"AAAAAFz/44o=")</f>
        <v>#VALUE!</v>
      </c>
      <c r="EJ37" t="e">
        <f>AND('5to. Bach_A'!B22,"AAAAAFz/44s=")</f>
        <v>#VALUE!</v>
      </c>
      <c r="EK37" t="e">
        <f>AND('5to. Bach_A'!C22,"AAAAAFz/44w=")</f>
        <v>#VALUE!</v>
      </c>
      <c r="EL37" t="e">
        <f>AND('5to. Bach_A'!D22,"AAAAAFz/440=")</f>
        <v>#VALUE!</v>
      </c>
      <c r="EM37" t="e">
        <f>AND('5to. Bach_A'!E22,"AAAAAFz/444=")</f>
        <v>#VALUE!</v>
      </c>
      <c r="EN37" t="e">
        <f>AND('5to. Bach_A'!F22,"AAAAAFz/448=")</f>
        <v>#VALUE!</v>
      </c>
      <c r="EO37" t="e">
        <f>AND('5to. Bach_A'!G22,"AAAAAFz/45A=")</f>
        <v>#VALUE!</v>
      </c>
      <c r="EP37" t="e">
        <f>AND('5to. Bach_A'!H22,"AAAAAFz/45E=")</f>
        <v>#VALUE!</v>
      </c>
      <c r="EQ37" t="e">
        <f>AND('5to. Bach_A'!I22,"AAAAAFz/45I=")</f>
        <v>#VALUE!</v>
      </c>
      <c r="ER37" t="e">
        <f>AND('5to. Bach_A'!J22,"AAAAAFz/45M=")</f>
        <v>#VALUE!</v>
      </c>
      <c r="ES37" t="e">
        <f>AND('5to. Bach_A'!K22,"AAAAAFz/45Q=")</f>
        <v>#VALUE!</v>
      </c>
      <c r="ET37" t="e">
        <f>AND('5to. Bach_A'!L22,"AAAAAFz/45U=")</f>
        <v>#VALUE!</v>
      </c>
      <c r="EU37" t="e">
        <f>AND('5to. Bach_A'!M22,"AAAAAFz/45Y=")</f>
        <v>#VALUE!</v>
      </c>
      <c r="EV37" t="e">
        <f>AND('5to. Bach_A'!N22,"AAAAAFz/45c=")</f>
        <v>#VALUE!</v>
      </c>
      <c r="EW37" t="e">
        <f>AND('5to. Bach_A'!O22,"AAAAAFz/45g=")</f>
        <v>#VALUE!</v>
      </c>
      <c r="EX37" t="e">
        <f>AND('5to. Bach_A'!P22,"AAAAAFz/45k=")</f>
        <v>#VALUE!</v>
      </c>
      <c r="EY37" t="e">
        <f>AND('5to. Bach_A'!Q22,"AAAAAFz/45o=")</f>
        <v>#VALUE!</v>
      </c>
      <c r="EZ37" t="e">
        <f>AND('5to. Bach_A'!R22,"AAAAAFz/45s=")</f>
        <v>#VALUE!</v>
      </c>
      <c r="FA37" t="e">
        <f>AND('5to. Bach_A'!S22,"AAAAAFz/45w=")</f>
        <v>#VALUE!</v>
      </c>
      <c r="FB37" t="e">
        <f>AND('5to. Bach_A'!T22,"AAAAAFz/450=")</f>
        <v>#VALUE!</v>
      </c>
      <c r="FC37" t="e">
        <f>AND('5to. Bach_A'!#REF!,"AAAAAFz/454=")</f>
        <v>#REF!</v>
      </c>
      <c r="FD37" t="e">
        <f>AND('5to. Bach_A'!#REF!,"AAAAAFz/458=")</f>
        <v>#REF!</v>
      </c>
      <c r="FE37" t="e">
        <f>AND('5to. Bach_A'!#REF!,"AAAAAFz/46A=")</f>
        <v>#REF!</v>
      </c>
      <c r="FF37" t="e">
        <f>AND('5to. Bach_A'!#REF!,"AAAAAFz/46E=")</f>
        <v>#REF!</v>
      </c>
      <c r="FG37" t="e">
        <f>AND('5to. Bach_A'!#REF!,"AAAAAFz/46I=")</f>
        <v>#REF!</v>
      </c>
      <c r="FH37">
        <f>IF('5to. Bach_A'!23:23,"AAAAAFz/46M=",0)</f>
        <v>0</v>
      </c>
      <c r="FI37" t="e">
        <f>AND('5to. Bach_A'!A23,"AAAAAFz/46Q=")</f>
        <v>#VALUE!</v>
      </c>
      <c r="FJ37" t="e">
        <f>AND('5to. Bach_A'!B23,"AAAAAFz/46U=")</f>
        <v>#VALUE!</v>
      </c>
      <c r="FK37" t="e">
        <f>AND('5to. Bach_A'!C23,"AAAAAFz/46Y=")</f>
        <v>#VALUE!</v>
      </c>
      <c r="FL37" t="e">
        <f>AND('5to. Bach_A'!D23,"AAAAAFz/46c=")</f>
        <v>#VALUE!</v>
      </c>
      <c r="FM37" t="e">
        <f>AND('5to. Bach_A'!E23,"AAAAAFz/46g=")</f>
        <v>#VALUE!</v>
      </c>
      <c r="FN37" t="e">
        <f>AND('5to. Bach_A'!F23,"AAAAAFz/46k=")</f>
        <v>#VALUE!</v>
      </c>
      <c r="FO37" t="e">
        <f>AND('5to. Bach_A'!G23,"AAAAAFz/46o=")</f>
        <v>#VALUE!</v>
      </c>
      <c r="FP37" t="e">
        <f>AND('5to. Bach_A'!H23,"AAAAAFz/46s=")</f>
        <v>#VALUE!</v>
      </c>
      <c r="FQ37" t="e">
        <f>AND('5to. Bach_A'!I23,"AAAAAFz/46w=")</f>
        <v>#VALUE!</v>
      </c>
      <c r="FR37" t="e">
        <f>AND('5to. Bach_A'!J23,"AAAAAFz/460=")</f>
        <v>#VALUE!</v>
      </c>
      <c r="FS37" t="e">
        <f>AND('5to. Bach_A'!K23,"AAAAAFz/464=")</f>
        <v>#VALUE!</v>
      </c>
      <c r="FT37" t="e">
        <f>AND('5to. Bach_A'!L23,"AAAAAFz/468=")</f>
        <v>#VALUE!</v>
      </c>
      <c r="FU37" t="e">
        <f>AND('5to. Bach_A'!M23,"AAAAAFz/47A=")</f>
        <v>#VALUE!</v>
      </c>
      <c r="FV37" t="e">
        <f>AND('5to. Bach_A'!N23,"AAAAAFz/47E=")</f>
        <v>#VALUE!</v>
      </c>
      <c r="FW37" t="e">
        <f>AND('5to. Bach_A'!O23,"AAAAAFz/47I=")</f>
        <v>#VALUE!</v>
      </c>
      <c r="FX37" t="e">
        <f>AND('5to. Bach_A'!P23,"AAAAAFz/47M=")</f>
        <v>#VALUE!</v>
      </c>
      <c r="FY37" t="e">
        <f>AND('5to. Bach_A'!Q23,"AAAAAFz/47Q=")</f>
        <v>#VALUE!</v>
      </c>
      <c r="FZ37" t="e">
        <f>AND('5to. Bach_A'!R23,"AAAAAFz/47U=")</f>
        <v>#VALUE!</v>
      </c>
      <c r="GA37" t="e">
        <f>AND('5to. Bach_A'!S23,"AAAAAFz/47Y=")</f>
        <v>#VALUE!</v>
      </c>
      <c r="GB37" t="e">
        <f>AND('5to. Bach_A'!T23,"AAAAAFz/47c=")</f>
        <v>#VALUE!</v>
      </c>
      <c r="GC37" t="e">
        <f>AND('5to. Bach_A'!#REF!,"AAAAAFz/47g=")</f>
        <v>#REF!</v>
      </c>
      <c r="GD37" t="e">
        <f>AND('5to. Bach_A'!#REF!,"AAAAAFz/47k=")</f>
        <v>#REF!</v>
      </c>
      <c r="GE37" t="e">
        <f>AND('5to. Bach_A'!#REF!,"AAAAAFz/47o=")</f>
        <v>#REF!</v>
      </c>
      <c r="GF37" t="e">
        <f>AND('5to. Bach_A'!#REF!,"AAAAAFz/47s=")</f>
        <v>#REF!</v>
      </c>
      <c r="GG37" t="e">
        <f>AND('5to. Bach_A'!#REF!,"AAAAAFz/47w=")</f>
        <v>#REF!</v>
      </c>
      <c r="GH37">
        <f>IF('5to. Bach_A'!24:24,"AAAAAFz/470=",0)</f>
        <v>0</v>
      </c>
      <c r="GI37" t="e">
        <f>AND('5to. Bach_A'!A24,"AAAAAFz/474=")</f>
        <v>#VALUE!</v>
      </c>
      <c r="GJ37" t="e">
        <f>AND('5to. Bach_A'!B24,"AAAAAFz/478=")</f>
        <v>#VALUE!</v>
      </c>
      <c r="GK37" t="e">
        <f>AND('5to. Bach_A'!C24,"AAAAAFz/48A=")</f>
        <v>#VALUE!</v>
      </c>
      <c r="GL37" t="e">
        <f>AND('5to. Bach_A'!D24,"AAAAAFz/48E=")</f>
        <v>#VALUE!</v>
      </c>
      <c r="GM37" t="e">
        <f>AND('5to. Bach_A'!E24,"AAAAAFz/48I=")</f>
        <v>#VALUE!</v>
      </c>
      <c r="GN37" t="e">
        <f>AND('5to. Bach_A'!F24,"AAAAAFz/48M=")</f>
        <v>#VALUE!</v>
      </c>
      <c r="GO37" t="e">
        <f>AND('5to. Bach_A'!G24,"AAAAAFz/48Q=")</f>
        <v>#VALUE!</v>
      </c>
      <c r="GP37" t="e">
        <f>AND('5to. Bach_A'!H24,"AAAAAFz/48U=")</f>
        <v>#VALUE!</v>
      </c>
      <c r="GQ37" t="e">
        <f>AND('5to. Bach_A'!I24,"AAAAAFz/48Y=")</f>
        <v>#VALUE!</v>
      </c>
      <c r="GR37" t="e">
        <f>AND('5to. Bach_A'!J24,"AAAAAFz/48c=")</f>
        <v>#VALUE!</v>
      </c>
      <c r="GS37" t="e">
        <f>AND('5to. Bach_A'!K24,"AAAAAFz/48g=")</f>
        <v>#VALUE!</v>
      </c>
      <c r="GT37" t="e">
        <f>AND('5to. Bach_A'!L24,"AAAAAFz/48k=")</f>
        <v>#VALUE!</v>
      </c>
      <c r="GU37" t="e">
        <f>AND('5to. Bach_A'!M24,"AAAAAFz/48o=")</f>
        <v>#VALUE!</v>
      </c>
      <c r="GV37" t="e">
        <f>AND('5to. Bach_A'!N24,"AAAAAFz/48s=")</f>
        <v>#VALUE!</v>
      </c>
      <c r="GW37" t="e">
        <f>AND('5to. Bach_A'!O24,"AAAAAFz/48w=")</f>
        <v>#VALUE!</v>
      </c>
      <c r="GX37" t="e">
        <f>AND('5to. Bach_A'!P24,"AAAAAFz/480=")</f>
        <v>#VALUE!</v>
      </c>
      <c r="GY37" t="e">
        <f>AND('5to. Bach_A'!Q24,"AAAAAFz/484=")</f>
        <v>#VALUE!</v>
      </c>
      <c r="GZ37" t="e">
        <f>AND('5to. Bach_A'!R24,"AAAAAFz/488=")</f>
        <v>#VALUE!</v>
      </c>
      <c r="HA37" t="e">
        <f>AND('5to. Bach_A'!S24,"AAAAAFz/49A=")</f>
        <v>#VALUE!</v>
      </c>
      <c r="HB37" t="e">
        <f>AND('5to. Bach_A'!T24,"AAAAAFz/49E=")</f>
        <v>#VALUE!</v>
      </c>
      <c r="HC37" t="e">
        <f>AND('5to. Bach_A'!#REF!,"AAAAAFz/49I=")</f>
        <v>#REF!</v>
      </c>
      <c r="HD37" t="e">
        <f>AND('5to. Bach_A'!#REF!,"AAAAAFz/49M=")</f>
        <v>#REF!</v>
      </c>
      <c r="HE37" t="e">
        <f>AND('5to. Bach_A'!#REF!,"AAAAAFz/49Q=")</f>
        <v>#REF!</v>
      </c>
      <c r="HF37" t="e">
        <f>AND('5to. Bach_A'!#REF!,"AAAAAFz/49U=")</f>
        <v>#REF!</v>
      </c>
      <c r="HG37" t="e">
        <f>AND('5to. Bach_A'!#REF!,"AAAAAFz/49Y=")</f>
        <v>#REF!</v>
      </c>
      <c r="HH37">
        <f>IF('5to. Bach_A'!25:25,"AAAAAFz/49c=",0)</f>
        <v>0</v>
      </c>
      <c r="HI37" t="e">
        <f>AND('5to. Bach_A'!A25,"AAAAAFz/49g=")</f>
        <v>#VALUE!</v>
      </c>
      <c r="HJ37" t="e">
        <f>AND('5to. Bach_A'!B25,"AAAAAFz/49k=")</f>
        <v>#VALUE!</v>
      </c>
      <c r="HK37" t="e">
        <f>AND('5to. Bach_A'!C25,"AAAAAFz/49o=")</f>
        <v>#VALUE!</v>
      </c>
      <c r="HL37" t="e">
        <f>AND('5to. Bach_A'!D25,"AAAAAFz/49s=")</f>
        <v>#VALUE!</v>
      </c>
      <c r="HM37" t="e">
        <f>AND('5to. Bach_A'!E25,"AAAAAFz/49w=")</f>
        <v>#VALUE!</v>
      </c>
      <c r="HN37" t="e">
        <f>AND('5to. Bach_A'!F25,"AAAAAFz/490=")</f>
        <v>#VALUE!</v>
      </c>
      <c r="HO37" t="e">
        <f>AND('5to. Bach_A'!G25,"AAAAAFz/494=")</f>
        <v>#VALUE!</v>
      </c>
      <c r="HP37" t="e">
        <f>AND('5to. Bach_A'!H25,"AAAAAFz/498=")</f>
        <v>#VALUE!</v>
      </c>
      <c r="HQ37" t="e">
        <f>AND('5to. Bach_A'!I25,"AAAAAFz/4+A=")</f>
        <v>#VALUE!</v>
      </c>
      <c r="HR37" t="e">
        <f>AND('5to. Bach_A'!J25,"AAAAAFz/4+E=")</f>
        <v>#VALUE!</v>
      </c>
      <c r="HS37" t="e">
        <f>AND('5to. Bach_A'!K25,"AAAAAFz/4+I=")</f>
        <v>#VALUE!</v>
      </c>
      <c r="HT37" t="e">
        <f>AND('5to. Bach_A'!L25,"AAAAAFz/4+M=")</f>
        <v>#VALUE!</v>
      </c>
      <c r="HU37" t="e">
        <f>AND('5to. Bach_A'!M25,"AAAAAFz/4+Q=")</f>
        <v>#VALUE!</v>
      </c>
      <c r="HV37" t="e">
        <f>AND('5to. Bach_A'!N25,"AAAAAFz/4+U=")</f>
        <v>#VALUE!</v>
      </c>
      <c r="HW37" t="e">
        <f>AND('5to. Bach_A'!O25,"AAAAAFz/4+Y=")</f>
        <v>#VALUE!</v>
      </c>
      <c r="HX37" t="e">
        <f>AND('5to. Bach_A'!P25,"AAAAAFz/4+c=")</f>
        <v>#VALUE!</v>
      </c>
      <c r="HY37" t="e">
        <f>AND('5to. Bach_A'!Q25,"AAAAAFz/4+g=")</f>
        <v>#VALUE!</v>
      </c>
      <c r="HZ37" t="e">
        <f>AND('5to. Bach_A'!R25,"AAAAAFz/4+k=")</f>
        <v>#VALUE!</v>
      </c>
      <c r="IA37" t="e">
        <f>AND('5to. Bach_A'!S25,"AAAAAFz/4+o=")</f>
        <v>#VALUE!</v>
      </c>
      <c r="IB37" t="e">
        <f>AND('5to. Bach_A'!T25,"AAAAAFz/4+s=")</f>
        <v>#VALUE!</v>
      </c>
      <c r="IC37" t="e">
        <f>AND('5to. Bach_A'!#REF!,"AAAAAFz/4+w=")</f>
        <v>#REF!</v>
      </c>
      <c r="ID37" t="e">
        <f>AND('5to. Bach_A'!#REF!,"AAAAAFz/4+0=")</f>
        <v>#REF!</v>
      </c>
      <c r="IE37" t="e">
        <f>AND('5to. Bach_A'!#REF!,"AAAAAFz/4+4=")</f>
        <v>#REF!</v>
      </c>
      <c r="IF37" t="e">
        <f>AND('5to. Bach_A'!#REF!,"AAAAAFz/4+8=")</f>
        <v>#REF!</v>
      </c>
      <c r="IG37" t="e">
        <f>AND('5to. Bach_A'!#REF!,"AAAAAFz/4/A=")</f>
        <v>#REF!</v>
      </c>
      <c r="IH37">
        <f>IF('5to. Bach_A'!26:26,"AAAAAFz/4/E=",0)</f>
        <v>0</v>
      </c>
      <c r="II37" t="e">
        <f>AND('5to. Bach_A'!A26,"AAAAAFz/4/I=")</f>
        <v>#VALUE!</v>
      </c>
      <c r="IJ37" t="e">
        <f>AND('5to. Bach_A'!B26,"AAAAAFz/4/M=")</f>
        <v>#VALUE!</v>
      </c>
      <c r="IK37" t="e">
        <f>AND('5to. Bach_A'!C26,"AAAAAFz/4/Q=")</f>
        <v>#VALUE!</v>
      </c>
      <c r="IL37" t="e">
        <f>AND('5to. Bach_A'!D26,"AAAAAFz/4/U=")</f>
        <v>#VALUE!</v>
      </c>
      <c r="IM37" t="e">
        <f>AND('5to. Bach_A'!E26,"AAAAAFz/4/Y=")</f>
        <v>#VALUE!</v>
      </c>
      <c r="IN37" t="e">
        <f>AND('5to. Bach_A'!F26,"AAAAAFz/4/c=")</f>
        <v>#VALUE!</v>
      </c>
      <c r="IO37" t="e">
        <f>AND('5to. Bach_A'!G26,"AAAAAFz/4/g=")</f>
        <v>#VALUE!</v>
      </c>
      <c r="IP37" t="e">
        <f>AND('5to. Bach_A'!H26,"AAAAAFz/4/k=")</f>
        <v>#VALUE!</v>
      </c>
      <c r="IQ37" t="e">
        <f>AND('5to. Bach_A'!I26,"AAAAAFz/4/o=")</f>
        <v>#VALUE!</v>
      </c>
      <c r="IR37" t="e">
        <f>AND('5to. Bach_A'!J26,"AAAAAFz/4/s=")</f>
        <v>#VALUE!</v>
      </c>
      <c r="IS37" t="e">
        <f>AND('5to. Bach_A'!K26,"AAAAAFz/4/w=")</f>
        <v>#VALUE!</v>
      </c>
      <c r="IT37" t="e">
        <f>AND('5to. Bach_A'!L26,"AAAAAFz/4/0=")</f>
        <v>#VALUE!</v>
      </c>
      <c r="IU37" t="e">
        <f>AND('5to. Bach_A'!M26,"AAAAAFz/4/4=")</f>
        <v>#VALUE!</v>
      </c>
      <c r="IV37" t="e">
        <f>AND('5to. Bach_A'!N26,"AAAAAFz/4/8=")</f>
        <v>#VALUE!</v>
      </c>
    </row>
    <row r="38" spans="1:256">
      <c r="A38" t="e">
        <f>AND('5to. Bach_A'!O26,"AAAAAG/x8gA=")</f>
        <v>#VALUE!</v>
      </c>
      <c r="B38" t="e">
        <f>AND('5to. Bach_A'!P26,"AAAAAG/x8gE=")</f>
        <v>#VALUE!</v>
      </c>
      <c r="C38" t="e">
        <f>AND('5to. Bach_A'!Q26,"AAAAAG/x8gI=")</f>
        <v>#VALUE!</v>
      </c>
      <c r="D38" t="e">
        <f>AND('5to. Bach_A'!R26,"AAAAAG/x8gM=")</f>
        <v>#VALUE!</v>
      </c>
      <c r="E38" t="e">
        <f>AND('5to. Bach_A'!S26,"AAAAAG/x8gQ=")</f>
        <v>#VALUE!</v>
      </c>
      <c r="F38" t="e">
        <f>AND('5to. Bach_A'!T26,"AAAAAG/x8gU=")</f>
        <v>#VALUE!</v>
      </c>
      <c r="G38" t="e">
        <f>AND('5to. Bach_A'!#REF!,"AAAAAG/x8gY=")</f>
        <v>#REF!</v>
      </c>
      <c r="H38" t="e">
        <f>AND('5to. Bach_A'!#REF!,"AAAAAG/x8gc=")</f>
        <v>#REF!</v>
      </c>
      <c r="I38" t="e">
        <f>AND('5to. Bach_A'!#REF!,"AAAAAG/x8gg=")</f>
        <v>#REF!</v>
      </c>
      <c r="J38" t="e">
        <f>AND('5to. Bach_A'!#REF!,"AAAAAG/x8gk=")</f>
        <v>#REF!</v>
      </c>
      <c r="K38" t="e">
        <f>AND('5to. Bach_A'!#REF!,"AAAAAG/x8go=")</f>
        <v>#REF!</v>
      </c>
      <c r="L38">
        <f>IF('5to. Bach_A'!27:27,"AAAAAG/x8gs=",0)</f>
        <v>0</v>
      </c>
      <c r="M38" t="e">
        <f>AND('5to. Bach_A'!A27,"AAAAAG/x8gw=")</f>
        <v>#VALUE!</v>
      </c>
      <c r="N38" t="e">
        <f>AND('5to. Bach_A'!B27,"AAAAAG/x8g0=")</f>
        <v>#VALUE!</v>
      </c>
      <c r="O38" t="e">
        <f>AND('5to. Bach_A'!C27,"AAAAAG/x8g4=")</f>
        <v>#VALUE!</v>
      </c>
      <c r="P38" t="e">
        <f>AND('5to. Bach_A'!D27,"AAAAAG/x8g8=")</f>
        <v>#VALUE!</v>
      </c>
      <c r="Q38" t="e">
        <f>AND('5to. Bach_A'!E27,"AAAAAG/x8hA=")</f>
        <v>#VALUE!</v>
      </c>
      <c r="R38" t="e">
        <f>AND('5to. Bach_A'!F27,"AAAAAG/x8hE=")</f>
        <v>#VALUE!</v>
      </c>
      <c r="S38" t="e">
        <f>AND('5to. Bach_A'!G27,"AAAAAG/x8hI=")</f>
        <v>#VALUE!</v>
      </c>
      <c r="T38" t="e">
        <f>AND('5to. Bach_A'!H27,"AAAAAG/x8hM=")</f>
        <v>#VALUE!</v>
      </c>
      <c r="U38" t="e">
        <f>AND('5to. Bach_A'!I27,"AAAAAG/x8hQ=")</f>
        <v>#VALUE!</v>
      </c>
      <c r="V38" t="e">
        <f>AND('5to. Bach_A'!J27,"AAAAAG/x8hU=")</f>
        <v>#VALUE!</v>
      </c>
      <c r="W38" t="e">
        <f>AND('5to. Bach_A'!K27,"AAAAAG/x8hY=")</f>
        <v>#VALUE!</v>
      </c>
      <c r="X38" t="e">
        <f>AND('5to. Bach_A'!L27,"AAAAAG/x8hc=")</f>
        <v>#VALUE!</v>
      </c>
      <c r="Y38" t="e">
        <f>AND('5to. Bach_A'!M27,"AAAAAG/x8hg=")</f>
        <v>#VALUE!</v>
      </c>
      <c r="Z38" t="e">
        <f>AND('5to. Bach_A'!N27,"AAAAAG/x8hk=")</f>
        <v>#VALUE!</v>
      </c>
      <c r="AA38" t="e">
        <f>AND('5to. Bach_A'!O27,"AAAAAG/x8ho=")</f>
        <v>#VALUE!</v>
      </c>
      <c r="AB38" t="e">
        <f>AND('5to. Bach_A'!P27,"AAAAAG/x8hs=")</f>
        <v>#VALUE!</v>
      </c>
      <c r="AC38" t="e">
        <f>AND('5to. Bach_A'!Q27,"AAAAAG/x8hw=")</f>
        <v>#VALUE!</v>
      </c>
      <c r="AD38" t="e">
        <f>AND('5to. Bach_A'!R27,"AAAAAG/x8h0=")</f>
        <v>#VALUE!</v>
      </c>
      <c r="AE38" t="e">
        <f>AND('5to. Bach_A'!S27,"AAAAAG/x8h4=")</f>
        <v>#VALUE!</v>
      </c>
      <c r="AF38" t="e">
        <f>AND('5to. Bach_A'!T27,"AAAAAG/x8h8=")</f>
        <v>#VALUE!</v>
      </c>
      <c r="AG38" t="e">
        <f>AND('5to. Bach_A'!#REF!,"AAAAAG/x8iA=")</f>
        <v>#REF!</v>
      </c>
      <c r="AH38" t="e">
        <f>AND('5to. Bach_A'!#REF!,"AAAAAG/x8iE=")</f>
        <v>#REF!</v>
      </c>
      <c r="AI38" t="e">
        <f>AND('5to. Bach_A'!#REF!,"AAAAAG/x8iI=")</f>
        <v>#REF!</v>
      </c>
      <c r="AJ38" t="e">
        <f>AND('5to. Bach_A'!#REF!,"AAAAAG/x8iM=")</f>
        <v>#REF!</v>
      </c>
      <c r="AK38" t="e">
        <f>AND('5to. Bach_A'!#REF!,"AAAAAG/x8iQ=")</f>
        <v>#REF!</v>
      </c>
      <c r="AL38">
        <f>IF('5to. Bach_A'!28:28,"AAAAAG/x8iU=",0)</f>
        <v>0</v>
      </c>
      <c r="AM38" t="e">
        <f>AND('5to. Bach_A'!A28,"AAAAAG/x8iY=")</f>
        <v>#VALUE!</v>
      </c>
      <c r="AN38" t="e">
        <f>AND('5to. Bach_A'!B28,"AAAAAG/x8ic=")</f>
        <v>#VALUE!</v>
      </c>
      <c r="AO38" t="e">
        <f>AND('5to. Bach_A'!C28,"AAAAAG/x8ig=")</f>
        <v>#VALUE!</v>
      </c>
      <c r="AP38" t="e">
        <f>AND('5to. Bach_A'!D28,"AAAAAG/x8ik=")</f>
        <v>#VALUE!</v>
      </c>
      <c r="AQ38" t="e">
        <f>AND('5to. Bach_A'!E28,"AAAAAG/x8io=")</f>
        <v>#VALUE!</v>
      </c>
      <c r="AR38" t="e">
        <f>AND('5to. Bach_A'!F28,"AAAAAG/x8is=")</f>
        <v>#VALUE!</v>
      </c>
      <c r="AS38" t="e">
        <f>AND('5to. Bach_A'!G28,"AAAAAG/x8iw=")</f>
        <v>#VALUE!</v>
      </c>
      <c r="AT38" t="e">
        <f>AND('5to. Bach_A'!H28,"AAAAAG/x8i0=")</f>
        <v>#VALUE!</v>
      </c>
      <c r="AU38" t="e">
        <f>AND('5to. Bach_A'!I28,"AAAAAG/x8i4=")</f>
        <v>#VALUE!</v>
      </c>
      <c r="AV38" t="e">
        <f>AND('5to. Bach_A'!J28,"AAAAAG/x8i8=")</f>
        <v>#VALUE!</v>
      </c>
      <c r="AW38" t="e">
        <f>AND('5to. Bach_A'!K28,"AAAAAG/x8jA=")</f>
        <v>#VALUE!</v>
      </c>
      <c r="AX38" t="e">
        <f>AND('5to. Bach_A'!L28,"AAAAAG/x8jE=")</f>
        <v>#VALUE!</v>
      </c>
      <c r="AY38" t="e">
        <f>AND('5to. Bach_A'!M28,"AAAAAG/x8jI=")</f>
        <v>#VALUE!</v>
      </c>
      <c r="AZ38" t="e">
        <f>AND('5to. Bach_A'!N28,"AAAAAG/x8jM=")</f>
        <v>#VALUE!</v>
      </c>
      <c r="BA38" t="e">
        <f>AND('5to. Bach_A'!O28,"AAAAAG/x8jQ=")</f>
        <v>#VALUE!</v>
      </c>
      <c r="BB38" t="e">
        <f>AND('5to. Bach_A'!P28,"AAAAAG/x8jU=")</f>
        <v>#VALUE!</v>
      </c>
      <c r="BC38" t="e">
        <f>AND('5to. Bach_A'!Q28,"AAAAAG/x8jY=")</f>
        <v>#VALUE!</v>
      </c>
      <c r="BD38" t="e">
        <f>AND('5to. Bach_A'!R28,"AAAAAG/x8jc=")</f>
        <v>#VALUE!</v>
      </c>
      <c r="BE38" t="e">
        <f>AND('5to. Bach_A'!S28,"AAAAAG/x8jg=")</f>
        <v>#VALUE!</v>
      </c>
      <c r="BF38" t="e">
        <f>AND('5to. Bach_A'!T28,"AAAAAG/x8jk=")</f>
        <v>#VALUE!</v>
      </c>
      <c r="BG38" t="e">
        <f>AND('5to. Bach_A'!#REF!,"AAAAAG/x8jo=")</f>
        <v>#REF!</v>
      </c>
      <c r="BH38" t="e">
        <f>AND('5to. Bach_A'!#REF!,"AAAAAG/x8js=")</f>
        <v>#REF!</v>
      </c>
      <c r="BI38" t="e">
        <f>AND('5to. Bach_A'!#REF!,"AAAAAG/x8jw=")</f>
        <v>#REF!</v>
      </c>
      <c r="BJ38" t="e">
        <f>AND('5to. Bach_A'!#REF!,"AAAAAG/x8j0=")</f>
        <v>#REF!</v>
      </c>
      <c r="BK38" t="e">
        <f>AND('5to. Bach_A'!#REF!,"AAAAAG/x8j4=")</f>
        <v>#REF!</v>
      </c>
      <c r="BL38">
        <f>IF('5to. Bach_A'!29:29,"AAAAAG/x8j8=",0)</f>
        <v>0</v>
      </c>
      <c r="BM38" t="e">
        <f>AND('5to. Bach_A'!A29,"AAAAAG/x8kA=")</f>
        <v>#VALUE!</v>
      </c>
      <c r="BN38" t="e">
        <f>AND('5to. Bach_A'!B29,"AAAAAG/x8kE=")</f>
        <v>#VALUE!</v>
      </c>
      <c r="BO38" t="e">
        <f>AND('5to. Bach_A'!C29,"AAAAAG/x8kI=")</f>
        <v>#VALUE!</v>
      </c>
      <c r="BP38" t="e">
        <f>AND('5to. Bach_A'!D29,"AAAAAG/x8kM=")</f>
        <v>#VALUE!</v>
      </c>
      <c r="BQ38" t="e">
        <f>AND('5to. Bach_A'!E29,"AAAAAG/x8kQ=")</f>
        <v>#VALUE!</v>
      </c>
      <c r="BR38" t="e">
        <f>AND('5to. Bach_A'!F29,"AAAAAG/x8kU=")</f>
        <v>#VALUE!</v>
      </c>
      <c r="BS38" t="e">
        <f>AND('5to. Bach_A'!G29,"AAAAAG/x8kY=")</f>
        <v>#VALUE!</v>
      </c>
      <c r="BT38" t="e">
        <f>AND('5to. Bach_A'!H29,"AAAAAG/x8kc=")</f>
        <v>#VALUE!</v>
      </c>
      <c r="BU38" t="e">
        <f>AND('5to. Bach_A'!I29,"AAAAAG/x8kg=")</f>
        <v>#VALUE!</v>
      </c>
      <c r="BV38" t="e">
        <f>AND('5to. Bach_A'!J29,"AAAAAG/x8kk=")</f>
        <v>#VALUE!</v>
      </c>
      <c r="BW38" t="e">
        <f>AND('5to. Bach_A'!K29,"AAAAAG/x8ko=")</f>
        <v>#VALUE!</v>
      </c>
      <c r="BX38" t="e">
        <f>AND('5to. Bach_A'!L29,"AAAAAG/x8ks=")</f>
        <v>#VALUE!</v>
      </c>
      <c r="BY38" t="e">
        <f>AND('5to. Bach_A'!M29,"AAAAAG/x8kw=")</f>
        <v>#VALUE!</v>
      </c>
      <c r="BZ38" t="e">
        <f>AND('5to. Bach_A'!N29,"AAAAAG/x8k0=")</f>
        <v>#VALUE!</v>
      </c>
      <c r="CA38" t="e">
        <f>AND('5to. Bach_A'!O29,"AAAAAG/x8k4=")</f>
        <v>#VALUE!</v>
      </c>
      <c r="CB38" t="e">
        <f>AND('5to. Bach_A'!P29,"AAAAAG/x8k8=")</f>
        <v>#VALUE!</v>
      </c>
      <c r="CC38" t="e">
        <f>AND('5to. Bach_A'!Q29,"AAAAAG/x8lA=")</f>
        <v>#VALUE!</v>
      </c>
      <c r="CD38" t="e">
        <f>AND('5to. Bach_A'!R29,"AAAAAG/x8lE=")</f>
        <v>#VALUE!</v>
      </c>
      <c r="CE38" t="e">
        <f>AND('5to. Bach_A'!S29,"AAAAAG/x8lI=")</f>
        <v>#VALUE!</v>
      </c>
      <c r="CF38" t="e">
        <f>AND('5to. Bach_A'!T29,"AAAAAG/x8lM=")</f>
        <v>#VALUE!</v>
      </c>
      <c r="CG38" t="e">
        <f>AND('5to. Bach_A'!#REF!,"AAAAAG/x8lQ=")</f>
        <v>#REF!</v>
      </c>
      <c r="CH38" t="e">
        <f>AND('5to. Bach_A'!#REF!,"AAAAAG/x8lU=")</f>
        <v>#REF!</v>
      </c>
      <c r="CI38" t="e">
        <f>AND('5to. Bach_A'!#REF!,"AAAAAG/x8lY=")</f>
        <v>#REF!</v>
      </c>
      <c r="CJ38" t="e">
        <f>AND('5to. Bach_A'!#REF!,"AAAAAG/x8lc=")</f>
        <v>#REF!</v>
      </c>
      <c r="CK38" t="e">
        <f>AND('5to. Bach_A'!#REF!,"AAAAAG/x8lg=")</f>
        <v>#REF!</v>
      </c>
      <c r="CL38">
        <f>IF('5to. Bach_A'!30:30,"AAAAAG/x8lk=",0)</f>
        <v>0</v>
      </c>
      <c r="CM38" t="e">
        <f>AND('5to. Bach_A'!A30,"AAAAAG/x8lo=")</f>
        <v>#VALUE!</v>
      </c>
      <c r="CN38" t="e">
        <f>AND('5to. Bach_A'!B30,"AAAAAG/x8ls=")</f>
        <v>#VALUE!</v>
      </c>
      <c r="CO38" t="e">
        <f>AND('5to. Bach_A'!C30,"AAAAAG/x8lw=")</f>
        <v>#VALUE!</v>
      </c>
      <c r="CP38" t="e">
        <f>AND('5to. Bach_A'!D30,"AAAAAG/x8l0=")</f>
        <v>#VALUE!</v>
      </c>
      <c r="CQ38" t="e">
        <f>AND('5to. Bach_A'!E30,"AAAAAG/x8l4=")</f>
        <v>#VALUE!</v>
      </c>
      <c r="CR38" t="e">
        <f>AND('5to. Bach_A'!F30,"AAAAAG/x8l8=")</f>
        <v>#VALUE!</v>
      </c>
      <c r="CS38" t="e">
        <f>AND('5to. Bach_A'!G30,"AAAAAG/x8mA=")</f>
        <v>#VALUE!</v>
      </c>
      <c r="CT38" t="e">
        <f>AND('5to. Bach_A'!H30,"AAAAAG/x8mE=")</f>
        <v>#VALUE!</v>
      </c>
      <c r="CU38" t="e">
        <f>AND('5to. Bach_A'!I30,"AAAAAG/x8mI=")</f>
        <v>#VALUE!</v>
      </c>
      <c r="CV38" t="e">
        <f>AND('5to. Bach_A'!J30,"AAAAAG/x8mM=")</f>
        <v>#VALUE!</v>
      </c>
      <c r="CW38" t="e">
        <f>AND('5to. Bach_A'!K30,"AAAAAG/x8mQ=")</f>
        <v>#VALUE!</v>
      </c>
      <c r="CX38" t="e">
        <f>AND('5to. Bach_A'!L30,"AAAAAG/x8mU=")</f>
        <v>#VALUE!</v>
      </c>
      <c r="CY38" t="e">
        <f>AND('5to. Bach_A'!M30,"AAAAAG/x8mY=")</f>
        <v>#VALUE!</v>
      </c>
      <c r="CZ38" t="e">
        <f>AND('5to. Bach_A'!N30,"AAAAAG/x8mc=")</f>
        <v>#VALUE!</v>
      </c>
      <c r="DA38" t="e">
        <f>AND('5to. Bach_A'!O30,"AAAAAG/x8mg=")</f>
        <v>#VALUE!</v>
      </c>
      <c r="DB38" t="e">
        <f>AND('5to. Bach_A'!P30,"AAAAAG/x8mk=")</f>
        <v>#VALUE!</v>
      </c>
      <c r="DC38" t="e">
        <f>AND('5to. Bach_A'!Q30,"AAAAAG/x8mo=")</f>
        <v>#VALUE!</v>
      </c>
      <c r="DD38" t="e">
        <f>AND('5to. Bach_A'!R30,"AAAAAG/x8ms=")</f>
        <v>#VALUE!</v>
      </c>
      <c r="DE38" t="e">
        <f>AND('5to. Bach_A'!S30,"AAAAAG/x8mw=")</f>
        <v>#VALUE!</v>
      </c>
      <c r="DF38" t="e">
        <f>AND('5to. Bach_A'!T30,"AAAAAG/x8m0=")</f>
        <v>#VALUE!</v>
      </c>
      <c r="DG38" t="e">
        <f>AND('5to. Bach_A'!#REF!,"AAAAAG/x8m4=")</f>
        <v>#REF!</v>
      </c>
      <c r="DH38" t="e">
        <f>AND('5to. Bach_A'!#REF!,"AAAAAG/x8m8=")</f>
        <v>#REF!</v>
      </c>
      <c r="DI38" t="e">
        <f>AND('5to. Bach_A'!#REF!,"AAAAAG/x8nA=")</f>
        <v>#REF!</v>
      </c>
      <c r="DJ38" t="e">
        <f>AND('5to. Bach_A'!#REF!,"AAAAAG/x8nE=")</f>
        <v>#REF!</v>
      </c>
      <c r="DK38" t="e">
        <f>AND('5to. Bach_A'!#REF!,"AAAAAG/x8nI=")</f>
        <v>#REF!</v>
      </c>
      <c r="DL38">
        <f>IF('5to. Bach_A'!31:31,"AAAAAG/x8nM=",0)</f>
        <v>0</v>
      </c>
      <c r="DM38" t="e">
        <f>AND('5to. Bach_A'!A31,"AAAAAG/x8nQ=")</f>
        <v>#VALUE!</v>
      </c>
      <c r="DN38" t="e">
        <f>AND('5to. Bach_A'!B31,"AAAAAG/x8nU=")</f>
        <v>#VALUE!</v>
      </c>
      <c r="DO38" t="e">
        <f>AND('5to. Bach_A'!C31,"AAAAAG/x8nY=")</f>
        <v>#VALUE!</v>
      </c>
      <c r="DP38" t="e">
        <f>AND('5to. Bach_A'!D31,"AAAAAG/x8nc=")</f>
        <v>#VALUE!</v>
      </c>
      <c r="DQ38" t="e">
        <f>AND('5to. Bach_A'!E31,"AAAAAG/x8ng=")</f>
        <v>#VALUE!</v>
      </c>
      <c r="DR38" t="e">
        <f>AND('5to. Bach_A'!F31,"AAAAAG/x8nk=")</f>
        <v>#VALUE!</v>
      </c>
      <c r="DS38" t="e">
        <f>AND('5to. Bach_A'!G31,"AAAAAG/x8no=")</f>
        <v>#VALUE!</v>
      </c>
      <c r="DT38" t="e">
        <f>AND('5to. Bach_A'!H31,"AAAAAG/x8ns=")</f>
        <v>#VALUE!</v>
      </c>
      <c r="DU38" t="e">
        <f>AND('5to. Bach_A'!I31,"AAAAAG/x8nw=")</f>
        <v>#VALUE!</v>
      </c>
      <c r="DV38" t="e">
        <f>AND('5to. Bach_A'!J31,"AAAAAG/x8n0=")</f>
        <v>#VALUE!</v>
      </c>
      <c r="DW38" t="e">
        <f>AND('5to. Bach_A'!K31,"AAAAAG/x8n4=")</f>
        <v>#VALUE!</v>
      </c>
      <c r="DX38" t="e">
        <f>AND('5to. Bach_A'!L31,"AAAAAG/x8n8=")</f>
        <v>#VALUE!</v>
      </c>
      <c r="DY38" t="e">
        <f>AND('5to. Bach_A'!M31,"AAAAAG/x8oA=")</f>
        <v>#VALUE!</v>
      </c>
      <c r="DZ38" t="e">
        <f>AND('5to. Bach_A'!N31,"AAAAAG/x8oE=")</f>
        <v>#VALUE!</v>
      </c>
      <c r="EA38" t="e">
        <f>AND('5to. Bach_A'!O31,"AAAAAG/x8oI=")</f>
        <v>#VALUE!</v>
      </c>
      <c r="EB38" t="e">
        <f>AND('5to. Bach_A'!P31,"AAAAAG/x8oM=")</f>
        <v>#VALUE!</v>
      </c>
      <c r="EC38" t="e">
        <f>AND('5to. Bach_A'!Q31,"AAAAAG/x8oQ=")</f>
        <v>#VALUE!</v>
      </c>
      <c r="ED38" t="e">
        <f>AND('5to. Bach_A'!R31,"AAAAAG/x8oU=")</f>
        <v>#VALUE!</v>
      </c>
      <c r="EE38" t="e">
        <f>AND('5to. Bach_A'!S31,"AAAAAG/x8oY=")</f>
        <v>#VALUE!</v>
      </c>
      <c r="EF38" t="e">
        <f>AND('5to. Bach_A'!T31,"AAAAAG/x8oc=")</f>
        <v>#VALUE!</v>
      </c>
      <c r="EG38" t="e">
        <f>AND('5to. Bach_A'!#REF!,"AAAAAG/x8og=")</f>
        <v>#REF!</v>
      </c>
      <c r="EH38" t="e">
        <f>AND('5to. Bach_A'!#REF!,"AAAAAG/x8ok=")</f>
        <v>#REF!</v>
      </c>
      <c r="EI38" t="e">
        <f>AND('5to. Bach_A'!#REF!,"AAAAAG/x8oo=")</f>
        <v>#REF!</v>
      </c>
      <c r="EJ38" t="e">
        <f>AND('5to. Bach_A'!#REF!,"AAAAAG/x8os=")</f>
        <v>#REF!</v>
      </c>
      <c r="EK38" t="e">
        <f>AND('5to. Bach_A'!#REF!,"AAAAAG/x8ow=")</f>
        <v>#REF!</v>
      </c>
      <c r="EL38" t="e">
        <f>IF('5to. Bach_A'!#REF!,"AAAAAG/x8o0=",0)</f>
        <v>#REF!</v>
      </c>
      <c r="EM38" t="e">
        <f>AND('5to. Bach_A'!#REF!,"AAAAAG/x8o4=")</f>
        <v>#REF!</v>
      </c>
      <c r="EN38" t="e">
        <f>AND('5to. Bach_A'!#REF!,"AAAAAG/x8o8=")</f>
        <v>#REF!</v>
      </c>
      <c r="EO38" t="e">
        <f>AND('5to. Bach_A'!#REF!,"AAAAAG/x8pA=")</f>
        <v>#REF!</v>
      </c>
      <c r="EP38" t="e">
        <f>AND('5to. Bach_A'!#REF!,"AAAAAG/x8pE=")</f>
        <v>#REF!</v>
      </c>
      <c r="EQ38" t="e">
        <f>AND('5to. Bach_A'!#REF!,"AAAAAG/x8pI=")</f>
        <v>#REF!</v>
      </c>
      <c r="ER38" t="e">
        <f>AND('5to. Bach_A'!#REF!,"AAAAAG/x8pM=")</f>
        <v>#REF!</v>
      </c>
      <c r="ES38" t="e">
        <f>AND('5to. Bach_A'!#REF!,"AAAAAG/x8pQ=")</f>
        <v>#REF!</v>
      </c>
      <c r="ET38" t="e">
        <f>AND('5to. Bach_A'!#REF!,"AAAAAG/x8pU=")</f>
        <v>#REF!</v>
      </c>
      <c r="EU38" t="e">
        <f>AND('5to. Bach_A'!#REF!,"AAAAAG/x8pY=")</f>
        <v>#REF!</v>
      </c>
      <c r="EV38" t="e">
        <f>AND('5to. Bach_A'!#REF!,"AAAAAG/x8pc=")</f>
        <v>#REF!</v>
      </c>
      <c r="EW38" t="e">
        <f>AND('5to. Bach_A'!#REF!,"AAAAAG/x8pg=")</f>
        <v>#REF!</v>
      </c>
      <c r="EX38" t="e">
        <f>AND('5to. Bach_A'!#REF!,"AAAAAG/x8pk=")</f>
        <v>#REF!</v>
      </c>
      <c r="EY38" t="e">
        <f>AND('5to. Bach_A'!#REF!,"AAAAAG/x8po=")</f>
        <v>#REF!</v>
      </c>
      <c r="EZ38" t="e">
        <f>AND('5to. Bach_A'!#REF!,"AAAAAG/x8ps=")</f>
        <v>#REF!</v>
      </c>
      <c r="FA38" t="e">
        <f>AND('5to. Bach_A'!#REF!,"AAAAAG/x8pw=")</f>
        <v>#REF!</v>
      </c>
      <c r="FB38" t="e">
        <f>AND('5to. Bach_A'!#REF!,"AAAAAG/x8p0=")</f>
        <v>#REF!</v>
      </c>
      <c r="FC38" t="e">
        <f>AND('5to. Bach_A'!#REF!,"AAAAAG/x8p4=")</f>
        <v>#REF!</v>
      </c>
      <c r="FD38" t="e">
        <f>AND('5to. Bach_A'!#REF!,"AAAAAG/x8p8=")</f>
        <v>#REF!</v>
      </c>
      <c r="FE38" t="e">
        <f>AND('5to. Bach_A'!#REF!,"AAAAAG/x8qA=")</f>
        <v>#REF!</v>
      </c>
      <c r="FF38" t="e">
        <f>AND('5to. Bach_A'!#REF!,"AAAAAG/x8qE=")</f>
        <v>#REF!</v>
      </c>
      <c r="FG38" t="e">
        <f>AND('5to. Bach_A'!#REF!,"AAAAAG/x8qI=")</f>
        <v>#REF!</v>
      </c>
      <c r="FH38" t="e">
        <f>AND('5to. Bach_A'!#REF!,"AAAAAG/x8qM=")</f>
        <v>#REF!</v>
      </c>
      <c r="FI38" t="e">
        <f>AND('5to. Bach_A'!#REF!,"AAAAAG/x8qQ=")</f>
        <v>#REF!</v>
      </c>
      <c r="FJ38" t="e">
        <f>AND('5to. Bach_A'!#REF!,"AAAAAG/x8qU=")</f>
        <v>#REF!</v>
      </c>
      <c r="FK38" t="e">
        <f>AND('5to. Bach_A'!#REF!,"AAAAAG/x8qY=")</f>
        <v>#REF!</v>
      </c>
      <c r="FL38" t="e">
        <f>IF('5to. Bach_A'!#REF!,"AAAAAG/x8qc=",0)</f>
        <v>#REF!</v>
      </c>
      <c r="FM38" t="e">
        <f>AND('5to. Bach_A'!#REF!,"AAAAAG/x8qg=")</f>
        <v>#REF!</v>
      </c>
      <c r="FN38" t="e">
        <f>AND('5to. Bach_A'!#REF!,"AAAAAG/x8qk=")</f>
        <v>#REF!</v>
      </c>
      <c r="FO38" t="e">
        <f>AND('5to. Bach_A'!#REF!,"AAAAAG/x8qo=")</f>
        <v>#REF!</v>
      </c>
      <c r="FP38" t="e">
        <f>AND('5to. Bach_A'!#REF!,"AAAAAG/x8qs=")</f>
        <v>#REF!</v>
      </c>
      <c r="FQ38" t="e">
        <f>AND('5to. Bach_A'!#REF!,"AAAAAG/x8qw=")</f>
        <v>#REF!</v>
      </c>
      <c r="FR38" t="e">
        <f>AND('5to. Bach_A'!#REF!,"AAAAAG/x8q0=")</f>
        <v>#REF!</v>
      </c>
      <c r="FS38" t="e">
        <f>AND('5to. Bach_A'!#REF!,"AAAAAG/x8q4=")</f>
        <v>#REF!</v>
      </c>
      <c r="FT38" t="e">
        <f>AND('5to. Bach_A'!#REF!,"AAAAAG/x8q8=")</f>
        <v>#REF!</v>
      </c>
      <c r="FU38" t="e">
        <f>AND('5to. Bach_A'!#REF!,"AAAAAG/x8rA=")</f>
        <v>#REF!</v>
      </c>
      <c r="FV38" t="e">
        <f>AND('5to. Bach_A'!#REF!,"AAAAAG/x8rE=")</f>
        <v>#REF!</v>
      </c>
      <c r="FW38" t="e">
        <f>AND('5to. Bach_A'!#REF!,"AAAAAG/x8rI=")</f>
        <v>#REF!</v>
      </c>
      <c r="FX38" t="e">
        <f>AND('5to. Bach_A'!#REF!,"AAAAAG/x8rM=")</f>
        <v>#REF!</v>
      </c>
      <c r="FY38" t="e">
        <f>AND('5to. Bach_A'!#REF!,"AAAAAG/x8rQ=")</f>
        <v>#REF!</v>
      </c>
      <c r="FZ38" t="e">
        <f>AND('5to. Bach_A'!#REF!,"AAAAAG/x8rU=")</f>
        <v>#REF!</v>
      </c>
      <c r="GA38" t="e">
        <f>AND('5to. Bach_A'!#REF!,"AAAAAG/x8rY=")</f>
        <v>#REF!</v>
      </c>
      <c r="GB38" t="e">
        <f>AND('5to. Bach_A'!#REF!,"AAAAAG/x8rc=")</f>
        <v>#REF!</v>
      </c>
      <c r="GC38" t="e">
        <f>AND('5to. Bach_A'!#REF!,"AAAAAG/x8rg=")</f>
        <v>#REF!</v>
      </c>
      <c r="GD38" t="e">
        <f>AND('5to. Bach_A'!#REF!,"AAAAAG/x8rk=")</f>
        <v>#REF!</v>
      </c>
      <c r="GE38" t="e">
        <f>AND('5to. Bach_A'!#REF!,"AAAAAG/x8ro=")</f>
        <v>#REF!</v>
      </c>
      <c r="GF38" t="e">
        <f>AND('5to. Bach_A'!#REF!,"AAAAAG/x8rs=")</f>
        <v>#REF!</v>
      </c>
      <c r="GG38" t="e">
        <f>AND('5to. Bach_A'!#REF!,"AAAAAG/x8rw=")</f>
        <v>#REF!</v>
      </c>
      <c r="GH38" t="e">
        <f>AND('5to. Bach_A'!#REF!,"AAAAAG/x8r0=")</f>
        <v>#REF!</v>
      </c>
      <c r="GI38" t="e">
        <f>AND('5to. Bach_A'!#REF!,"AAAAAG/x8r4=")</f>
        <v>#REF!</v>
      </c>
      <c r="GJ38" t="e">
        <f>AND('5to. Bach_A'!#REF!,"AAAAAG/x8r8=")</f>
        <v>#REF!</v>
      </c>
      <c r="GK38" t="e">
        <f>AND('5to. Bach_A'!#REF!,"AAAAAG/x8sA=")</f>
        <v>#REF!</v>
      </c>
      <c r="GL38" t="e">
        <f>IF('5to. Bach_A'!#REF!,"AAAAAG/x8sE=",0)</f>
        <v>#REF!</v>
      </c>
      <c r="GM38" t="e">
        <f>AND('5to. Bach_A'!#REF!,"AAAAAG/x8sI=")</f>
        <v>#REF!</v>
      </c>
      <c r="GN38" t="e">
        <f>AND('5to. Bach_A'!#REF!,"AAAAAG/x8sM=")</f>
        <v>#REF!</v>
      </c>
      <c r="GO38" t="e">
        <f>AND('5to. Bach_A'!#REF!,"AAAAAG/x8sQ=")</f>
        <v>#REF!</v>
      </c>
      <c r="GP38" t="e">
        <f>AND('5to. Bach_A'!#REF!,"AAAAAG/x8sU=")</f>
        <v>#REF!</v>
      </c>
      <c r="GQ38" t="e">
        <f>AND('5to. Bach_A'!#REF!,"AAAAAG/x8sY=")</f>
        <v>#REF!</v>
      </c>
      <c r="GR38" t="e">
        <f>AND('5to. Bach_A'!#REF!,"AAAAAG/x8sc=")</f>
        <v>#REF!</v>
      </c>
      <c r="GS38" t="e">
        <f>AND('5to. Bach_A'!#REF!,"AAAAAG/x8sg=")</f>
        <v>#REF!</v>
      </c>
      <c r="GT38" t="e">
        <f>AND('5to. Bach_A'!#REF!,"AAAAAG/x8sk=")</f>
        <v>#REF!</v>
      </c>
      <c r="GU38" t="e">
        <f>AND('5to. Bach_A'!#REF!,"AAAAAG/x8so=")</f>
        <v>#REF!</v>
      </c>
      <c r="GV38" t="e">
        <f>AND('5to. Bach_A'!#REF!,"AAAAAG/x8ss=")</f>
        <v>#REF!</v>
      </c>
      <c r="GW38" t="e">
        <f>AND('5to. Bach_A'!#REF!,"AAAAAG/x8sw=")</f>
        <v>#REF!</v>
      </c>
      <c r="GX38" t="e">
        <f>AND('5to. Bach_A'!#REF!,"AAAAAG/x8s0=")</f>
        <v>#REF!</v>
      </c>
      <c r="GY38" t="e">
        <f>AND('5to. Bach_A'!#REF!,"AAAAAG/x8s4=")</f>
        <v>#REF!</v>
      </c>
      <c r="GZ38" t="e">
        <f>AND('5to. Bach_A'!#REF!,"AAAAAG/x8s8=")</f>
        <v>#REF!</v>
      </c>
      <c r="HA38" t="e">
        <f>AND('5to. Bach_A'!#REF!,"AAAAAG/x8tA=")</f>
        <v>#REF!</v>
      </c>
      <c r="HB38" t="e">
        <f>AND('5to. Bach_A'!#REF!,"AAAAAG/x8tE=")</f>
        <v>#REF!</v>
      </c>
      <c r="HC38" t="e">
        <f>AND('5to. Bach_A'!#REF!,"AAAAAG/x8tI=")</f>
        <v>#REF!</v>
      </c>
      <c r="HD38" t="e">
        <f>AND('5to. Bach_A'!#REF!,"AAAAAG/x8tM=")</f>
        <v>#REF!</v>
      </c>
      <c r="HE38" t="e">
        <f>AND('5to. Bach_A'!#REF!,"AAAAAG/x8tQ=")</f>
        <v>#REF!</v>
      </c>
      <c r="HF38" t="e">
        <f>AND('5to. Bach_A'!#REF!,"AAAAAG/x8tU=")</f>
        <v>#REF!</v>
      </c>
      <c r="HG38" t="e">
        <f>AND('5to. Bach_A'!#REF!,"AAAAAG/x8tY=")</f>
        <v>#REF!</v>
      </c>
      <c r="HH38" t="e">
        <f>AND('5to. Bach_A'!#REF!,"AAAAAG/x8tc=")</f>
        <v>#REF!</v>
      </c>
      <c r="HI38" t="e">
        <f>AND('5to. Bach_A'!#REF!,"AAAAAG/x8tg=")</f>
        <v>#REF!</v>
      </c>
      <c r="HJ38" t="e">
        <f>AND('5to. Bach_A'!#REF!,"AAAAAG/x8tk=")</f>
        <v>#REF!</v>
      </c>
      <c r="HK38" t="e">
        <f>AND('5to. Bach_A'!#REF!,"AAAAAG/x8to=")</f>
        <v>#REF!</v>
      </c>
      <c r="HL38" t="e">
        <f>IF('5to. Bach_A'!#REF!,"AAAAAG/x8ts=",0)</f>
        <v>#REF!</v>
      </c>
      <c r="HM38" t="e">
        <f>AND('5to. Bach_A'!#REF!,"AAAAAG/x8tw=")</f>
        <v>#REF!</v>
      </c>
      <c r="HN38" t="e">
        <f>AND('5to. Bach_A'!#REF!,"AAAAAG/x8t0=")</f>
        <v>#REF!</v>
      </c>
      <c r="HO38" t="e">
        <f>AND('5to. Bach_A'!#REF!,"AAAAAG/x8t4=")</f>
        <v>#REF!</v>
      </c>
      <c r="HP38" t="e">
        <f>AND('5to. Bach_A'!#REF!,"AAAAAG/x8t8=")</f>
        <v>#REF!</v>
      </c>
      <c r="HQ38" t="e">
        <f>AND('5to. Bach_A'!#REF!,"AAAAAG/x8uA=")</f>
        <v>#REF!</v>
      </c>
      <c r="HR38" t="e">
        <f>AND('5to. Bach_A'!#REF!,"AAAAAG/x8uE=")</f>
        <v>#REF!</v>
      </c>
      <c r="HS38" t="e">
        <f>AND('5to. Bach_A'!#REF!,"AAAAAG/x8uI=")</f>
        <v>#REF!</v>
      </c>
      <c r="HT38" t="e">
        <f>AND('5to. Bach_A'!#REF!,"AAAAAG/x8uM=")</f>
        <v>#REF!</v>
      </c>
      <c r="HU38" t="e">
        <f>AND('5to. Bach_A'!#REF!,"AAAAAG/x8uQ=")</f>
        <v>#REF!</v>
      </c>
      <c r="HV38" t="e">
        <f>AND('5to. Bach_A'!#REF!,"AAAAAG/x8uU=")</f>
        <v>#REF!</v>
      </c>
      <c r="HW38" t="e">
        <f>AND('5to. Bach_A'!#REF!,"AAAAAG/x8uY=")</f>
        <v>#REF!</v>
      </c>
      <c r="HX38" t="e">
        <f>AND('5to. Bach_A'!#REF!,"AAAAAG/x8uc=")</f>
        <v>#REF!</v>
      </c>
      <c r="HY38" t="e">
        <f>AND('5to. Bach_A'!#REF!,"AAAAAG/x8ug=")</f>
        <v>#REF!</v>
      </c>
      <c r="HZ38" t="e">
        <f>AND('5to. Bach_A'!#REF!,"AAAAAG/x8uk=")</f>
        <v>#REF!</v>
      </c>
      <c r="IA38" t="e">
        <f>AND('5to. Bach_A'!#REF!,"AAAAAG/x8uo=")</f>
        <v>#REF!</v>
      </c>
      <c r="IB38" t="e">
        <f>AND('5to. Bach_A'!#REF!,"AAAAAG/x8us=")</f>
        <v>#REF!</v>
      </c>
      <c r="IC38" t="e">
        <f>AND('5to. Bach_A'!#REF!,"AAAAAG/x8uw=")</f>
        <v>#REF!</v>
      </c>
      <c r="ID38" t="e">
        <f>AND('5to. Bach_A'!#REF!,"AAAAAG/x8u0=")</f>
        <v>#REF!</v>
      </c>
      <c r="IE38" t="e">
        <f>AND('5to. Bach_A'!#REF!,"AAAAAG/x8u4=")</f>
        <v>#REF!</v>
      </c>
      <c r="IF38" t="e">
        <f>AND('5to. Bach_A'!#REF!,"AAAAAG/x8u8=")</f>
        <v>#REF!</v>
      </c>
      <c r="IG38" t="e">
        <f>AND('5to. Bach_A'!#REF!,"AAAAAG/x8vA=")</f>
        <v>#REF!</v>
      </c>
      <c r="IH38" t="e">
        <f>AND('5to. Bach_A'!#REF!,"AAAAAG/x8vE=")</f>
        <v>#REF!</v>
      </c>
      <c r="II38" t="e">
        <f>AND('5to. Bach_A'!#REF!,"AAAAAG/x8vI=")</f>
        <v>#REF!</v>
      </c>
      <c r="IJ38" t="e">
        <f>AND('5to. Bach_A'!#REF!,"AAAAAG/x8vM=")</f>
        <v>#REF!</v>
      </c>
      <c r="IK38" t="e">
        <f>AND('5to. Bach_A'!#REF!,"AAAAAG/x8vQ=")</f>
        <v>#REF!</v>
      </c>
      <c r="IL38" t="e">
        <f>IF('5to. Bach_A'!#REF!,"AAAAAG/x8vU=",0)</f>
        <v>#REF!</v>
      </c>
      <c r="IM38" t="e">
        <f>AND('5to. Bach_A'!#REF!,"AAAAAG/x8vY=")</f>
        <v>#REF!</v>
      </c>
      <c r="IN38" t="e">
        <f>AND('5to. Bach_A'!#REF!,"AAAAAG/x8vc=")</f>
        <v>#REF!</v>
      </c>
      <c r="IO38" t="e">
        <f>AND('5to. Bach_A'!#REF!,"AAAAAG/x8vg=")</f>
        <v>#REF!</v>
      </c>
      <c r="IP38" t="e">
        <f>AND('5to. Bach_A'!#REF!,"AAAAAG/x8vk=")</f>
        <v>#REF!</v>
      </c>
      <c r="IQ38" t="e">
        <f>AND('5to. Bach_A'!#REF!,"AAAAAG/x8vo=")</f>
        <v>#REF!</v>
      </c>
      <c r="IR38" t="e">
        <f>AND('5to. Bach_A'!#REF!,"AAAAAG/x8vs=")</f>
        <v>#REF!</v>
      </c>
      <c r="IS38" t="e">
        <f>AND('5to. Bach_A'!#REF!,"AAAAAG/x8vw=")</f>
        <v>#REF!</v>
      </c>
      <c r="IT38" t="e">
        <f>AND('5to. Bach_A'!#REF!,"AAAAAG/x8v0=")</f>
        <v>#REF!</v>
      </c>
      <c r="IU38" t="e">
        <f>AND('5to. Bach_A'!#REF!,"AAAAAG/x8v4=")</f>
        <v>#REF!</v>
      </c>
      <c r="IV38" t="e">
        <f>AND('5to. Bach_A'!#REF!,"AAAAAG/x8v8=")</f>
        <v>#REF!</v>
      </c>
    </row>
    <row r="39" spans="1:256">
      <c r="A39" t="e">
        <f>AND('5to. Bach_A'!#REF!,"AAAAAH49/wA=")</f>
        <v>#REF!</v>
      </c>
      <c r="B39" t="e">
        <f>AND('5to. Bach_A'!#REF!,"AAAAAH49/wE=")</f>
        <v>#REF!</v>
      </c>
      <c r="C39" t="e">
        <f>AND('5to. Bach_A'!#REF!,"AAAAAH49/wI=")</f>
        <v>#REF!</v>
      </c>
      <c r="D39" t="e">
        <f>AND('5to. Bach_A'!#REF!,"AAAAAH49/wM=")</f>
        <v>#REF!</v>
      </c>
      <c r="E39" t="e">
        <f>AND('5to. Bach_A'!#REF!,"AAAAAH49/wQ=")</f>
        <v>#REF!</v>
      </c>
      <c r="F39" t="e">
        <f>AND('5to. Bach_A'!#REF!,"AAAAAH49/wU=")</f>
        <v>#REF!</v>
      </c>
      <c r="G39" t="e">
        <f>AND('5to. Bach_A'!#REF!,"AAAAAH49/wY=")</f>
        <v>#REF!</v>
      </c>
      <c r="H39" t="e">
        <f>AND('5to. Bach_A'!#REF!,"AAAAAH49/wc=")</f>
        <v>#REF!</v>
      </c>
      <c r="I39" t="e">
        <f>AND('5to. Bach_A'!#REF!,"AAAAAH49/wg=")</f>
        <v>#REF!</v>
      </c>
      <c r="J39" t="e">
        <f>AND('5to. Bach_A'!#REF!,"AAAAAH49/wk=")</f>
        <v>#REF!</v>
      </c>
      <c r="K39" t="e">
        <f>AND('5to. Bach_A'!#REF!,"AAAAAH49/wo=")</f>
        <v>#REF!</v>
      </c>
      <c r="L39" t="e">
        <f>AND('5to. Bach_A'!#REF!,"AAAAAH49/ws=")</f>
        <v>#REF!</v>
      </c>
      <c r="M39" t="e">
        <f>AND('5to. Bach_A'!#REF!,"AAAAAH49/ww=")</f>
        <v>#REF!</v>
      </c>
      <c r="N39" t="e">
        <f>AND('5to. Bach_A'!#REF!,"AAAAAH49/w0=")</f>
        <v>#REF!</v>
      </c>
      <c r="O39" t="e">
        <f>AND('5to. Bach_A'!#REF!,"AAAAAH49/w4=")</f>
        <v>#REF!</v>
      </c>
      <c r="P39" t="e">
        <f>IF('5to. Bach_A'!#REF!,"AAAAAH49/w8=",0)</f>
        <v>#REF!</v>
      </c>
      <c r="Q39" t="e">
        <f>AND('5to. Bach_A'!#REF!,"AAAAAH49/xA=")</f>
        <v>#REF!</v>
      </c>
      <c r="R39" t="e">
        <f>AND('5to. Bach_A'!#REF!,"AAAAAH49/xE=")</f>
        <v>#REF!</v>
      </c>
      <c r="S39" t="e">
        <f>AND('5to. Bach_A'!#REF!,"AAAAAH49/xI=")</f>
        <v>#REF!</v>
      </c>
      <c r="T39" t="e">
        <f>AND('5to. Bach_A'!#REF!,"AAAAAH49/xM=")</f>
        <v>#REF!</v>
      </c>
      <c r="U39" t="e">
        <f>AND('5to. Bach_A'!#REF!,"AAAAAH49/xQ=")</f>
        <v>#REF!</v>
      </c>
      <c r="V39" t="e">
        <f>AND('5to. Bach_A'!#REF!,"AAAAAH49/xU=")</f>
        <v>#REF!</v>
      </c>
      <c r="W39" t="e">
        <f>AND('5to. Bach_A'!#REF!,"AAAAAH49/xY=")</f>
        <v>#REF!</v>
      </c>
      <c r="X39" t="e">
        <f>AND('5to. Bach_A'!#REF!,"AAAAAH49/xc=")</f>
        <v>#REF!</v>
      </c>
      <c r="Y39" t="e">
        <f>AND('5to. Bach_A'!#REF!,"AAAAAH49/xg=")</f>
        <v>#REF!</v>
      </c>
      <c r="Z39" t="e">
        <f>AND('5to. Bach_A'!#REF!,"AAAAAH49/xk=")</f>
        <v>#REF!</v>
      </c>
      <c r="AA39" t="e">
        <f>AND('5to. Bach_A'!#REF!,"AAAAAH49/xo=")</f>
        <v>#REF!</v>
      </c>
      <c r="AB39" t="e">
        <f>AND('5to. Bach_A'!#REF!,"AAAAAH49/xs=")</f>
        <v>#REF!</v>
      </c>
      <c r="AC39" t="e">
        <f>AND('5to. Bach_A'!#REF!,"AAAAAH49/xw=")</f>
        <v>#REF!</v>
      </c>
      <c r="AD39" t="e">
        <f>AND('5to. Bach_A'!#REF!,"AAAAAH49/x0=")</f>
        <v>#REF!</v>
      </c>
      <c r="AE39" t="e">
        <f>AND('5to. Bach_A'!#REF!,"AAAAAH49/x4=")</f>
        <v>#REF!</v>
      </c>
      <c r="AF39" t="e">
        <f>AND('5to. Bach_A'!#REF!,"AAAAAH49/x8=")</f>
        <v>#REF!</v>
      </c>
      <c r="AG39" t="e">
        <f>AND('5to. Bach_A'!#REF!,"AAAAAH49/yA=")</f>
        <v>#REF!</v>
      </c>
      <c r="AH39" t="e">
        <f>AND('5to. Bach_A'!#REF!,"AAAAAH49/yE=")</f>
        <v>#REF!</v>
      </c>
      <c r="AI39" t="e">
        <f>AND('5to. Bach_A'!#REF!,"AAAAAH49/yI=")</f>
        <v>#REF!</v>
      </c>
      <c r="AJ39" t="e">
        <f>AND('5to. Bach_A'!#REF!,"AAAAAH49/yM=")</f>
        <v>#REF!</v>
      </c>
      <c r="AK39" t="e">
        <f>AND('5to. Bach_A'!#REF!,"AAAAAH49/yQ=")</f>
        <v>#REF!</v>
      </c>
      <c r="AL39" t="e">
        <f>AND('5to. Bach_A'!#REF!,"AAAAAH49/yU=")</f>
        <v>#REF!</v>
      </c>
      <c r="AM39" t="e">
        <f>AND('5to. Bach_A'!#REF!,"AAAAAH49/yY=")</f>
        <v>#REF!</v>
      </c>
      <c r="AN39" t="e">
        <f>AND('5to. Bach_A'!#REF!,"AAAAAH49/yc=")</f>
        <v>#REF!</v>
      </c>
      <c r="AO39" t="e">
        <f>AND('5to. Bach_A'!#REF!,"AAAAAH49/yg=")</f>
        <v>#REF!</v>
      </c>
      <c r="AP39" t="e">
        <f>IF('5to. Bach_A'!#REF!,"AAAAAH49/yk=",0)</f>
        <v>#REF!</v>
      </c>
      <c r="AQ39" t="e">
        <f>AND('5to. Bach_A'!#REF!,"AAAAAH49/yo=")</f>
        <v>#REF!</v>
      </c>
      <c r="AR39" t="e">
        <f>AND('5to. Bach_A'!#REF!,"AAAAAH49/ys=")</f>
        <v>#REF!</v>
      </c>
      <c r="AS39" t="e">
        <f>AND('5to. Bach_A'!#REF!,"AAAAAH49/yw=")</f>
        <v>#REF!</v>
      </c>
      <c r="AT39" t="e">
        <f>AND('5to. Bach_A'!#REF!,"AAAAAH49/y0=")</f>
        <v>#REF!</v>
      </c>
      <c r="AU39" t="e">
        <f>AND('5to. Bach_A'!#REF!,"AAAAAH49/y4=")</f>
        <v>#REF!</v>
      </c>
      <c r="AV39" t="e">
        <f>AND('5to. Bach_A'!#REF!,"AAAAAH49/y8=")</f>
        <v>#REF!</v>
      </c>
      <c r="AW39" t="e">
        <f>AND('5to. Bach_A'!#REF!,"AAAAAH49/zA=")</f>
        <v>#REF!</v>
      </c>
      <c r="AX39" t="e">
        <f>AND('5to. Bach_A'!#REF!,"AAAAAH49/zE=")</f>
        <v>#REF!</v>
      </c>
      <c r="AY39" t="e">
        <f>AND('5to. Bach_A'!#REF!,"AAAAAH49/zI=")</f>
        <v>#REF!</v>
      </c>
      <c r="AZ39" t="e">
        <f>AND('5to. Bach_A'!#REF!,"AAAAAH49/zM=")</f>
        <v>#REF!</v>
      </c>
      <c r="BA39" t="e">
        <f>AND('5to. Bach_A'!#REF!,"AAAAAH49/zQ=")</f>
        <v>#REF!</v>
      </c>
      <c r="BB39" t="e">
        <f>AND('5to. Bach_A'!#REF!,"AAAAAH49/zU=")</f>
        <v>#REF!</v>
      </c>
      <c r="BC39" t="e">
        <f>AND('5to. Bach_A'!#REF!,"AAAAAH49/zY=")</f>
        <v>#REF!</v>
      </c>
      <c r="BD39" t="e">
        <f>AND('5to. Bach_A'!#REF!,"AAAAAH49/zc=")</f>
        <v>#REF!</v>
      </c>
      <c r="BE39" t="e">
        <f>AND('5to. Bach_A'!#REF!,"AAAAAH49/zg=")</f>
        <v>#REF!</v>
      </c>
      <c r="BF39" t="e">
        <f>AND('5to. Bach_A'!#REF!,"AAAAAH49/zk=")</f>
        <v>#REF!</v>
      </c>
      <c r="BG39" t="e">
        <f>AND('5to. Bach_A'!#REF!,"AAAAAH49/zo=")</f>
        <v>#REF!</v>
      </c>
      <c r="BH39" t="e">
        <f>AND('5to. Bach_A'!#REF!,"AAAAAH49/zs=")</f>
        <v>#REF!</v>
      </c>
      <c r="BI39" t="e">
        <f>AND('5to. Bach_A'!#REF!,"AAAAAH49/zw=")</f>
        <v>#REF!</v>
      </c>
      <c r="BJ39" t="e">
        <f>AND('5to. Bach_A'!#REF!,"AAAAAH49/z0=")</f>
        <v>#REF!</v>
      </c>
      <c r="BK39" t="e">
        <f>AND('5to. Bach_A'!#REF!,"AAAAAH49/z4=")</f>
        <v>#REF!</v>
      </c>
      <c r="BL39" t="e">
        <f>AND('5to. Bach_A'!#REF!,"AAAAAH49/z8=")</f>
        <v>#REF!</v>
      </c>
      <c r="BM39" t="e">
        <f>AND('5to. Bach_A'!#REF!,"AAAAAH49/0A=")</f>
        <v>#REF!</v>
      </c>
      <c r="BN39" t="e">
        <f>AND('5to. Bach_A'!#REF!,"AAAAAH49/0E=")</f>
        <v>#REF!</v>
      </c>
      <c r="BO39" t="e">
        <f>AND('5to. Bach_A'!#REF!,"AAAAAH49/0I=")</f>
        <v>#REF!</v>
      </c>
      <c r="BP39" t="e">
        <f>IF('5to. Bach_A'!#REF!,"AAAAAH49/0M=",0)</f>
        <v>#REF!</v>
      </c>
      <c r="BQ39" t="e">
        <f>AND('5to. Bach_A'!#REF!,"AAAAAH49/0Q=")</f>
        <v>#REF!</v>
      </c>
      <c r="BR39" t="e">
        <f>AND('5to. Bach_A'!#REF!,"AAAAAH49/0U=")</f>
        <v>#REF!</v>
      </c>
      <c r="BS39" t="e">
        <f>AND('5to. Bach_A'!#REF!,"AAAAAH49/0Y=")</f>
        <v>#REF!</v>
      </c>
      <c r="BT39" t="e">
        <f>AND('5to. Bach_A'!#REF!,"AAAAAH49/0c=")</f>
        <v>#REF!</v>
      </c>
      <c r="BU39" t="e">
        <f>AND('5to. Bach_A'!#REF!,"AAAAAH49/0g=")</f>
        <v>#REF!</v>
      </c>
      <c r="BV39" t="e">
        <f>AND('5to. Bach_A'!#REF!,"AAAAAH49/0k=")</f>
        <v>#REF!</v>
      </c>
      <c r="BW39" t="e">
        <f>AND('5to. Bach_A'!#REF!,"AAAAAH49/0o=")</f>
        <v>#REF!</v>
      </c>
      <c r="BX39" t="e">
        <f>AND('5to. Bach_A'!#REF!,"AAAAAH49/0s=")</f>
        <v>#REF!</v>
      </c>
      <c r="BY39" t="e">
        <f>AND('5to. Bach_A'!#REF!,"AAAAAH49/0w=")</f>
        <v>#REF!</v>
      </c>
      <c r="BZ39" t="e">
        <f>AND('5to. Bach_A'!#REF!,"AAAAAH49/00=")</f>
        <v>#REF!</v>
      </c>
      <c r="CA39" t="e">
        <f>AND('5to. Bach_A'!#REF!,"AAAAAH49/04=")</f>
        <v>#REF!</v>
      </c>
      <c r="CB39" t="e">
        <f>AND('5to. Bach_A'!#REF!,"AAAAAH49/08=")</f>
        <v>#REF!</v>
      </c>
      <c r="CC39" t="e">
        <f>AND('5to. Bach_A'!#REF!,"AAAAAH49/1A=")</f>
        <v>#REF!</v>
      </c>
      <c r="CD39" t="e">
        <f>AND('5to. Bach_A'!#REF!,"AAAAAH49/1E=")</f>
        <v>#REF!</v>
      </c>
      <c r="CE39" t="e">
        <f>AND('5to. Bach_A'!#REF!,"AAAAAH49/1I=")</f>
        <v>#REF!</v>
      </c>
      <c r="CF39" t="e">
        <f>AND('5to. Bach_A'!#REF!,"AAAAAH49/1M=")</f>
        <v>#REF!</v>
      </c>
      <c r="CG39" t="e">
        <f>AND('5to. Bach_A'!#REF!,"AAAAAH49/1Q=")</f>
        <v>#REF!</v>
      </c>
      <c r="CH39" t="e">
        <f>AND('5to. Bach_A'!#REF!,"AAAAAH49/1U=")</f>
        <v>#REF!</v>
      </c>
      <c r="CI39" t="e">
        <f>AND('5to. Bach_A'!#REF!,"AAAAAH49/1Y=")</f>
        <v>#REF!</v>
      </c>
      <c r="CJ39" t="e">
        <f>AND('5to. Bach_A'!#REF!,"AAAAAH49/1c=")</f>
        <v>#REF!</v>
      </c>
      <c r="CK39" t="e">
        <f>AND('5to. Bach_A'!#REF!,"AAAAAH49/1g=")</f>
        <v>#REF!</v>
      </c>
      <c r="CL39" t="e">
        <f>AND('5to. Bach_A'!#REF!,"AAAAAH49/1k=")</f>
        <v>#REF!</v>
      </c>
      <c r="CM39" t="e">
        <f>AND('5to. Bach_A'!#REF!,"AAAAAH49/1o=")</f>
        <v>#REF!</v>
      </c>
      <c r="CN39" t="e">
        <f>AND('5to. Bach_A'!#REF!,"AAAAAH49/1s=")</f>
        <v>#REF!</v>
      </c>
      <c r="CO39" t="e">
        <f>AND('5to. Bach_A'!#REF!,"AAAAAH49/1w=")</f>
        <v>#REF!</v>
      </c>
      <c r="CP39" t="e">
        <f>IF('5to. Bach_A'!#REF!,"AAAAAH49/10=",0)</f>
        <v>#REF!</v>
      </c>
      <c r="CQ39" t="e">
        <f>AND('5to. Bach_A'!#REF!,"AAAAAH49/14=")</f>
        <v>#REF!</v>
      </c>
      <c r="CR39" t="e">
        <f>AND('5to. Bach_A'!#REF!,"AAAAAH49/18=")</f>
        <v>#REF!</v>
      </c>
      <c r="CS39" t="e">
        <f>AND('5to. Bach_A'!#REF!,"AAAAAH49/2A=")</f>
        <v>#REF!</v>
      </c>
      <c r="CT39" t="e">
        <f>AND('5to. Bach_A'!#REF!,"AAAAAH49/2E=")</f>
        <v>#REF!</v>
      </c>
      <c r="CU39" t="e">
        <f>AND('5to. Bach_A'!#REF!,"AAAAAH49/2I=")</f>
        <v>#REF!</v>
      </c>
      <c r="CV39" t="e">
        <f>AND('5to. Bach_A'!#REF!,"AAAAAH49/2M=")</f>
        <v>#REF!</v>
      </c>
      <c r="CW39" t="e">
        <f>AND('5to. Bach_A'!#REF!,"AAAAAH49/2Q=")</f>
        <v>#REF!</v>
      </c>
      <c r="CX39" t="e">
        <f>AND('5to. Bach_A'!#REF!,"AAAAAH49/2U=")</f>
        <v>#REF!</v>
      </c>
      <c r="CY39" t="e">
        <f>AND('5to. Bach_A'!#REF!,"AAAAAH49/2Y=")</f>
        <v>#REF!</v>
      </c>
      <c r="CZ39" t="e">
        <f>AND('5to. Bach_A'!#REF!,"AAAAAH49/2c=")</f>
        <v>#REF!</v>
      </c>
      <c r="DA39" t="e">
        <f>AND('5to. Bach_A'!#REF!,"AAAAAH49/2g=")</f>
        <v>#REF!</v>
      </c>
      <c r="DB39" t="e">
        <f>AND('5to. Bach_A'!#REF!,"AAAAAH49/2k=")</f>
        <v>#REF!</v>
      </c>
      <c r="DC39" t="e">
        <f>AND('5to. Bach_A'!#REF!,"AAAAAH49/2o=")</f>
        <v>#REF!</v>
      </c>
      <c r="DD39" t="e">
        <f>AND('5to. Bach_A'!#REF!,"AAAAAH49/2s=")</f>
        <v>#REF!</v>
      </c>
      <c r="DE39" t="e">
        <f>AND('5to. Bach_A'!#REF!,"AAAAAH49/2w=")</f>
        <v>#REF!</v>
      </c>
      <c r="DF39" t="e">
        <f>AND('5to. Bach_A'!#REF!,"AAAAAH49/20=")</f>
        <v>#REF!</v>
      </c>
      <c r="DG39" t="e">
        <f>AND('5to. Bach_A'!#REF!,"AAAAAH49/24=")</f>
        <v>#REF!</v>
      </c>
      <c r="DH39" t="e">
        <f>AND('5to. Bach_A'!#REF!,"AAAAAH49/28=")</f>
        <v>#REF!</v>
      </c>
      <c r="DI39" t="e">
        <f>AND('5to. Bach_A'!#REF!,"AAAAAH49/3A=")</f>
        <v>#REF!</v>
      </c>
      <c r="DJ39" t="e">
        <f>AND('5to. Bach_A'!#REF!,"AAAAAH49/3E=")</f>
        <v>#REF!</v>
      </c>
      <c r="DK39" t="e">
        <f>AND('5to. Bach_A'!#REF!,"AAAAAH49/3I=")</f>
        <v>#REF!</v>
      </c>
      <c r="DL39" t="e">
        <f>AND('5to. Bach_A'!#REF!,"AAAAAH49/3M=")</f>
        <v>#REF!</v>
      </c>
      <c r="DM39" t="e">
        <f>AND('5to. Bach_A'!#REF!,"AAAAAH49/3Q=")</f>
        <v>#REF!</v>
      </c>
      <c r="DN39" t="e">
        <f>AND('5to. Bach_A'!#REF!,"AAAAAH49/3U=")</f>
        <v>#REF!</v>
      </c>
      <c r="DO39" t="e">
        <f>AND('5to. Bach_A'!#REF!,"AAAAAH49/3Y=")</f>
        <v>#REF!</v>
      </c>
      <c r="DP39" t="e">
        <f>IF('5to. Bach_A'!#REF!,"AAAAAH49/3c=",0)</f>
        <v>#REF!</v>
      </c>
      <c r="DQ39" t="e">
        <f>AND('5to. Bach_A'!#REF!,"AAAAAH49/3g=")</f>
        <v>#REF!</v>
      </c>
      <c r="DR39" t="e">
        <f>AND('5to. Bach_A'!#REF!,"AAAAAH49/3k=")</f>
        <v>#REF!</v>
      </c>
      <c r="DS39" t="e">
        <f>AND('5to. Bach_A'!#REF!,"AAAAAH49/3o=")</f>
        <v>#REF!</v>
      </c>
      <c r="DT39" t="e">
        <f>AND('5to. Bach_A'!#REF!,"AAAAAH49/3s=")</f>
        <v>#REF!</v>
      </c>
      <c r="DU39" t="e">
        <f>AND('5to. Bach_A'!#REF!,"AAAAAH49/3w=")</f>
        <v>#REF!</v>
      </c>
      <c r="DV39" t="e">
        <f>AND('5to. Bach_A'!#REF!,"AAAAAH49/30=")</f>
        <v>#REF!</v>
      </c>
      <c r="DW39" t="e">
        <f>AND('5to. Bach_A'!#REF!,"AAAAAH49/34=")</f>
        <v>#REF!</v>
      </c>
      <c r="DX39" t="e">
        <f>AND('5to. Bach_A'!#REF!,"AAAAAH49/38=")</f>
        <v>#REF!</v>
      </c>
      <c r="DY39" t="e">
        <f>AND('5to. Bach_A'!#REF!,"AAAAAH49/4A=")</f>
        <v>#REF!</v>
      </c>
      <c r="DZ39" t="e">
        <f>AND('5to. Bach_A'!#REF!,"AAAAAH49/4E=")</f>
        <v>#REF!</v>
      </c>
      <c r="EA39" t="e">
        <f>AND('5to. Bach_A'!#REF!,"AAAAAH49/4I=")</f>
        <v>#REF!</v>
      </c>
      <c r="EB39" t="e">
        <f>AND('5to. Bach_A'!#REF!,"AAAAAH49/4M=")</f>
        <v>#REF!</v>
      </c>
      <c r="EC39" t="e">
        <f>AND('5to. Bach_A'!#REF!,"AAAAAH49/4Q=")</f>
        <v>#REF!</v>
      </c>
      <c r="ED39" t="e">
        <f>AND('5to. Bach_A'!#REF!,"AAAAAH49/4U=")</f>
        <v>#REF!</v>
      </c>
      <c r="EE39" t="e">
        <f>AND('5to. Bach_A'!#REF!,"AAAAAH49/4Y=")</f>
        <v>#REF!</v>
      </c>
      <c r="EF39" t="e">
        <f>AND('5to. Bach_A'!#REF!,"AAAAAH49/4c=")</f>
        <v>#REF!</v>
      </c>
      <c r="EG39" t="e">
        <f>AND('5to. Bach_A'!#REF!,"AAAAAH49/4g=")</f>
        <v>#REF!</v>
      </c>
      <c r="EH39" t="e">
        <f>AND('5to. Bach_A'!#REF!,"AAAAAH49/4k=")</f>
        <v>#REF!</v>
      </c>
      <c r="EI39" t="e">
        <f>AND('5to. Bach_A'!#REF!,"AAAAAH49/4o=")</f>
        <v>#REF!</v>
      </c>
      <c r="EJ39" t="e">
        <f>AND('5to. Bach_A'!#REF!,"AAAAAH49/4s=")</f>
        <v>#REF!</v>
      </c>
      <c r="EK39" t="e">
        <f>AND('5to. Bach_A'!#REF!,"AAAAAH49/4w=")</f>
        <v>#REF!</v>
      </c>
      <c r="EL39" t="e">
        <f>AND('5to. Bach_A'!#REF!,"AAAAAH49/40=")</f>
        <v>#REF!</v>
      </c>
      <c r="EM39" t="e">
        <f>AND('5to. Bach_A'!#REF!,"AAAAAH49/44=")</f>
        <v>#REF!</v>
      </c>
      <c r="EN39" t="e">
        <f>AND('5to. Bach_A'!#REF!,"AAAAAH49/48=")</f>
        <v>#REF!</v>
      </c>
      <c r="EO39" t="e">
        <f>AND('5to. Bach_A'!#REF!,"AAAAAH49/5A=")</f>
        <v>#REF!</v>
      </c>
      <c r="EP39" t="e">
        <f>IF('5to. Bach_A'!#REF!,"AAAAAH49/5E=",0)</f>
        <v>#REF!</v>
      </c>
      <c r="EQ39" t="e">
        <f>AND('5to. Bach_A'!#REF!,"AAAAAH49/5I=")</f>
        <v>#REF!</v>
      </c>
      <c r="ER39" t="e">
        <f>AND('5to. Bach_A'!#REF!,"AAAAAH49/5M=")</f>
        <v>#REF!</v>
      </c>
      <c r="ES39" t="e">
        <f>AND('5to. Bach_A'!#REF!,"AAAAAH49/5Q=")</f>
        <v>#REF!</v>
      </c>
      <c r="ET39" t="e">
        <f>AND('5to. Bach_A'!#REF!,"AAAAAH49/5U=")</f>
        <v>#REF!</v>
      </c>
      <c r="EU39" t="e">
        <f>AND('5to. Bach_A'!#REF!,"AAAAAH49/5Y=")</f>
        <v>#REF!</v>
      </c>
      <c r="EV39" t="e">
        <f>AND('5to. Bach_A'!#REF!,"AAAAAH49/5c=")</f>
        <v>#REF!</v>
      </c>
      <c r="EW39" t="e">
        <f>AND('5to. Bach_A'!#REF!,"AAAAAH49/5g=")</f>
        <v>#REF!</v>
      </c>
      <c r="EX39" t="e">
        <f>AND('5to. Bach_A'!#REF!,"AAAAAH49/5k=")</f>
        <v>#REF!</v>
      </c>
      <c r="EY39" t="e">
        <f>AND('5to. Bach_A'!#REF!,"AAAAAH49/5o=")</f>
        <v>#REF!</v>
      </c>
      <c r="EZ39" t="e">
        <f>AND('5to. Bach_A'!#REF!,"AAAAAH49/5s=")</f>
        <v>#REF!</v>
      </c>
      <c r="FA39" t="e">
        <f>AND('5to. Bach_A'!#REF!,"AAAAAH49/5w=")</f>
        <v>#REF!</v>
      </c>
      <c r="FB39" t="e">
        <f>AND('5to. Bach_A'!#REF!,"AAAAAH49/50=")</f>
        <v>#REF!</v>
      </c>
      <c r="FC39" t="e">
        <f>AND('5to. Bach_A'!#REF!,"AAAAAH49/54=")</f>
        <v>#REF!</v>
      </c>
      <c r="FD39" t="e">
        <f>AND('5to. Bach_A'!#REF!,"AAAAAH49/58=")</f>
        <v>#REF!</v>
      </c>
      <c r="FE39" t="e">
        <f>AND('5to. Bach_A'!#REF!,"AAAAAH49/6A=")</f>
        <v>#REF!</v>
      </c>
      <c r="FF39" t="e">
        <f>AND('5to. Bach_A'!#REF!,"AAAAAH49/6E=")</f>
        <v>#REF!</v>
      </c>
      <c r="FG39" t="e">
        <f>AND('5to. Bach_A'!#REF!,"AAAAAH49/6I=")</f>
        <v>#REF!</v>
      </c>
      <c r="FH39" t="e">
        <f>AND('5to. Bach_A'!#REF!,"AAAAAH49/6M=")</f>
        <v>#REF!</v>
      </c>
      <c r="FI39" t="e">
        <f>AND('5to. Bach_A'!#REF!,"AAAAAH49/6Q=")</f>
        <v>#REF!</v>
      </c>
      <c r="FJ39" t="e">
        <f>AND('5to. Bach_A'!#REF!,"AAAAAH49/6U=")</f>
        <v>#REF!</v>
      </c>
      <c r="FK39" t="e">
        <f>AND('5to. Bach_A'!#REF!,"AAAAAH49/6Y=")</f>
        <v>#REF!</v>
      </c>
      <c r="FL39" t="e">
        <f>AND('5to. Bach_A'!#REF!,"AAAAAH49/6c=")</f>
        <v>#REF!</v>
      </c>
      <c r="FM39" t="e">
        <f>AND('5to. Bach_A'!#REF!,"AAAAAH49/6g=")</f>
        <v>#REF!</v>
      </c>
      <c r="FN39" t="e">
        <f>AND('5to. Bach_A'!#REF!,"AAAAAH49/6k=")</f>
        <v>#REF!</v>
      </c>
      <c r="FO39" t="e">
        <f>AND('5to. Bach_A'!#REF!,"AAAAAH49/6o=")</f>
        <v>#REF!</v>
      </c>
      <c r="FP39" t="e">
        <f>IF('5to. Bach_A'!#REF!,"AAAAAH49/6s=",0)</f>
        <v>#REF!</v>
      </c>
      <c r="FQ39" t="e">
        <f>AND('5to. Bach_A'!#REF!,"AAAAAH49/6w=")</f>
        <v>#REF!</v>
      </c>
      <c r="FR39" t="e">
        <f>AND('5to. Bach_A'!#REF!,"AAAAAH49/60=")</f>
        <v>#REF!</v>
      </c>
      <c r="FS39" t="e">
        <f>AND('5to. Bach_A'!#REF!,"AAAAAH49/64=")</f>
        <v>#REF!</v>
      </c>
      <c r="FT39" t="e">
        <f>AND('5to. Bach_A'!#REF!,"AAAAAH49/68=")</f>
        <v>#REF!</v>
      </c>
      <c r="FU39" t="e">
        <f>AND('5to. Bach_A'!#REF!,"AAAAAH49/7A=")</f>
        <v>#REF!</v>
      </c>
      <c r="FV39" t="e">
        <f>AND('5to. Bach_A'!#REF!,"AAAAAH49/7E=")</f>
        <v>#REF!</v>
      </c>
      <c r="FW39" t="e">
        <f>AND('5to. Bach_A'!#REF!,"AAAAAH49/7I=")</f>
        <v>#REF!</v>
      </c>
      <c r="FX39" t="e">
        <f>AND('5to. Bach_A'!#REF!,"AAAAAH49/7M=")</f>
        <v>#REF!</v>
      </c>
      <c r="FY39" t="e">
        <f>AND('5to. Bach_A'!#REF!,"AAAAAH49/7Q=")</f>
        <v>#REF!</v>
      </c>
      <c r="FZ39" t="e">
        <f>AND('5to. Bach_A'!#REF!,"AAAAAH49/7U=")</f>
        <v>#REF!</v>
      </c>
      <c r="GA39" t="e">
        <f>AND('5to. Bach_A'!#REF!,"AAAAAH49/7Y=")</f>
        <v>#REF!</v>
      </c>
      <c r="GB39" t="e">
        <f>AND('5to. Bach_A'!#REF!,"AAAAAH49/7c=")</f>
        <v>#REF!</v>
      </c>
      <c r="GC39" t="e">
        <f>AND('5to. Bach_A'!#REF!,"AAAAAH49/7g=")</f>
        <v>#REF!</v>
      </c>
      <c r="GD39" t="e">
        <f>AND('5to. Bach_A'!#REF!,"AAAAAH49/7k=")</f>
        <v>#REF!</v>
      </c>
      <c r="GE39" t="e">
        <f>AND('5to. Bach_A'!#REF!,"AAAAAH49/7o=")</f>
        <v>#REF!</v>
      </c>
      <c r="GF39" t="e">
        <f>AND('5to. Bach_A'!#REF!,"AAAAAH49/7s=")</f>
        <v>#REF!</v>
      </c>
      <c r="GG39" t="e">
        <f>AND('5to. Bach_A'!#REF!,"AAAAAH49/7w=")</f>
        <v>#REF!</v>
      </c>
      <c r="GH39" t="e">
        <f>AND('5to. Bach_A'!#REF!,"AAAAAH49/70=")</f>
        <v>#REF!</v>
      </c>
      <c r="GI39" t="e">
        <f>AND('5to. Bach_A'!#REF!,"AAAAAH49/74=")</f>
        <v>#REF!</v>
      </c>
      <c r="GJ39" t="e">
        <f>AND('5to. Bach_A'!#REF!,"AAAAAH49/78=")</f>
        <v>#REF!</v>
      </c>
      <c r="GK39" t="e">
        <f>AND('5to. Bach_A'!#REF!,"AAAAAH49/8A=")</f>
        <v>#REF!</v>
      </c>
      <c r="GL39" t="e">
        <f>AND('5to. Bach_A'!#REF!,"AAAAAH49/8E=")</f>
        <v>#REF!</v>
      </c>
      <c r="GM39" t="e">
        <f>AND('5to. Bach_A'!#REF!,"AAAAAH49/8I=")</f>
        <v>#REF!</v>
      </c>
      <c r="GN39" t="e">
        <f>AND('5to. Bach_A'!#REF!,"AAAAAH49/8M=")</f>
        <v>#REF!</v>
      </c>
      <c r="GO39" t="e">
        <f>AND('5to. Bach_A'!#REF!,"AAAAAH49/8Q=")</f>
        <v>#REF!</v>
      </c>
      <c r="GP39" t="e">
        <f>IF('5to. Bach_A'!#REF!,"AAAAAH49/8U=",0)</f>
        <v>#REF!</v>
      </c>
      <c r="GQ39" t="e">
        <f>AND('5to. Bach_A'!#REF!,"AAAAAH49/8Y=")</f>
        <v>#REF!</v>
      </c>
      <c r="GR39" t="e">
        <f>AND('5to. Bach_A'!#REF!,"AAAAAH49/8c=")</f>
        <v>#REF!</v>
      </c>
      <c r="GS39" t="e">
        <f>AND('5to. Bach_A'!#REF!,"AAAAAH49/8g=")</f>
        <v>#REF!</v>
      </c>
      <c r="GT39" t="e">
        <f>AND('5to. Bach_A'!#REF!,"AAAAAH49/8k=")</f>
        <v>#REF!</v>
      </c>
      <c r="GU39" t="e">
        <f>AND('5to. Bach_A'!#REF!,"AAAAAH49/8o=")</f>
        <v>#REF!</v>
      </c>
      <c r="GV39" t="e">
        <f>AND('5to. Bach_A'!#REF!,"AAAAAH49/8s=")</f>
        <v>#REF!</v>
      </c>
      <c r="GW39" t="e">
        <f>AND('5to. Bach_A'!#REF!,"AAAAAH49/8w=")</f>
        <v>#REF!</v>
      </c>
      <c r="GX39" t="e">
        <f>AND('5to. Bach_A'!#REF!,"AAAAAH49/80=")</f>
        <v>#REF!</v>
      </c>
      <c r="GY39" t="e">
        <f>AND('5to. Bach_A'!#REF!,"AAAAAH49/84=")</f>
        <v>#REF!</v>
      </c>
      <c r="GZ39" t="e">
        <f>AND('5to. Bach_A'!#REF!,"AAAAAH49/88=")</f>
        <v>#REF!</v>
      </c>
      <c r="HA39" t="e">
        <f>AND('5to. Bach_A'!#REF!,"AAAAAH49/9A=")</f>
        <v>#REF!</v>
      </c>
      <c r="HB39" t="e">
        <f>AND('5to. Bach_A'!#REF!,"AAAAAH49/9E=")</f>
        <v>#REF!</v>
      </c>
      <c r="HC39" t="e">
        <f>AND('5to. Bach_A'!#REF!,"AAAAAH49/9I=")</f>
        <v>#REF!</v>
      </c>
      <c r="HD39" t="e">
        <f>AND('5to. Bach_A'!#REF!,"AAAAAH49/9M=")</f>
        <v>#REF!</v>
      </c>
      <c r="HE39" t="e">
        <f>AND('5to. Bach_A'!#REF!,"AAAAAH49/9Q=")</f>
        <v>#REF!</v>
      </c>
      <c r="HF39" t="e">
        <f>AND('5to. Bach_A'!#REF!,"AAAAAH49/9U=")</f>
        <v>#REF!</v>
      </c>
      <c r="HG39" t="e">
        <f>AND('5to. Bach_A'!#REF!,"AAAAAH49/9Y=")</f>
        <v>#REF!</v>
      </c>
      <c r="HH39" t="e">
        <f>AND('5to. Bach_A'!#REF!,"AAAAAH49/9c=")</f>
        <v>#REF!</v>
      </c>
      <c r="HI39" t="e">
        <f>AND('5to. Bach_A'!#REF!,"AAAAAH49/9g=")</f>
        <v>#REF!</v>
      </c>
      <c r="HJ39" t="e">
        <f>AND('5to. Bach_A'!#REF!,"AAAAAH49/9k=")</f>
        <v>#REF!</v>
      </c>
      <c r="HK39" t="e">
        <f>AND('5to. Bach_A'!#REF!,"AAAAAH49/9o=")</f>
        <v>#REF!</v>
      </c>
      <c r="HL39" t="e">
        <f>AND('5to. Bach_A'!#REF!,"AAAAAH49/9s=")</f>
        <v>#REF!</v>
      </c>
      <c r="HM39" t="e">
        <f>AND('5to. Bach_A'!#REF!,"AAAAAH49/9w=")</f>
        <v>#REF!</v>
      </c>
      <c r="HN39" t="e">
        <f>AND('5to. Bach_A'!#REF!,"AAAAAH49/90=")</f>
        <v>#REF!</v>
      </c>
      <c r="HO39" t="e">
        <f>AND('5to. Bach_A'!#REF!,"AAAAAH49/94=")</f>
        <v>#REF!</v>
      </c>
      <c r="HP39" t="e">
        <f>IF('5to. Bach_A'!#REF!,"AAAAAH49/98=",0)</f>
        <v>#REF!</v>
      </c>
      <c r="HQ39" t="e">
        <f>AND('5to. Bach_A'!#REF!,"AAAAAH49/+A=")</f>
        <v>#REF!</v>
      </c>
      <c r="HR39" t="e">
        <f>AND('5to. Bach_A'!#REF!,"AAAAAH49/+E=")</f>
        <v>#REF!</v>
      </c>
      <c r="HS39" t="e">
        <f>AND('5to. Bach_A'!#REF!,"AAAAAH49/+I=")</f>
        <v>#REF!</v>
      </c>
      <c r="HT39" t="e">
        <f>AND('5to. Bach_A'!#REF!,"AAAAAH49/+M=")</f>
        <v>#REF!</v>
      </c>
      <c r="HU39" t="e">
        <f>AND('5to. Bach_A'!#REF!,"AAAAAH49/+Q=")</f>
        <v>#REF!</v>
      </c>
      <c r="HV39" t="e">
        <f>AND('5to. Bach_A'!#REF!,"AAAAAH49/+U=")</f>
        <v>#REF!</v>
      </c>
      <c r="HW39" t="e">
        <f>AND('5to. Bach_A'!#REF!,"AAAAAH49/+Y=")</f>
        <v>#REF!</v>
      </c>
      <c r="HX39" t="e">
        <f>AND('5to. Bach_A'!#REF!,"AAAAAH49/+c=")</f>
        <v>#REF!</v>
      </c>
      <c r="HY39" t="e">
        <f>AND('5to. Bach_A'!#REF!,"AAAAAH49/+g=")</f>
        <v>#REF!</v>
      </c>
      <c r="HZ39" t="e">
        <f>AND('5to. Bach_A'!#REF!,"AAAAAH49/+k=")</f>
        <v>#REF!</v>
      </c>
      <c r="IA39" t="e">
        <f>AND('5to. Bach_A'!#REF!,"AAAAAH49/+o=")</f>
        <v>#REF!</v>
      </c>
      <c r="IB39" t="e">
        <f>AND('5to. Bach_A'!#REF!,"AAAAAH49/+s=")</f>
        <v>#REF!</v>
      </c>
      <c r="IC39" t="e">
        <f>AND('5to. Bach_A'!#REF!,"AAAAAH49/+w=")</f>
        <v>#REF!</v>
      </c>
      <c r="ID39" t="e">
        <f>AND('5to. Bach_A'!#REF!,"AAAAAH49/+0=")</f>
        <v>#REF!</v>
      </c>
      <c r="IE39" t="e">
        <f>AND('5to. Bach_A'!#REF!,"AAAAAH49/+4=")</f>
        <v>#REF!</v>
      </c>
      <c r="IF39" t="e">
        <f>AND('5to. Bach_A'!#REF!,"AAAAAH49/+8=")</f>
        <v>#REF!</v>
      </c>
      <c r="IG39" t="e">
        <f>AND('5to. Bach_A'!#REF!,"AAAAAH49//A=")</f>
        <v>#REF!</v>
      </c>
      <c r="IH39" t="e">
        <f>AND('5to. Bach_A'!#REF!,"AAAAAH49//E=")</f>
        <v>#REF!</v>
      </c>
      <c r="II39" t="e">
        <f>AND('5to. Bach_A'!#REF!,"AAAAAH49//I=")</f>
        <v>#REF!</v>
      </c>
      <c r="IJ39" t="e">
        <f>AND('5to. Bach_A'!#REF!,"AAAAAH49//M=")</f>
        <v>#REF!</v>
      </c>
      <c r="IK39" t="e">
        <f>AND('5to. Bach_A'!#REF!,"AAAAAH49//Q=")</f>
        <v>#REF!</v>
      </c>
      <c r="IL39" t="e">
        <f>AND('5to. Bach_A'!#REF!,"AAAAAH49//U=")</f>
        <v>#REF!</v>
      </c>
      <c r="IM39" t="e">
        <f>AND('5to. Bach_A'!#REF!,"AAAAAH49//Y=")</f>
        <v>#REF!</v>
      </c>
      <c r="IN39" t="e">
        <f>AND('5to. Bach_A'!#REF!,"AAAAAH49//c=")</f>
        <v>#REF!</v>
      </c>
      <c r="IO39" t="e">
        <f>AND('5to. Bach_A'!#REF!,"AAAAAH49//g=")</f>
        <v>#REF!</v>
      </c>
      <c r="IP39" t="e">
        <f>IF('5to. Bach_A'!#REF!,"AAAAAH49//k=",0)</f>
        <v>#REF!</v>
      </c>
      <c r="IQ39" t="e">
        <f>AND('5to. Bach_A'!#REF!,"AAAAAH49//o=")</f>
        <v>#REF!</v>
      </c>
      <c r="IR39" t="e">
        <f>AND('5to. Bach_A'!#REF!,"AAAAAH49//s=")</f>
        <v>#REF!</v>
      </c>
      <c r="IS39" t="e">
        <f>AND('5to. Bach_A'!#REF!,"AAAAAH49//w=")</f>
        <v>#REF!</v>
      </c>
      <c r="IT39" t="e">
        <f>AND('5to. Bach_A'!#REF!,"AAAAAH49//0=")</f>
        <v>#REF!</v>
      </c>
      <c r="IU39" t="e">
        <f>AND('5to. Bach_A'!#REF!,"AAAAAH49//4=")</f>
        <v>#REF!</v>
      </c>
      <c r="IV39" t="e">
        <f>AND('5to. Bach_A'!#REF!,"AAAAAH49//8=")</f>
        <v>#REF!</v>
      </c>
    </row>
    <row r="40" spans="1:256">
      <c r="A40" t="e">
        <f>AND('5to. Bach_A'!#REF!,"AAAAAHl32wA=")</f>
        <v>#REF!</v>
      </c>
      <c r="B40" t="e">
        <f>AND('5to. Bach_A'!#REF!,"AAAAAHl32wE=")</f>
        <v>#REF!</v>
      </c>
      <c r="C40" t="e">
        <f>AND('5to. Bach_A'!#REF!,"AAAAAHl32wI=")</f>
        <v>#REF!</v>
      </c>
      <c r="D40" t="e">
        <f>AND('5to. Bach_A'!#REF!,"AAAAAHl32wM=")</f>
        <v>#REF!</v>
      </c>
      <c r="E40" t="e">
        <f>AND('5to. Bach_A'!#REF!,"AAAAAHl32wQ=")</f>
        <v>#REF!</v>
      </c>
      <c r="F40" t="e">
        <f>AND('5to. Bach_A'!#REF!,"AAAAAHl32wU=")</f>
        <v>#REF!</v>
      </c>
      <c r="G40" t="e">
        <f>AND('5to. Bach_A'!#REF!,"AAAAAHl32wY=")</f>
        <v>#REF!</v>
      </c>
      <c r="H40" t="e">
        <f>AND('5to. Bach_A'!#REF!,"AAAAAHl32wc=")</f>
        <v>#REF!</v>
      </c>
      <c r="I40" t="e">
        <f>AND('5to. Bach_A'!#REF!,"AAAAAHl32wg=")</f>
        <v>#REF!</v>
      </c>
      <c r="J40" t="e">
        <f>AND('5to. Bach_A'!#REF!,"AAAAAHl32wk=")</f>
        <v>#REF!</v>
      </c>
      <c r="K40" t="e">
        <f>AND('5to. Bach_A'!#REF!,"AAAAAHl32wo=")</f>
        <v>#REF!</v>
      </c>
      <c r="L40" t="e">
        <f>AND('5to. Bach_A'!#REF!,"AAAAAHl32ws=")</f>
        <v>#REF!</v>
      </c>
      <c r="M40" t="e">
        <f>AND('5to. Bach_A'!#REF!,"AAAAAHl32ww=")</f>
        <v>#REF!</v>
      </c>
      <c r="N40" t="e">
        <f>AND('5to. Bach_A'!#REF!,"AAAAAHl32w0=")</f>
        <v>#REF!</v>
      </c>
      <c r="O40" t="e">
        <f>AND('5to. Bach_A'!#REF!,"AAAAAHl32w4=")</f>
        <v>#REF!</v>
      </c>
      <c r="P40" t="e">
        <f>AND('5to. Bach_A'!#REF!,"AAAAAHl32w8=")</f>
        <v>#REF!</v>
      </c>
      <c r="Q40" t="e">
        <f>AND('5to. Bach_A'!#REF!,"AAAAAHl32xA=")</f>
        <v>#REF!</v>
      </c>
      <c r="R40" t="e">
        <f>AND('5to. Bach_A'!#REF!,"AAAAAHl32xE=")</f>
        <v>#REF!</v>
      </c>
      <c r="S40" t="e">
        <f>AND('5to. Bach_A'!#REF!,"AAAAAHl32xI=")</f>
        <v>#REF!</v>
      </c>
      <c r="T40" t="e">
        <f>IF('5to. Bach_A'!#REF!,"AAAAAHl32xM=",0)</f>
        <v>#REF!</v>
      </c>
      <c r="U40" t="e">
        <f>AND('5to. Bach_A'!#REF!,"AAAAAHl32xQ=")</f>
        <v>#REF!</v>
      </c>
      <c r="V40" t="e">
        <f>AND('5to. Bach_A'!#REF!,"AAAAAHl32xU=")</f>
        <v>#REF!</v>
      </c>
      <c r="W40" t="e">
        <f>AND('5to. Bach_A'!#REF!,"AAAAAHl32xY=")</f>
        <v>#REF!</v>
      </c>
      <c r="X40" t="e">
        <f>AND('5to. Bach_A'!#REF!,"AAAAAHl32xc=")</f>
        <v>#REF!</v>
      </c>
      <c r="Y40" t="e">
        <f>AND('5to. Bach_A'!#REF!,"AAAAAHl32xg=")</f>
        <v>#REF!</v>
      </c>
      <c r="Z40" t="e">
        <f>AND('5to. Bach_A'!#REF!,"AAAAAHl32xk=")</f>
        <v>#REF!</v>
      </c>
      <c r="AA40" t="e">
        <f>AND('5to. Bach_A'!#REF!,"AAAAAHl32xo=")</f>
        <v>#REF!</v>
      </c>
      <c r="AB40" t="e">
        <f>AND('5to. Bach_A'!#REF!,"AAAAAHl32xs=")</f>
        <v>#REF!</v>
      </c>
      <c r="AC40" t="e">
        <f>AND('5to. Bach_A'!#REF!,"AAAAAHl32xw=")</f>
        <v>#REF!</v>
      </c>
      <c r="AD40" t="e">
        <f>AND('5to. Bach_A'!#REF!,"AAAAAHl32x0=")</f>
        <v>#REF!</v>
      </c>
      <c r="AE40" t="e">
        <f>AND('5to. Bach_A'!#REF!,"AAAAAHl32x4=")</f>
        <v>#REF!</v>
      </c>
      <c r="AF40" t="e">
        <f>AND('5to. Bach_A'!#REF!,"AAAAAHl32x8=")</f>
        <v>#REF!</v>
      </c>
      <c r="AG40" t="e">
        <f>AND('5to. Bach_A'!#REF!,"AAAAAHl32yA=")</f>
        <v>#REF!</v>
      </c>
      <c r="AH40" t="e">
        <f>AND('5to. Bach_A'!#REF!,"AAAAAHl32yE=")</f>
        <v>#REF!</v>
      </c>
      <c r="AI40" t="e">
        <f>AND('5to. Bach_A'!#REF!,"AAAAAHl32yI=")</f>
        <v>#REF!</v>
      </c>
      <c r="AJ40" t="e">
        <f>AND('5to. Bach_A'!#REF!,"AAAAAHl32yM=")</f>
        <v>#REF!</v>
      </c>
      <c r="AK40" t="e">
        <f>AND('5to. Bach_A'!#REF!,"AAAAAHl32yQ=")</f>
        <v>#REF!</v>
      </c>
      <c r="AL40" t="e">
        <f>AND('5to. Bach_A'!#REF!,"AAAAAHl32yU=")</f>
        <v>#REF!</v>
      </c>
      <c r="AM40" t="e">
        <f>AND('5to. Bach_A'!#REF!,"AAAAAHl32yY=")</f>
        <v>#REF!</v>
      </c>
      <c r="AN40" t="e">
        <f>AND('5to. Bach_A'!#REF!,"AAAAAHl32yc=")</f>
        <v>#REF!</v>
      </c>
      <c r="AO40" t="e">
        <f>AND('5to. Bach_A'!#REF!,"AAAAAHl32yg=")</f>
        <v>#REF!</v>
      </c>
      <c r="AP40" t="e">
        <f>AND('5to. Bach_A'!#REF!,"AAAAAHl32yk=")</f>
        <v>#REF!</v>
      </c>
      <c r="AQ40" t="e">
        <f>AND('5to. Bach_A'!#REF!,"AAAAAHl32yo=")</f>
        <v>#REF!</v>
      </c>
      <c r="AR40" t="e">
        <f>AND('5to. Bach_A'!#REF!,"AAAAAHl32ys=")</f>
        <v>#REF!</v>
      </c>
      <c r="AS40" t="e">
        <f>AND('5to. Bach_A'!#REF!,"AAAAAHl32yw=")</f>
        <v>#REF!</v>
      </c>
      <c r="AT40" t="e">
        <f>IF('5to. Bach_A'!#REF!,"AAAAAHl32y0=",0)</f>
        <v>#REF!</v>
      </c>
      <c r="AU40" t="e">
        <f>AND('5to. Bach_A'!#REF!,"AAAAAHl32y4=")</f>
        <v>#REF!</v>
      </c>
      <c r="AV40" t="e">
        <f>AND('5to. Bach_A'!#REF!,"AAAAAHl32y8=")</f>
        <v>#REF!</v>
      </c>
      <c r="AW40" t="e">
        <f>AND('5to. Bach_A'!#REF!,"AAAAAHl32zA=")</f>
        <v>#REF!</v>
      </c>
      <c r="AX40" t="e">
        <f>AND('5to. Bach_A'!#REF!,"AAAAAHl32zE=")</f>
        <v>#REF!</v>
      </c>
      <c r="AY40" t="e">
        <f>AND('5to. Bach_A'!#REF!,"AAAAAHl32zI=")</f>
        <v>#REF!</v>
      </c>
      <c r="AZ40" t="e">
        <f>AND('5to. Bach_A'!#REF!,"AAAAAHl32zM=")</f>
        <v>#REF!</v>
      </c>
      <c r="BA40" t="e">
        <f>AND('5to. Bach_A'!#REF!,"AAAAAHl32zQ=")</f>
        <v>#REF!</v>
      </c>
      <c r="BB40" t="e">
        <f>AND('5to. Bach_A'!#REF!,"AAAAAHl32zU=")</f>
        <v>#REF!</v>
      </c>
      <c r="BC40" t="e">
        <f>AND('5to. Bach_A'!#REF!,"AAAAAHl32zY=")</f>
        <v>#REF!</v>
      </c>
      <c r="BD40" t="e">
        <f>AND('5to. Bach_A'!#REF!,"AAAAAHl32zc=")</f>
        <v>#REF!</v>
      </c>
      <c r="BE40" t="e">
        <f>AND('5to. Bach_A'!#REF!,"AAAAAHl32zg=")</f>
        <v>#REF!</v>
      </c>
      <c r="BF40" t="e">
        <f>AND('5to. Bach_A'!#REF!,"AAAAAHl32zk=")</f>
        <v>#REF!</v>
      </c>
      <c r="BG40" t="e">
        <f>AND('5to. Bach_A'!#REF!,"AAAAAHl32zo=")</f>
        <v>#REF!</v>
      </c>
      <c r="BH40" t="e">
        <f>AND('5to. Bach_A'!#REF!,"AAAAAHl32zs=")</f>
        <v>#REF!</v>
      </c>
      <c r="BI40" t="e">
        <f>AND('5to. Bach_A'!#REF!,"AAAAAHl32zw=")</f>
        <v>#REF!</v>
      </c>
      <c r="BJ40" t="e">
        <f>AND('5to. Bach_A'!#REF!,"AAAAAHl32z0=")</f>
        <v>#REF!</v>
      </c>
      <c r="BK40" t="e">
        <f>AND('5to. Bach_A'!#REF!,"AAAAAHl32z4=")</f>
        <v>#REF!</v>
      </c>
      <c r="BL40" t="e">
        <f>AND('5to. Bach_A'!#REF!,"AAAAAHl32z8=")</f>
        <v>#REF!</v>
      </c>
      <c r="BM40" t="e">
        <f>AND('5to. Bach_A'!#REF!,"AAAAAHl320A=")</f>
        <v>#REF!</v>
      </c>
      <c r="BN40" t="e">
        <f>AND('5to. Bach_A'!#REF!,"AAAAAHl320E=")</f>
        <v>#REF!</v>
      </c>
      <c r="BO40" t="e">
        <f>AND('5to. Bach_A'!#REF!,"AAAAAHl320I=")</f>
        <v>#REF!</v>
      </c>
      <c r="BP40" t="e">
        <f>AND('5to. Bach_A'!#REF!,"AAAAAHl320M=")</f>
        <v>#REF!</v>
      </c>
      <c r="BQ40" t="e">
        <f>AND('5to. Bach_A'!#REF!,"AAAAAHl320Q=")</f>
        <v>#REF!</v>
      </c>
      <c r="BR40" t="e">
        <f>AND('5to. Bach_A'!#REF!,"AAAAAHl320U=")</f>
        <v>#REF!</v>
      </c>
      <c r="BS40" t="e">
        <f>AND('5to. Bach_A'!#REF!,"AAAAAHl320Y=")</f>
        <v>#REF!</v>
      </c>
      <c r="BT40" t="e">
        <f>IF('5to. Bach_A'!#REF!,"AAAAAHl320c=",0)</f>
        <v>#REF!</v>
      </c>
      <c r="BU40" t="e">
        <f>AND('5to. Bach_A'!#REF!,"AAAAAHl320g=")</f>
        <v>#REF!</v>
      </c>
      <c r="BV40" t="e">
        <f>AND('5to. Bach_A'!#REF!,"AAAAAHl320k=")</f>
        <v>#REF!</v>
      </c>
      <c r="BW40" t="e">
        <f>AND('5to. Bach_A'!#REF!,"AAAAAHl320o=")</f>
        <v>#REF!</v>
      </c>
      <c r="BX40" t="e">
        <f>AND('5to. Bach_A'!#REF!,"AAAAAHl320s=")</f>
        <v>#REF!</v>
      </c>
      <c r="BY40" t="e">
        <f>AND('5to. Bach_A'!#REF!,"AAAAAHl320w=")</f>
        <v>#REF!</v>
      </c>
      <c r="BZ40" t="e">
        <f>AND('5to. Bach_A'!#REF!,"AAAAAHl3200=")</f>
        <v>#REF!</v>
      </c>
      <c r="CA40" t="e">
        <f>AND('5to. Bach_A'!#REF!,"AAAAAHl3204=")</f>
        <v>#REF!</v>
      </c>
      <c r="CB40" t="e">
        <f>AND('5to. Bach_A'!#REF!,"AAAAAHl3208=")</f>
        <v>#REF!</v>
      </c>
      <c r="CC40" t="e">
        <f>AND('5to. Bach_A'!#REF!,"AAAAAHl321A=")</f>
        <v>#REF!</v>
      </c>
      <c r="CD40" t="e">
        <f>AND('5to. Bach_A'!#REF!,"AAAAAHl321E=")</f>
        <v>#REF!</v>
      </c>
      <c r="CE40" t="e">
        <f>AND('5to. Bach_A'!#REF!,"AAAAAHl321I=")</f>
        <v>#REF!</v>
      </c>
      <c r="CF40" t="e">
        <f>AND('5to. Bach_A'!#REF!,"AAAAAHl321M=")</f>
        <v>#REF!</v>
      </c>
      <c r="CG40" t="e">
        <f>AND('5to. Bach_A'!#REF!,"AAAAAHl321Q=")</f>
        <v>#REF!</v>
      </c>
      <c r="CH40" t="e">
        <f>AND('5to. Bach_A'!#REF!,"AAAAAHl321U=")</f>
        <v>#REF!</v>
      </c>
      <c r="CI40" t="e">
        <f>AND('5to. Bach_A'!#REF!,"AAAAAHl321Y=")</f>
        <v>#REF!</v>
      </c>
      <c r="CJ40" t="e">
        <f>AND('5to. Bach_A'!#REF!,"AAAAAHl321c=")</f>
        <v>#REF!</v>
      </c>
      <c r="CK40" t="e">
        <f>AND('5to. Bach_A'!#REF!,"AAAAAHl321g=")</f>
        <v>#REF!</v>
      </c>
      <c r="CL40" t="e">
        <f>AND('5to. Bach_A'!#REF!,"AAAAAHl321k=")</f>
        <v>#REF!</v>
      </c>
      <c r="CM40" t="e">
        <f>AND('5to. Bach_A'!#REF!,"AAAAAHl321o=")</f>
        <v>#REF!</v>
      </c>
      <c r="CN40" t="e">
        <f>AND('5to. Bach_A'!#REF!,"AAAAAHl321s=")</f>
        <v>#REF!</v>
      </c>
      <c r="CO40" t="e">
        <f>AND('5to. Bach_A'!#REF!,"AAAAAHl321w=")</f>
        <v>#REF!</v>
      </c>
      <c r="CP40" t="e">
        <f>AND('5to. Bach_A'!#REF!,"AAAAAHl3210=")</f>
        <v>#REF!</v>
      </c>
      <c r="CQ40" t="e">
        <f>AND('5to. Bach_A'!#REF!,"AAAAAHl3214=")</f>
        <v>#REF!</v>
      </c>
      <c r="CR40" t="e">
        <f>AND('5to. Bach_A'!#REF!,"AAAAAHl3218=")</f>
        <v>#REF!</v>
      </c>
      <c r="CS40" t="e">
        <f>AND('5to. Bach_A'!#REF!,"AAAAAHl322A=")</f>
        <v>#REF!</v>
      </c>
      <c r="CT40" t="e">
        <f>IF('5to. Bach_A'!#REF!,"AAAAAHl322E=",0)</f>
        <v>#REF!</v>
      </c>
      <c r="CU40" t="e">
        <f>AND('5to. Bach_A'!#REF!,"AAAAAHl322I=")</f>
        <v>#REF!</v>
      </c>
      <c r="CV40" t="e">
        <f>AND('5to. Bach_A'!#REF!,"AAAAAHl322M=")</f>
        <v>#REF!</v>
      </c>
      <c r="CW40" t="e">
        <f>AND('5to. Bach_A'!#REF!,"AAAAAHl322Q=")</f>
        <v>#REF!</v>
      </c>
      <c r="CX40" t="e">
        <f>AND('5to. Bach_A'!#REF!,"AAAAAHl322U=")</f>
        <v>#REF!</v>
      </c>
      <c r="CY40" t="e">
        <f>AND('5to. Bach_A'!#REF!,"AAAAAHl322Y=")</f>
        <v>#REF!</v>
      </c>
      <c r="CZ40" t="e">
        <f>AND('5to. Bach_A'!#REF!,"AAAAAHl322c=")</f>
        <v>#REF!</v>
      </c>
      <c r="DA40" t="e">
        <f>AND('5to. Bach_A'!#REF!,"AAAAAHl322g=")</f>
        <v>#REF!</v>
      </c>
      <c r="DB40" t="e">
        <f>AND('5to. Bach_A'!#REF!,"AAAAAHl322k=")</f>
        <v>#REF!</v>
      </c>
      <c r="DC40" t="e">
        <f>AND('5to. Bach_A'!#REF!,"AAAAAHl322o=")</f>
        <v>#REF!</v>
      </c>
      <c r="DD40" t="e">
        <f>AND('5to. Bach_A'!#REF!,"AAAAAHl322s=")</f>
        <v>#REF!</v>
      </c>
      <c r="DE40" t="e">
        <f>AND('5to. Bach_A'!#REF!,"AAAAAHl322w=")</f>
        <v>#REF!</v>
      </c>
      <c r="DF40" t="e">
        <f>AND('5to. Bach_A'!#REF!,"AAAAAHl3220=")</f>
        <v>#REF!</v>
      </c>
      <c r="DG40" t="e">
        <f>AND('5to. Bach_A'!#REF!,"AAAAAHl3224=")</f>
        <v>#REF!</v>
      </c>
      <c r="DH40" t="e">
        <f>AND('5to. Bach_A'!#REF!,"AAAAAHl3228=")</f>
        <v>#REF!</v>
      </c>
      <c r="DI40" t="e">
        <f>AND('5to. Bach_A'!#REF!,"AAAAAHl323A=")</f>
        <v>#REF!</v>
      </c>
      <c r="DJ40" t="e">
        <f>AND('5to. Bach_A'!#REF!,"AAAAAHl323E=")</f>
        <v>#REF!</v>
      </c>
      <c r="DK40" t="e">
        <f>AND('5to. Bach_A'!#REF!,"AAAAAHl323I=")</f>
        <v>#REF!</v>
      </c>
      <c r="DL40" t="e">
        <f>AND('5to. Bach_A'!#REF!,"AAAAAHl323M=")</f>
        <v>#REF!</v>
      </c>
      <c r="DM40" t="e">
        <f>AND('5to. Bach_A'!#REF!,"AAAAAHl323Q=")</f>
        <v>#REF!</v>
      </c>
      <c r="DN40" t="e">
        <f>AND('5to. Bach_A'!#REF!,"AAAAAHl323U=")</f>
        <v>#REF!</v>
      </c>
      <c r="DO40" t="e">
        <f>AND('5to. Bach_A'!#REF!,"AAAAAHl323Y=")</f>
        <v>#REF!</v>
      </c>
      <c r="DP40" t="e">
        <f>AND('5to. Bach_A'!#REF!,"AAAAAHl323c=")</f>
        <v>#REF!</v>
      </c>
      <c r="DQ40" t="e">
        <f>AND('5to. Bach_A'!#REF!,"AAAAAHl323g=")</f>
        <v>#REF!</v>
      </c>
      <c r="DR40" t="e">
        <f>AND('5to. Bach_A'!#REF!,"AAAAAHl323k=")</f>
        <v>#REF!</v>
      </c>
      <c r="DS40" t="e">
        <f>AND('5to. Bach_A'!#REF!,"AAAAAHl323o=")</f>
        <v>#REF!</v>
      </c>
      <c r="DT40" t="e">
        <f>IF('5to. Bach_A'!#REF!,"AAAAAHl323s=",0)</f>
        <v>#REF!</v>
      </c>
      <c r="DU40" t="e">
        <f>AND('5to. Bach_A'!#REF!,"AAAAAHl323w=")</f>
        <v>#REF!</v>
      </c>
      <c r="DV40" t="e">
        <f>AND('5to. Bach_A'!#REF!,"AAAAAHl3230=")</f>
        <v>#REF!</v>
      </c>
      <c r="DW40" t="e">
        <f>AND('5to. Bach_A'!#REF!,"AAAAAHl3234=")</f>
        <v>#REF!</v>
      </c>
      <c r="DX40" t="e">
        <f>AND('5to. Bach_A'!#REF!,"AAAAAHl3238=")</f>
        <v>#REF!</v>
      </c>
      <c r="DY40" t="e">
        <f>AND('5to. Bach_A'!#REF!,"AAAAAHl324A=")</f>
        <v>#REF!</v>
      </c>
      <c r="DZ40" t="e">
        <f>AND('5to. Bach_A'!#REF!,"AAAAAHl324E=")</f>
        <v>#REF!</v>
      </c>
      <c r="EA40" t="e">
        <f>AND('5to. Bach_A'!#REF!,"AAAAAHl324I=")</f>
        <v>#REF!</v>
      </c>
      <c r="EB40" t="e">
        <f>AND('5to. Bach_A'!#REF!,"AAAAAHl324M=")</f>
        <v>#REF!</v>
      </c>
      <c r="EC40" t="e">
        <f>AND('5to. Bach_A'!#REF!,"AAAAAHl324Q=")</f>
        <v>#REF!</v>
      </c>
      <c r="ED40" t="e">
        <f>AND('5to. Bach_A'!#REF!,"AAAAAHl324U=")</f>
        <v>#REF!</v>
      </c>
      <c r="EE40" t="e">
        <f>AND('5to. Bach_A'!#REF!,"AAAAAHl324Y=")</f>
        <v>#REF!</v>
      </c>
      <c r="EF40" t="e">
        <f>AND('5to. Bach_A'!#REF!,"AAAAAHl324c=")</f>
        <v>#REF!</v>
      </c>
      <c r="EG40" t="e">
        <f>AND('5to. Bach_A'!#REF!,"AAAAAHl324g=")</f>
        <v>#REF!</v>
      </c>
      <c r="EH40" t="e">
        <f>AND('5to. Bach_A'!#REF!,"AAAAAHl324k=")</f>
        <v>#REF!</v>
      </c>
      <c r="EI40" t="e">
        <f>AND('5to. Bach_A'!#REF!,"AAAAAHl324o=")</f>
        <v>#REF!</v>
      </c>
      <c r="EJ40" t="e">
        <f>AND('5to. Bach_A'!#REF!,"AAAAAHl324s=")</f>
        <v>#REF!</v>
      </c>
      <c r="EK40" t="e">
        <f>AND('5to. Bach_A'!#REF!,"AAAAAHl324w=")</f>
        <v>#REF!</v>
      </c>
      <c r="EL40" t="e">
        <f>AND('5to. Bach_A'!#REF!,"AAAAAHl3240=")</f>
        <v>#REF!</v>
      </c>
      <c r="EM40" t="e">
        <f>AND('5to. Bach_A'!#REF!,"AAAAAHl3244=")</f>
        <v>#REF!</v>
      </c>
      <c r="EN40" t="e">
        <f>AND('5to. Bach_A'!#REF!,"AAAAAHl3248=")</f>
        <v>#REF!</v>
      </c>
      <c r="EO40" t="e">
        <f>AND('5to. Bach_A'!#REF!,"AAAAAHl325A=")</f>
        <v>#REF!</v>
      </c>
      <c r="EP40" t="e">
        <f>AND('5to. Bach_A'!#REF!,"AAAAAHl325E=")</f>
        <v>#REF!</v>
      </c>
      <c r="EQ40" t="e">
        <f>AND('5to. Bach_A'!#REF!,"AAAAAHl325I=")</f>
        <v>#REF!</v>
      </c>
      <c r="ER40" t="e">
        <f>AND('5to. Bach_A'!#REF!,"AAAAAHl325M=")</f>
        <v>#REF!</v>
      </c>
      <c r="ES40" t="e">
        <f>AND('5to. Bach_A'!#REF!,"AAAAAHl325Q=")</f>
        <v>#REF!</v>
      </c>
      <c r="ET40" t="e">
        <f>IF('5to. Bach_A'!#REF!,"AAAAAHl325U=",0)</f>
        <v>#REF!</v>
      </c>
      <c r="EU40" t="e">
        <f>AND('5to. Bach_A'!#REF!,"AAAAAHl325Y=")</f>
        <v>#REF!</v>
      </c>
      <c r="EV40" t="e">
        <f>AND('5to. Bach_A'!#REF!,"AAAAAHl325c=")</f>
        <v>#REF!</v>
      </c>
      <c r="EW40" t="e">
        <f>AND('5to. Bach_A'!#REF!,"AAAAAHl325g=")</f>
        <v>#REF!</v>
      </c>
      <c r="EX40" t="e">
        <f>AND('5to. Bach_A'!#REF!,"AAAAAHl325k=")</f>
        <v>#REF!</v>
      </c>
      <c r="EY40" t="e">
        <f>AND('5to. Bach_A'!#REF!,"AAAAAHl325o=")</f>
        <v>#REF!</v>
      </c>
      <c r="EZ40" t="e">
        <f>AND('5to. Bach_A'!#REF!,"AAAAAHl325s=")</f>
        <v>#REF!</v>
      </c>
      <c r="FA40" t="e">
        <f>AND('5to. Bach_A'!#REF!,"AAAAAHl325w=")</f>
        <v>#REF!</v>
      </c>
      <c r="FB40" t="e">
        <f>AND('5to. Bach_A'!#REF!,"AAAAAHl3250=")</f>
        <v>#REF!</v>
      </c>
      <c r="FC40" t="e">
        <f>AND('5to. Bach_A'!#REF!,"AAAAAHl3254=")</f>
        <v>#REF!</v>
      </c>
      <c r="FD40" t="e">
        <f>AND('5to. Bach_A'!#REF!,"AAAAAHl3258=")</f>
        <v>#REF!</v>
      </c>
      <c r="FE40" t="e">
        <f>AND('5to. Bach_A'!#REF!,"AAAAAHl326A=")</f>
        <v>#REF!</v>
      </c>
      <c r="FF40" t="e">
        <f>AND('5to. Bach_A'!#REF!,"AAAAAHl326E=")</f>
        <v>#REF!</v>
      </c>
      <c r="FG40" t="e">
        <f>AND('5to. Bach_A'!#REF!,"AAAAAHl326I=")</f>
        <v>#REF!</v>
      </c>
      <c r="FH40" t="e">
        <f>AND('5to. Bach_A'!#REF!,"AAAAAHl326M=")</f>
        <v>#REF!</v>
      </c>
      <c r="FI40" t="e">
        <f>AND('5to. Bach_A'!#REF!,"AAAAAHl326Q=")</f>
        <v>#REF!</v>
      </c>
      <c r="FJ40" t="e">
        <f>AND('5to. Bach_A'!#REF!,"AAAAAHl326U=")</f>
        <v>#REF!</v>
      </c>
      <c r="FK40" t="e">
        <f>AND('5to. Bach_A'!#REF!,"AAAAAHl326Y=")</f>
        <v>#REF!</v>
      </c>
      <c r="FL40" t="e">
        <f>AND('5to. Bach_A'!#REF!,"AAAAAHl326c=")</f>
        <v>#REF!</v>
      </c>
      <c r="FM40" t="e">
        <f>AND('5to. Bach_A'!#REF!,"AAAAAHl326g=")</f>
        <v>#REF!</v>
      </c>
      <c r="FN40" t="e">
        <f>AND('5to. Bach_A'!#REF!,"AAAAAHl326k=")</f>
        <v>#REF!</v>
      </c>
      <c r="FO40" t="e">
        <f>AND('5to. Bach_A'!#REF!,"AAAAAHl326o=")</f>
        <v>#REF!</v>
      </c>
      <c r="FP40" t="e">
        <f>AND('5to. Bach_A'!#REF!,"AAAAAHl326s=")</f>
        <v>#REF!</v>
      </c>
      <c r="FQ40" t="e">
        <f>AND('5to. Bach_A'!#REF!,"AAAAAHl326w=")</f>
        <v>#REF!</v>
      </c>
      <c r="FR40" t="e">
        <f>AND('5to. Bach_A'!#REF!,"AAAAAHl3260=")</f>
        <v>#REF!</v>
      </c>
      <c r="FS40" t="e">
        <f>AND('5to. Bach_A'!#REF!,"AAAAAHl3264=")</f>
        <v>#REF!</v>
      </c>
      <c r="FT40" t="e">
        <f>IF('5to. Bach_A'!#REF!,"AAAAAHl3268=",0)</f>
        <v>#REF!</v>
      </c>
      <c r="FU40" t="e">
        <f>AND('5to. Bach_A'!#REF!,"AAAAAHl327A=")</f>
        <v>#REF!</v>
      </c>
      <c r="FV40" t="e">
        <f>AND('5to. Bach_A'!#REF!,"AAAAAHl327E=")</f>
        <v>#REF!</v>
      </c>
      <c r="FW40" t="e">
        <f>AND('5to. Bach_A'!#REF!,"AAAAAHl327I=")</f>
        <v>#REF!</v>
      </c>
      <c r="FX40" t="e">
        <f>AND('5to. Bach_A'!#REF!,"AAAAAHl327M=")</f>
        <v>#REF!</v>
      </c>
      <c r="FY40" t="e">
        <f>AND('5to. Bach_A'!#REF!,"AAAAAHl327Q=")</f>
        <v>#REF!</v>
      </c>
      <c r="FZ40" t="e">
        <f>AND('5to. Bach_A'!#REF!,"AAAAAHl327U=")</f>
        <v>#REF!</v>
      </c>
      <c r="GA40" t="e">
        <f>AND('5to. Bach_A'!#REF!,"AAAAAHl327Y=")</f>
        <v>#REF!</v>
      </c>
      <c r="GB40" t="e">
        <f>AND('5to. Bach_A'!#REF!,"AAAAAHl327c=")</f>
        <v>#REF!</v>
      </c>
      <c r="GC40" t="e">
        <f>AND('5to. Bach_A'!#REF!,"AAAAAHl327g=")</f>
        <v>#REF!</v>
      </c>
      <c r="GD40" t="e">
        <f>AND('5to. Bach_A'!#REF!,"AAAAAHl327k=")</f>
        <v>#REF!</v>
      </c>
      <c r="GE40" t="e">
        <f>AND('5to. Bach_A'!#REF!,"AAAAAHl327o=")</f>
        <v>#REF!</v>
      </c>
      <c r="GF40" t="e">
        <f>AND('5to. Bach_A'!#REF!,"AAAAAHl327s=")</f>
        <v>#REF!</v>
      </c>
      <c r="GG40" t="e">
        <f>AND('5to. Bach_A'!#REF!,"AAAAAHl327w=")</f>
        <v>#REF!</v>
      </c>
      <c r="GH40" t="e">
        <f>AND('5to. Bach_A'!#REF!,"AAAAAHl3270=")</f>
        <v>#REF!</v>
      </c>
      <c r="GI40" t="e">
        <f>AND('5to. Bach_A'!#REF!,"AAAAAHl3274=")</f>
        <v>#REF!</v>
      </c>
      <c r="GJ40" t="e">
        <f>AND('5to. Bach_A'!#REF!,"AAAAAHl3278=")</f>
        <v>#REF!</v>
      </c>
      <c r="GK40" t="e">
        <f>AND('5to. Bach_A'!#REF!,"AAAAAHl328A=")</f>
        <v>#REF!</v>
      </c>
      <c r="GL40" t="e">
        <f>AND('5to. Bach_A'!#REF!,"AAAAAHl328E=")</f>
        <v>#REF!</v>
      </c>
      <c r="GM40" t="e">
        <f>AND('5to. Bach_A'!#REF!,"AAAAAHl328I=")</f>
        <v>#REF!</v>
      </c>
      <c r="GN40" t="e">
        <f>AND('5to. Bach_A'!#REF!,"AAAAAHl328M=")</f>
        <v>#REF!</v>
      </c>
      <c r="GO40" t="e">
        <f>AND('5to. Bach_A'!#REF!,"AAAAAHl328Q=")</f>
        <v>#REF!</v>
      </c>
      <c r="GP40" t="e">
        <f>AND('5to. Bach_A'!#REF!,"AAAAAHl328U=")</f>
        <v>#REF!</v>
      </c>
      <c r="GQ40" t="e">
        <f>AND('5to. Bach_A'!#REF!,"AAAAAHl328Y=")</f>
        <v>#REF!</v>
      </c>
      <c r="GR40" t="e">
        <f>AND('5to. Bach_A'!#REF!,"AAAAAHl328c=")</f>
        <v>#REF!</v>
      </c>
      <c r="GS40" t="e">
        <f>AND('5to. Bach_A'!#REF!,"AAAAAHl328g=")</f>
        <v>#REF!</v>
      </c>
      <c r="GT40" t="e">
        <f>IF('5to. Bach_A'!#REF!,"AAAAAHl328k=",0)</f>
        <v>#REF!</v>
      </c>
      <c r="GU40" t="e">
        <f>AND('5to. Bach_A'!#REF!,"AAAAAHl328o=")</f>
        <v>#REF!</v>
      </c>
      <c r="GV40" t="e">
        <f>AND('5to. Bach_A'!#REF!,"AAAAAHl328s=")</f>
        <v>#REF!</v>
      </c>
      <c r="GW40" t="e">
        <f>AND('5to. Bach_A'!#REF!,"AAAAAHl328w=")</f>
        <v>#REF!</v>
      </c>
      <c r="GX40" t="e">
        <f>AND('5to. Bach_A'!#REF!,"AAAAAHl3280=")</f>
        <v>#REF!</v>
      </c>
      <c r="GY40" t="e">
        <f>AND('5to. Bach_A'!#REF!,"AAAAAHl3284=")</f>
        <v>#REF!</v>
      </c>
      <c r="GZ40" t="e">
        <f>AND('5to. Bach_A'!#REF!,"AAAAAHl3288=")</f>
        <v>#REF!</v>
      </c>
      <c r="HA40" t="e">
        <f>AND('5to. Bach_A'!#REF!,"AAAAAHl329A=")</f>
        <v>#REF!</v>
      </c>
      <c r="HB40" t="e">
        <f>AND('5to. Bach_A'!#REF!,"AAAAAHl329E=")</f>
        <v>#REF!</v>
      </c>
      <c r="HC40" t="e">
        <f>AND('5to. Bach_A'!#REF!,"AAAAAHl329I=")</f>
        <v>#REF!</v>
      </c>
      <c r="HD40" t="e">
        <f>AND('5to. Bach_A'!#REF!,"AAAAAHl329M=")</f>
        <v>#REF!</v>
      </c>
      <c r="HE40" t="e">
        <f>AND('5to. Bach_A'!#REF!,"AAAAAHl329Q=")</f>
        <v>#REF!</v>
      </c>
      <c r="HF40" t="e">
        <f>AND('5to. Bach_A'!#REF!,"AAAAAHl329U=")</f>
        <v>#REF!</v>
      </c>
      <c r="HG40" t="e">
        <f>AND('5to. Bach_A'!#REF!,"AAAAAHl329Y=")</f>
        <v>#REF!</v>
      </c>
      <c r="HH40" t="e">
        <f>AND('5to. Bach_A'!#REF!,"AAAAAHl329c=")</f>
        <v>#REF!</v>
      </c>
      <c r="HI40" t="e">
        <f>AND('5to. Bach_A'!#REF!,"AAAAAHl329g=")</f>
        <v>#REF!</v>
      </c>
      <c r="HJ40" t="e">
        <f>AND('5to. Bach_A'!#REF!,"AAAAAHl329k=")</f>
        <v>#REF!</v>
      </c>
      <c r="HK40" t="e">
        <f>AND('5to. Bach_A'!#REF!,"AAAAAHl329o=")</f>
        <v>#REF!</v>
      </c>
      <c r="HL40" t="e">
        <f>AND('5to. Bach_A'!#REF!,"AAAAAHl329s=")</f>
        <v>#REF!</v>
      </c>
      <c r="HM40" t="e">
        <f>AND('5to. Bach_A'!#REF!,"AAAAAHl329w=")</f>
        <v>#REF!</v>
      </c>
      <c r="HN40" t="e">
        <f>AND('5to. Bach_A'!#REF!,"AAAAAHl3290=")</f>
        <v>#REF!</v>
      </c>
      <c r="HO40" t="e">
        <f>AND('5to. Bach_A'!#REF!,"AAAAAHl3294=")</f>
        <v>#REF!</v>
      </c>
      <c r="HP40" t="e">
        <f>AND('5to. Bach_A'!#REF!,"AAAAAHl3298=")</f>
        <v>#REF!</v>
      </c>
      <c r="HQ40" t="e">
        <f>AND('5to. Bach_A'!#REF!,"AAAAAHl32+A=")</f>
        <v>#REF!</v>
      </c>
      <c r="HR40" t="e">
        <f>AND('5to. Bach_A'!#REF!,"AAAAAHl32+E=")</f>
        <v>#REF!</v>
      </c>
      <c r="HS40" t="e">
        <f>AND('5to. Bach_A'!#REF!,"AAAAAHl32+I=")</f>
        <v>#REF!</v>
      </c>
      <c r="HT40" t="e">
        <f>IF('5to. Bach_A'!#REF!,"AAAAAHl32+M=",0)</f>
        <v>#REF!</v>
      </c>
      <c r="HU40" t="e">
        <f>AND('5to. Bach_A'!#REF!,"AAAAAHl32+Q=")</f>
        <v>#REF!</v>
      </c>
      <c r="HV40" t="e">
        <f>AND('5to. Bach_A'!#REF!,"AAAAAHl32+U=")</f>
        <v>#REF!</v>
      </c>
      <c r="HW40" t="e">
        <f>AND('5to. Bach_A'!#REF!,"AAAAAHl32+Y=")</f>
        <v>#REF!</v>
      </c>
      <c r="HX40" t="e">
        <f>AND('5to. Bach_A'!#REF!,"AAAAAHl32+c=")</f>
        <v>#REF!</v>
      </c>
      <c r="HY40" t="e">
        <f>AND('5to. Bach_A'!#REF!,"AAAAAHl32+g=")</f>
        <v>#REF!</v>
      </c>
      <c r="HZ40" t="e">
        <f>AND('5to. Bach_A'!#REF!,"AAAAAHl32+k=")</f>
        <v>#REF!</v>
      </c>
      <c r="IA40" t="e">
        <f>AND('5to. Bach_A'!#REF!,"AAAAAHl32+o=")</f>
        <v>#REF!</v>
      </c>
      <c r="IB40" t="e">
        <f>AND('5to. Bach_A'!#REF!,"AAAAAHl32+s=")</f>
        <v>#REF!</v>
      </c>
      <c r="IC40" t="e">
        <f>AND('5to. Bach_A'!#REF!,"AAAAAHl32+w=")</f>
        <v>#REF!</v>
      </c>
      <c r="ID40" t="e">
        <f>AND('5to. Bach_A'!#REF!,"AAAAAHl32+0=")</f>
        <v>#REF!</v>
      </c>
      <c r="IE40" t="e">
        <f>AND('5to. Bach_A'!#REF!,"AAAAAHl32+4=")</f>
        <v>#REF!</v>
      </c>
      <c r="IF40" t="e">
        <f>AND('5to. Bach_A'!#REF!,"AAAAAHl32+8=")</f>
        <v>#REF!</v>
      </c>
      <c r="IG40" t="e">
        <f>AND('5to. Bach_A'!#REF!,"AAAAAHl32/A=")</f>
        <v>#REF!</v>
      </c>
      <c r="IH40" t="e">
        <f>AND('5to. Bach_A'!#REF!,"AAAAAHl32/E=")</f>
        <v>#REF!</v>
      </c>
      <c r="II40" t="e">
        <f>AND('5to. Bach_A'!#REF!,"AAAAAHl32/I=")</f>
        <v>#REF!</v>
      </c>
      <c r="IJ40" t="e">
        <f>AND('5to. Bach_A'!#REF!,"AAAAAHl32/M=")</f>
        <v>#REF!</v>
      </c>
      <c r="IK40" t="e">
        <f>AND('5to. Bach_A'!#REF!,"AAAAAHl32/Q=")</f>
        <v>#REF!</v>
      </c>
      <c r="IL40" t="e">
        <f>AND('5to. Bach_A'!#REF!,"AAAAAHl32/U=")</f>
        <v>#REF!</v>
      </c>
      <c r="IM40" t="e">
        <f>AND('5to. Bach_A'!#REF!,"AAAAAHl32/Y=")</f>
        <v>#REF!</v>
      </c>
      <c r="IN40" t="e">
        <f>AND('5to. Bach_A'!#REF!,"AAAAAHl32/c=")</f>
        <v>#REF!</v>
      </c>
      <c r="IO40" t="e">
        <f>AND('5to. Bach_A'!#REF!,"AAAAAHl32/g=")</f>
        <v>#REF!</v>
      </c>
      <c r="IP40" t="e">
        <f>AND('5to. Bach_A'!#REF!,"AAAAAHl32/k=")</f>
        <v>#REF!</v>
      </c>
      <c r="IQ40" t="e">
        <f>AND('5to. Bach_A'!#REF!,"AAAAAHl32/o=")</f>
        <v>#REF!</v>
      </c>
      <c r="IR40" t="e">
        <f>AND('5to. Bach_A'!#REF!,"AAAAAHl32/s=")</f>
        <v>#REF!</v>
      </c>
      <c r="IS40" t="e">
        <f>AND('5to. Bach_A'!#REF!,"AAAAAHl32/w=")</f>
        <v>#REF!</v>
      </c>
      <c r="IT40" t="e">
        <f>IF('5to. Bach_A'!#REF!,"AAAAAHl32/0=",0)</f>
        <v>#REF!</v>
      </c>
      <c r="IU40" t="e">
        <f>AND('5to. Bach_A'!#REF!,"AAAAAHl32/4=")</f>
        <v>#REF!</v>
      </c>
      <c r="IV40" t="e">
        <f>AND('5to. Bach_A'!#REF!,"AAAAAHl32/8=")</f>
        <v>#REF!</v>
      </c>
    </row>
    <row r="41" spans="1:256">
      <c r="A41" t="e">
        <f>AND('5to. Bach_A'!#REF!,"AAAAAH7slwA=")</f>
        <v>#REF!</v>
      </c>
      <c r="B41" t="e">
        <f>AND('5to. Bach_A'!#REF!,"AAAAAH7slwE=")</f>
        <v>#REF!</v>
      </c>
      <c r="C41" t="e">
        <f>AND('5to. Bach_A'!#REF!,"AAAAAH7slwI=")</f>
        <v>#REF!</v>
      </c>
      <c r="D41" t="e">
        <f>AND('5to. Bach_A'!#REF!,"AAAAAH7slwM=")</f>
        <v>#REF!</v>
      </c>
      <c r="E41" t="e">
        <f>AND('5to. Bach_A'!#REF!,"AAAAAH7slwQ=")</f>
        <v>#REF!</v>
      </c>
      <c r="F41" t="e">
        <f>AND('5to. Bach_A'!#REF!,"AAAAAH7slwU=")</f>
        <v>#REF!</v>
      </c>
      <c r="G41" t="e">
        <f>AND('5to. Bach_A'!#REF!,"AAAAAH7slwY=")</f>
        <v>#REF!</v>
      </c>
      <c r="H41" t="e">
        <f>AND('5to. Bach_A'!#REF!,"AAAAAH7slwc=")</f>
        <v>#REF!</v>
      </c>
      <c r="I41" t="e">
        <f>AND('5to. Bach_A'!#REF!,"AAAAAH7slwg=")</f>
        <v>#REF!</v>
      </c>
      <c r="J41" t="e">
        <f>AND('5to. Bach_A'!#REF!,"AAAAAH7slwk=")</f>
        <v>#REF!</v>
      </c>
      <c r="K41" t="e">
        <f>AND('5to. Bach_A'!#REF!,"AAAAAH7slwo=")</f>
        <v>#REF!</v>
      </c>
      <c r="L41" t="e">
        <f>AND('5to. Bach_A'!#REF!,"AAAAAH7slws=")</f>
        <v>#REF!</v>
      </c>
      <c r="M41" t="e">
        <f>AND('5to. Bach_A'!#REF!,"AAAAAH7slww=")</f>
        <v>#REF!</v>
      </c>
      <c r="N41" t="e">
        <f>AND('5to. Bach_A'!#REF!,"AAAAAH7slw0=")</f>
        <v>#REF!</v>
      </c>
      <c r="O41" t="e">
        <f>AND('5to. Bach_A'!#REF!,"AAAAAH7slw4=")</f>
        <v>#REF!</v>
      </c>
      <c r="P41" t="e">
        <f>AND('5to. Bach_A'!#REF!,"AAAAAH7slw8=")</f>
        <v>#REF!</v>
      </c>
      <c r="Q41" t="e">
        <f>AND('5to. Bach_A'!#REF!,"AAAAAH7slxA=")</f>
        <v>#REF!</v>
      </c>
      <c r="R41" t="e">
        <f>AND('5to. Bach_A'!#REF!,"AAAAAH7slxE=")</f>
        <v>#REF!</v>
      </c>
      <c r="S41" t="e">
        <f>AND('5to. Bach_A'!#REF!,"AAAAAH7slxI=")</f>
        <v>#REF!</v>
      </c>
      <c r="T41" t="e">
        <f>AND('5to. Bach_A'!#REF!,"AAAAAH7slxM=")</f>
        <v>#REF!</v>
      </c>
      <c r="U41" t="e">
        <f>AND('5to. Bach_A'!#REF!,"AAAAAH7slxQ=")</f>
        <v>#REF!</v>
      </c>
      <c r="V41" t="e">
        <f>AND('5to. Bach_A'!#REF!,"AAAAAH7slxU=")</f>
        <v>#REF!</v>
      </c>
      <c r="W41" t="e">
        <f>AND('5to. Bach_A'!#REF!,"AAAAAH7slxY=")</f>
        <v>#REF!</v>
      </c>
      <c r="X41" t="e">
        <f>IF('5to. Bach_A'!#REF!,"AAAAAH7slxc=",0)</f>
        <v>#REF!</v>
      </c>
      <c r="Y41" t="e">
        <f>AND('5to. Bach_A'!#REF!,"AAAAAH7slxg=")</f>
        <v>#REF!</v>
      </c>
      <c r="Z41" t="e">
        <f>AND('5to. Bach_A'!#REF!,"AAAAAH7slxk=")</f>
        <v>#REF!</v>
      </c>
      <c r="AA41" t="e">
        <f>AND('5to. Bach_A'!#REF!,"AAAAAH7slxo=")</f>
        <v>#REF!</v>
      </c>
      <c r="AB41" t="e">
        <f>AND('5to. Bach_A'!#REF!,"AAAAAH7slxs=")</f>
        <v>#REF!</v>
      </c>
      <c r="AC41" t="e">
        <f>AND('5to. Bach_A'!#REF!,"AAAAAH7slxw=")</f>
        <v>#REF!</v>
      </c>
      <c r="AD41" t="e">
        <f>AND('5to. Bach_A'!#REF!,"AAAAAH7slx0=")</f>
        <v>#REF!</v>
      </c>
      <c r="AE41" t="e">
        <f>AND('5to. Bach_A'!#REF!,"AAAAAH7slx4=")</f>
        <v>#REF!</v>
      </c>
      <c r="AF41" t="e">
        <f>AND('5to. Bach_A'!#REF!,"AAAAAH7slx8=")</f>
        <v>#REF!</v>
      </c>
      <c r="AG41" t="e">
        <f>AND('5to. Bach_A'!#REF!,"AAAAAH7slyA=")</f>
        <v>#REF!</v>
      </c>
      <c r="AH41" t="e">
        <f>AND('5to. Bach_A'!#REF!,"AAAAAH7slyE=")</f>
        <v>#REF!</v>
      </c>
      <c r="AI41" t="e">
        <f>AND('5to. Bach_A'!#REF!,"AAAAAH7slyI=")</f>
        <v>#REF!</v>
      </c>
      <c r="AJ41" t="e">
        <f>AND('5to. Bach_A'!#REF!,"AAAAAH7slyM=")</f>
        <v>#REF!</v>
      </c>
      <c r="AK41" t="e">
        <f>AND('5to. Bach_A'!#REF!,"AAAAAH7slyQ=")</f>
        <v>#REF!</v>
      </c>
      <c r="AL41" t="e">
        <f>AND('5to. Bach_A'!#REF!,"AAAAAH7slyU=")</f>
        <v>#REF!</v>
      </c>
      <c r="AM41" t="e">
        <f>AND('5to. Bach_A'!#REF!,"AAAAAH7slyY=")</f>
        <v>#REF!</v>
      </c>
      <c r="AN41" t="e">
        <f>AND('5to. Bach_A'!#REF!,"AAAAAH7slyc=")</f>
        <v>#REF!</v>
      </c>
      <c r="AO41" t="e">
        <f>AND('5to. Bach_A'!#REF!,"AAAAAH7slyg=")</f>
        <v>#REF!</v>
      </c>
      <c r="AP41" t="e">
        <f>AND('5to. Bach_A'!#REF!,"AAAAAH7slyk=")</f>
        <v>#REF!</v>
      </c>
      <c r="AQ41" t="e">
        <f>AND('5to. Bach_A'!#REF!,"AAAAAH7slyo=")</f>
        <v>#REF!</v>
      </c>
      <c r="AR41" t="e">
        <f>AND('5to. Bach_A'!#REF!,"AAAAAH7slys=")</f>
        <v>#REF!</v>
      </c>
      <c r="AS41" t="e">
        <f>AND('5to. Bach_A'!#REF!,"AAAAAH7slyw=")</f>
        <v>#REF!</v>
      </c>
      <c r="AT41" t="e">
        <f>AND('5to. Bach_A'!#REF!,"AAAAAH7sly0=")</f>
        <v>#REF!</v>
      </c>
      <c r="AU41" t="e">
        <f>AND('5to. Bach_A'!#REF!,"AAAAAH7sly4=")</f>
        <v>#REF!</v>
      </c>
      <c r="AV41" t="e">
        <f>AND('5to. Bach_A'!#REF!,"AAAAAH7sly8=")</f>
        <v>#REF!</v>
      </c>
      <c r="AW41" t="e">
        <f>AND('5to. Bach_A'!#REF!,"AAAAAH7slzA=")</f>
        <v>#REF!</v>
      </c>
      <c r="AX41" t="e">
        <f>IF('5to. Bach_A'!#REF!,"AAAAAH7slzE=",0)</f>
        <v>#REF!</v>
      </c>
      <c r="AY41" t="e">
        <f>AND('5to. Bach_A'!#REF!,"AAAAAH7slzI=")</f>
        <v>#REF!</v>
      </c>
      <c r="AZ41" t="e">
        <f>AND('5to. Bach_A'!#REF!,"AAAAAH7slzM=")</f>
        <v>#REF!</v>
      </c>
      <c r="BA41" t="e">
        <f>AND('5to. Bach_A'!#REF!,"AAAAAH7slzQ=")</f>
        <v>#REF!</v>
      </c>
      <c r="BB41" t="e">
        <f>AND('5to. Bach_A'!#REF!,"AAAAAH7slzU=")</f>
        <v>#REF!</v>
      </c>
      <c r="BC41" t="e">
        <f>AND('5to. Bach_A'!#REF!,"AAAAAH7slzY=")</f>
        <v>#REF!</v>
      </c>
      <c r="BD41" t="e">
        <f>AND('5to. Bach_A'!#REF!,"AAAAAH7slzc=")</f>
        <v>#REF!</v>
      </c>
      <c r="BE41" t="e">
        <f>AND('5to. Bach_A'!#REF!,"AAAAAH7slzg=")</f>
        <v>#REF!</v>
      </c>
      <c r="BF41" t="e">
        <f>AND('5to. Bach_A'!#REF!,"AAAAAH7slzk=")</f>
        <v>#REF!</v>
      </c>
      <c r="BG41" t="e">
        <f>AND('5to. Bach_A'!#REF!,"AAAAAH7slzo=")</f>
        <v>#REF!</v>
      </c>
      <c r="BH41" t="e">
        <f>AND('5to. Bach_A'!#REF!,"AAAAAH7slzs=")</f>
        <v>#REF!</v>
      </c>
      <c r="BI41" t="e">
        <f>AND('5to. Bach_A'!#REF!,"AAAAAH7slzw=")</f>
        <v>#REF!</v>
      </c>
      <c r="BJ41" t="e">
        <f>AND('5to. Bach_A'!#REF!,"AAAAAH7slz0=")</f>
        <v>#REF!</v>
      </c>
      <c r="BK41" t="e">
        <f>AND('5to. Bach_A'!#REF!,"AAAAAH7slz4=")</f>
        <v>#REF!</v>
      </c>
      <c r="BL41" t="e">
        <f>AND('5to. Bach_A'!#REF!,"AAAAAH7slz8=")</f>
        <v>#REF!</v>
      </c>
      <c r="BM41" t="e">
        <f>AND('5to. Bach_A'!#REF!,"AAAAAH7sl0A=")</f>
        <v>#REF!</v>
      </c>
      <c r="BN41" t="e">
        <f>AND('5to. Bach_A'!#REF!,"AAAAAH7sl0E=")</f>
        <v>#REF!</v>
      </c>
      <c r="BO41" t="e">
        <f>AND('5to. Bach_A'!#REF!,"AAAAAH7sl0I=")</f>
        <v>#REF!</v>
      </c>
      <c r="BP41" t="e">
        <f>AND('5to. Bach_A'!#REF!,"AAAAAH7sl0M=")</f>
        <v>#REF!</v>
      </c>
      <c r="BQ41" t="e">
        <f>AND('5to. Bach_A'!#REF!,"AAAAAH7sl0Q=")</f>
        <v>#REF!</v>
      </c>
      <c r="BR41" t="e">
        <f>AND('5to. Bach_A'!#REF!,"AAAAAH7sl0U=")</f>
        <v>#REF!</v>
      </c>
      <c r="BS41" t="e">
        <f>AND('5to. Bach_A'!#REF!,"AAAAAH7sl0Y=")</f>
        <v>#REF!</v>
      </c>
      <c r="BT41" t="e">
        <f>AND('5to. Bach_A'!#REF!,"AAAAAH7sl0c=")</f>
        <v>#REF!</v>
      </c>
      <c r="BU41" t="e">
        <f>AND('5to. Bach_A'!#REF!,"AAAAAH7sl0g=")</f>
        <v>#REF!</v>
      </c>
      <c r="BV41" t="e">
        <f>AND('5to. Bach_A'!#REF!,"AAAAAH7sl0k=")</f>
        <v>#REF!</v>
      </c>
      <c r="BW41" t="e">
        <f>AND('5to. Bach_A'!#REF!,"AAAAAH7sl0o=")</f>
        <v>#REF!</v>
      </c>
      <c r="BX41" t="e">
        <f>IF('5to. Bach_A'!#REF!,"AAAAAH7sl0s=",0)</f>
        <v>#REF!</v>
      </c>
      <c r="BY41" t="e">
        <f>AND('5to. Bach_A'!#REF!,"AAAAAH7sl0w=")</f>
        <v>#REF!</v>
      </c>
      <c r="BZ41" t="e">
        <f>AND('5to. Bach_A'!#REF!,"AAAAAH7sl00=")</f>
        <v>#REF!</v>
      </c>
      <c r="CA41" t="e">
        <f>AND('5to. Bach_A'!#REF!,"AAAAAH7sl04=")</f>
        <v>#REF!</v>
      </c>
      <c r="CB41" t="e">
        <f>AND('5to. Bach_A'!#REF!,"AAAAAH7sl08=")</f>
        <v>#REF!</v>
      </c>
      <c r="CC41" t="e">
        <f>AND('5to. Bach_A'!#REF!,"AAAAAH7sl1A=")</f>
        <v>#REF!</v>
      </c>
      <c r="CD41" t="e">
        <f>AND('5to. Bach_A'!#REF!,"AAAAAH7sl1E=")</f>
        <v>#REF!</v>
      </c>
      <c r="CE41" t="e">
        <f>AND('5to. Bach_A'!#REF!,"AAAAAH7sl1I=")</f>
        <v>#REF!</v>
      </c>
      <c r="CF41" t="e">
        <f>AND('5to. Bach_A'!#REF!,"AAAAAH7sl1M=")</f>
        <v>#REF!</v>
      </c>
      <c r="CG41" t="e">
        <f>AND('5to. Bach_A'!#REF!,"AAAAAH7sl1Q=")</f>
        <v>#REF!</v>
      </c>
      <c r="CH41" t="e">
        <f>AND('5to. Bach_A'!#REF!,"AAAAAH7sl1U=")</f>
        <v>#REF!</v>
      </c>
      <c r="CI41" t="e">
        <f>AND('5to. Bach_A'!#REF!,"AAAAAH7sl1Y=")</f>
        <v>#REF!</v>
      </c>
      <c r="CJ41" t="e">
        <f>AND('5to. Bach_A'!#REF!,"AAAAAH7sl1c=")</f>
        <v>#REF!</v>
      </c>
      <c r="CK41" t="e">
        <f>AND('5to. Bach_A'!#REF!,"AAAAAH7sl1g=")</f>
        <v>#REF!</v>
      </c>
      <c r="CL41" t="e">
        <f>AND('5to. Bach_A'!#REF!,"AAAAAH7sl1k=")</f>
        <v>#REF!</v>
      </c>
      <c r="CM41" t="e">
        <f>AND('5to. Bach_A'!#REF!,"AAAAAH7sl1o=")</f>
        <v>#REF!</v>
      </c>
      <c r="CN41" t="e">
        <f>AND('5to. Bach_A'!#REF!,"AAAAAH7sl1s=")</f>
        <v>#REF!</v>
      </c>
      <c r="CO41" t="e">
        <f>AND('5to. Bach_A'!#REF!,"AAAAAH7sl1w=")</f>
        <v>#REF!</v>
      </c>
      <c r="CP41" t="e">
        <f>AND('5to. Bach_A'!#REF!,"AAAAAH7sl10=")</f>
        <v>#REF!</v>
      </c>
      <c r="CQ41" t="e">
        <f>AND('5to. Bach_A'!#REF!,"AAAAAH7sl14=")</f>
        <v>#REF!</v>
      </c>
      <c r="CR41" t="e">
        <f>AND('5to. Bach_A'!#REF!,"AAAAAH7sl18=")</f>
        <v>#REF!</v>
      </c>
      <c r="CS41" t="e">
        <f>AND('5to. Bach_A'!#REF!,"AAAAAH7sl2A=")</f>
        <v>#REF!</v>
      </c>
      <c r="CT41" t="e">
        <f>AND('5to. Bach_A'!#REF!,"AAAAAH7sl2E=")</f>
        <v>#REF!</v>
      </c>
      <c r="CU41" t="e">
        <f>AND('5to. Bach_A'!#REF!,"AAAAAH7sl2I=")</f>
        <v>#REF!</v>
      </c>
      <c r="CV41" t="e">
        <f>AND('5to. Bach_A'!#REF!,"AAAAAH7sl2M=")</f>
        <v>#REF!</v>
      </c>
      <c r="CW41" t="e">
        <f>AND('5to. Bach_A'!#REF!,"AAAAAH7sl2Q=")</f>
        <v>#REF!</v>
      </c>
      <c r="CX41" t="e">
        <f>IF('5to. Bach_A'!#REF!,"AAAAAH7sl2U=",0)</f>
        <v>#REF!</v>
      </c>
      <c r="CY41" t="e">
        <f>AND('5to. Bach_A'!#REF!,"AAAAAH7sl2Y=")</f>
        <v>#REF!</v>
      </c>
      <c r="CZ41" t="e">
        <f>AND('5to. Bach_A'!#REF!,"AAAAAH7sl2c=")</f>
        <v>#REF!</v>
      </c>
      <c r="DA41" t="e">
        <f>AND('5to. Bach_A'!#REF!,"AAAAAH7sl2g=")</f>
        <v>#REF!</v>
      </c>
      <c r="DB41" t="e">
        <f>AND('5to. Bach_A'!#REF!,"AAAAAH7sl2k=")</f>
        <v>#REF!</v>
      </c>
      <c r="DC41" t="e">
        <f>AND('5to. Bach_A'!#REF!,"AAAAAH7sl2o=")</f>
        <v>#REF!</v>
      </c>
      <c r="DD41" t="e">
        <f>AND('5to. Bach_A'!#REF!,"AAAAAH7sl2s=")</f>
        <v>#REF!</v>
      </c>
      <c r="DE41" t="e">
        <f>AND('5to. Bach_A'!#REF!,"AAAAAH7sl2w=")</f>
        <v>#REF!</v>
      </c>
      <c r="DF41" t="e">
        <f>AND('5to. Bach_A'!#REF!,"AAAAAH7sl20=")</f>
        <v>#REF!</v>
      </c>
      <c r="DG41" t="e">
        <f>AND('5to. Bach_A'!#REF!,"AAAAAH7sl24=")</f>
        <v>#REF!</v>
      </c>
      <c r="DH41" t="e">
        <f>AND('5to. Bach_A'!#REF!,"AAAAAH7sl28=")</f>
        <v>#REF!</v>
      </c>
      <c r="DI41" t="e">
        <f>AND('5to. Bach_A'!#REF!,"AAAAAH7sl3A=")</f>
        <v>#REF!</v>
      </c>
      <c r="DJ41" t="e">
        <f>AND('5to. Bach_A'!#REF!,"AAAAAH7sl3E=")</f>
        <v>#REF!</v>
      </c>
      <c r="DK41" t="e">
        <f>AND('5to. Bach_A'!#REF!,"AAAAAH7sl3I=")</f>
        <v>#REF!</v>
      </c>
      <c r="DL41" t="e">
        <f>AND('5to. Bach_A'!#REF!,"AAAAAH7sl3M=")</f>
        <v>#REF!</v>
      </c>
      <c r="DM41" t="e">
        <f>AND('5to. Bach_A'!#REF!,"AAAAAH7sl3Q=")</f>
        <v>#REF!</v>
      </c>
      <c r="DN41" t="e">
        <f>AND('5to. Bach_A'!#REF!,"AAAAAH7sl3U=")</f>
        <v>#REF!</v>
      </c>
      <c r="DO41" t="e">
        <f>AND('5to. Bach_A'!#REF!,"AAAAAH7sl3Y=")</f>
        <v>#REF!</v>
      </c>
      <c r="DP41" t="e">
        <f>AND('5to. Bach_A'!#REF!,"AAAAAH7sl3c=")</f>
        <v>#REF!</v>
      </c>
      <c r="DQ41" t="e">
        <f>AND('5to. Bach_A'!#REF!,"AAAAAH7sl3g=")</f>
        <v>#REF!</v>
      </c>
      <c r="DR41" t="e">
        <f>AND('5to. Bach_A'!#REF!,"AAAAAH7sl3k=")</f>
        <v>#REF!</v>
      </c>
      <c r="DS41" t="e">
        <f>AND('5to. Bach_A'!#REF!,"AAAAAH7sl3o=")</f>
        <v>#REF!</v>
      </c>
      <c r="DT41" t="e">
        <f>AND('5to. Bach_A'!#REF!,"AAAAAH7sl3s=")</f>
        <v>#REF!</v>
      </c>
      <c r="DU41" t="e">
        <f>AND('5to. Bach_A'!#REF!,"AAAAAH7sl3w=")</f>
        <v>#REF!</v>
      </c>
      <c r="DV41" t="e">
        <f>AND('5to. Bach_A'!#REF!,"AAAAAH7sl30=")</f>
        <v>#REF!</v>
      </c>
      <c r="DW41" t="e">
        <f>AND('5to. Bach_A'!#REF!,"AAAAAH7sl34=")</f>
        <v>#REF!</v>
      </c>
      <c r="DX41" t="e">
        <f>IF('5to. Bach_A'!#REF!,"AAAAAH7sl38=",0)</f>
        <v>#REF!</v>
      </c>
      <c r="DY41" t="e">
        <f>AND('5to. Bach_A'!#REF!,"AAAAAH7sl4A=")</f>
        <v>#REF!</v>
      </c>
      <c r="DZ41" t="e">
        <f>AND('5to. Bach_A'!#REF!,"AAAAAH7sl4E=")</f>
        <v>#REF!</v>
      </c>
      <c r="EA41" t="e">
        <f>AND('5to. Bach_A'!#REF!,"AAAAAH7sl4I=")</f>
        <v>#REF!</v>
      </c>
      <c r="EB41" t="e">
        <f>AND('5to. Bach_A'!#REF!,"AAAAAH7sl4M=")</f>
        <v>#REF!</v>
      </c>
      <c r="EC41" t="e">
        <f>AND('5to. Bach_A'!#REF!,"AAAAAH7sl4Q=")</f>
        <v>#REF!</v>
      </c>
      <c r="ED41" t="e">
        <f>AND('5to. Bach_A'!#REF!,"AAAAAH7sl4U=")</f>
        <v>#REF!</v>
      </c>
      <c r="EE41" t="e">
        <f>AND('5to. Bach_A'!#REF!,"AAAAAH7sl4Y=")</f>
        <v>#REF!</v>
      </c>
      <c r="EF41" t="e">
        <f>AND('5to. Bach_A'!#REF!,"AAAAAH7sl4c=")</f>
        <v>#REF!</v>
      </c>
      <c r="EG41" t="e">
        <f>AND('5to. Bach_A'!#REF!,"AAAAAH7sl4g=")</f>
        <v>#REF!</v>
      </c>
      <c r="EH41" t="e">
        <f>AND('5to. Bach_A'!#REF!,"AAAAAH7sl4k=")</f>
        <v>#REF!</v>
      </c>
      <c r="EI41" t="e">
        <f>AND('5to. Bach_A'!#REF!,"AAAAAH7sl4o=")</f>
        <v>#REF!</v>
      </c>
      <c r="EJ41" t="e">
        <f>AND('5to. Bach_A'!#REF!,"AAAAAH7sl4s=")</f>
        <v>#REF!</v>
      </c>
      <c r="EK41" t="e">
        <f>AND('5to. Bach_A'!#REF!,"AAAAAH7sl4w=")</f>
        <v>#REF!</v>
      </c>
      <c r="EL41" t="e">
        <f>AND('5to. Bach_A'!#REF!,"AAAAAH7sl40=")</f>
        <v>#REF!</v>
      </c>
      <c r="EM41" t="e">
        <f>AND('5to. Bach_A'!#REF!,"AAAAAH7sl44=")</f>
        <v>#REF!</v>
      </c>
      <c r="EN41" t="e">
        <f>AND('5to. Bach_A'!#REF!,"AAAAAH7sl48=")</f>
        <v>#REF!</v>
      </c>
      <c r="EO41" t="e">
        <f>AND('5to. Bach_A'!#REF!,"AAAAAH7sl5A=")</f>
        <v>#REF!</v>
      </c>
      <c r="EP41" t="e">
        <f>AND('5to. Bach_A'!#REF!,"AAAAAH7sl5E=")</f>
        <v>#REF!</v>
      </c>
      <c r="EQ41" t="e">
        <f>AND('5to. Bach_A'!#REF!,"AAAAAH7sl5I=")</f>
        <v>#REF!</v>
      </c>
      <c r="ER41" t="e">
        <f>AND('5to. Bach_A'!#REF!,"AAAAAH7sl5M=")</f>
        <v>#REF!</v>
      </c>
      <c r="ES41" t="e">
        <f>AND('5to. Bach_A'!#REF!,"AAAAAH7sl5Q=")</f>
        <v>#REF!</v>
      </c>
      <c r="ET41" t="e">
        <f>AND('5to. Bach_A'!#REF!,"AAAAAH7sl5U=")</f>
        <v>#REF!</v>
      </c>
      <c r="EU41" t="e">
        <f>AND('5to. Bach_A'!#REF!,"AAAAAH7sl5Y=")</f>
        <v>#REF!</v>
      </c>
      <c r="EV41" t="e">
        <f>AND('5to. Bach_A'!#REF!,"AAAAAH7sl5c=")</f>
        <v>#REF!</v>
      </c>
      <c r="EW41" t="e">
        <f>AND('5to. Bach_A'!#REF!,"AAAAAH7sl5g=")</f>
        <v>#REF!</v>
      </c>
      <c r="EX41" t="e">
        <f>IF('5to. Bach_A'!#REF!,"AAAAAH7sl5k=",0)</f>
        <v>#REF!</v>
      </c>
      <c r="EY41" t="e">
        <f>AND('5to. Bach_A'!#REF!,"AAAAAH7sl5o=")</f>
        <v>#REF!</v>
      </c>
      <c r="EZ41" t="e">
        <f>AND('5to. Bach_A'!#REF!,"AAAAAH7sl5s=")</f>
        <v>#REF!</v>
      </c>
      <c r="FA41" t="e">
        <f>AND('5to. Bach_A'!#REF!,"AAAAAH7sl5w=")</f>
        <v>#REF!</v>
      </c>
      <c r="FB41" t="e">
        <f>AND('5to. Bach_A'!#REF!,"AAAAAH7sl50=")</f>
        <v>#REF!</v>
      </c>
      <c r="FC41" t="e">
        <f>AND('5to. Bach_A'!#REF!,"AAAAAH7sl54=")</f>
        <v>#REF!</v>
      </c>
      <c r="FD41" t="e">
        <f>AND('5to. Bach_A'!#REF!,"AAAAAH7sl58=")</f>
        <v>#REF!</v>
      </c>
      <c r="FE41" t="e">
        <f>AND('5to. Bach_A'!#REF!,"AAAAAH7sl6A=")</f>
        <v>#REF!</v>
      </c>
      <c r="FF41" t="e">
        <f>AND('5to. Bach_A'!#REF!,"AAAAAH7sl6E=")</f>
        <v>#REF!</v>
      </c>
      <c r="FG41" t="e">
        <f>AND('5to. Bach_A'!#REF!,"AAAAAH7sl6I=")</f>
        <v>#REF!</v>
      </c>
      <c r="FH41" t="e">
        <f>AND('5to. Bach_A'!#REF!,"AAAAAH7sl6M=")</f>
        <v>#REF!</v>
      </c>
      <c r="FI41" t="e">
        <f>AND('5to. Bach_A'!#REF!,"AAAAAH7sl6Q=")</f>
        <v>#REF!</v>
      </c>
      <c r="FJ41" t="e">
        <f>AND('5to. Bach_A'!#REF!,"AAAAAH7sl6U=")</f>
        <v>#REF!</v>
      </c>
      <c r="FK41" t="e">
        <f>AND('5to. Bach_A'!#REF!,"AAAAAH7sl6Y=")</f>
        <v>#REF!</v>
      </c>
      <c r="FL41" t="e">
        <f>AND('5to. Bach_A'!#REF!,"AAAAAH7sl6c=")</f>
        <v>#REF!</v>
      </c>
      <c r="FM41" t="e">
        <f>AND('5to. Bach_A'!#REF!,"AAAAAH7sl6g=")</f>
        <v>#REF!</v>
      </c>
      <c r="FN41" t="e">
        <f>AND('5to. Bach_A'!#REF!,"AAAAAH7sl6k=")</f>
        <v>#REF!</v>
      </c>
      <c r="FO41" t="e">
        <f>AND('5to. Bach_A'!#REF!,"AAAAAH7sl6o=")</f>
        <v>#REF!</v>
      </c>
      <c r="FP41" t="e">
        <f>AND('5to. Bach_A'!#REF!,"AAAAAH7sl6s=")</f>
        <v>#REF!</v>
      </c>
      <c r="FQ41" t="e">
        <f>AND('5to. Bach_A'!#REF!,"AAAAAH7sl6w=")</f>
        <v>#REF!</v>
      </c>
      <c r="FR41" t="e">
        <f>AND('5to. Bach_A'!#REF!,"AAAAAH7sl60=")</f>
        <v>#REF!</v>
      </c>
      <c r="FS41" t="e">
        <f>AND('5to. Bach_A'!#REF!,"AAAAAH7sl64=")</f>
        <v>#REF!</v>
      </c>
      <c r="FT41" t="e">
        <f>AND('5to. Bach_A'!#REF!,"AAAAAH7sl68=")</f>
        <v>#REF!</v>
      </c>
      <c r="FU41" t="e">
        <f>AND('5to. Bach_A'!#REF!,"AAAAAH7sl7A=")</f>
        <v>#REF!</v>
      </c>
      <c r="FV41" t="e">
        <f>AND('5to. Bach_A'!#REF!,"AAAAAH7sl7E=")</f>
        <v>#REF!</v>
      </c>
      <c r="FW41" t="e">
        <f>AND('5to. Bach_A'!#REF!,"AAAAAH7sl7I=")</f>
        <v>#REF!</v>
      </c>
      <c r="FX41">
        <f>IF('5to. Bach_A'!A:A,"AAAAAH7sl7M=",0)</f>
        <v>0</v>
      </c>
      <c r="FY41">
        <f>IF('5to. Bach_A'!B:B,"AAAAAH7sl7Q=",0)</f>
        <v>0</v>
      </c>
      <c r="FZ41">
        <f>IF('5to. Bach_A'!C:C,"AAAAAH7sl7U=",0)</f>
        <v>0</v>
      </c>
      <c r="GA41">
        <f>IF('5to. Bach_A'!D:D,"AAAAAH7sl7Y=",0)</f>
        <v>0</v>
      </c>
      <c r="GB41">
        <f>IF('5to. Bach_A'!E:E,"AAAAAH7sl7c=",0)</f>
        <v>0</v>
      </c>
      <c r="GC41">
        <f>IF('5to. Bach_A'!F:F,"AAAAAH7sl7g=",0)</f>
        <v>0</v>
      </c>
      <c r="GD41">
        <f>IF('5to. Bach_A'!G:G,"AAAAAH7sl7k=",0)</f>
        <v>0</v>
      </c>
      <c r="GE41">
        <f>IF('5to. Bach_A'!H:H,"AAAAAH7sl7o=",0)</f>
        <v>0</v>
      </c>
      <c r="GF41">
        <f>IF('5to. Bach_A'!I:I,"AAAAAH7sl7s=",0)</f>
        <v>0</v>
      </c>
      <c r="GG41">
        <f>IF('5to. Bach_A'!J:J,"AAAAAH7sl7w=",0)</f>
        <v>0</v>
      </c>
      <c r="GH41">
        <f>IF('5to. Bach_A'!K:K,"AAAAAH7sl70=",0)</f>
        <v>0</v>
      </c>
      <c r="GI41">
        <f>IF('5to. Bach_A'!L:L,"AAAAAH7sl74=",0)</f>
        <v>0</v>
      </c>
      <c r="GJ41">
        <f>IF('5to. Bach_A'!M:M,"AAAAAH7sl78=",0)</f>
        <v>0</v>
      </c>
      <c r="GK41">
        <f>IF('5to. Bach_A'!N:N,"AAAAAH7sl8A=",0)</f>
        <v>0</v>
      </c>
      <c r="GL41">
        <f>IF('5to. Bach_A'!O:O,"AAAAAH7sl8E=",0)</f>
        <v>0</v>
      </c>
      <c r="GM41">
        <f>IF('5to. Bach_A'!P:P,"AAAAAH7sl8I=",0)</f>
        <v>0</v>
      </c>
      <c r="GN41">
        <f>IF('5to. Bach_A'!Q:Q,"AAAAAH7sl8M=",0)</f>
        <v>0</v>
      </c>
      <c r="GO41">
        <f>IF('5to. Bach_A'!R:R,"AAAAAH7sl8Q=",0)</f>
        <v>0</v>
      </c>
      <c r="GP41">
        <f>IF('5to. Bach_A'!S:S,"AAAAAH7sl8U=",0)</f>
        <v>0</v>
      </c>
      <c r="GQ41">
        <f>IF('5to. Bach_A'!T:T,"AAAAAH7sl8Y=",0)</f>
        <v>0</v>
      </c>
      <c r="GR41" t="e">
        <f>IF('5to. Bach_A'!#REF!,"AAAAAH7sl8c=",0)</f>
        <v>#REF!</v>
      </c>
      <c r="GS41" t="e">
        <f>IF('5to. Bach_A'!#REF!,"AAAAAH7sl8g=",0)</f>
        <v>#REF!</v>
      </c>
      <c r="GT41" t="e">
        <f>IF('5to. Bach_A'!#REF!,"AAAAAH7sl8k=",0)</f>
        <v>#REF!</v>
      </c>
      <c r="GU41" t="e">
        <f>IF('5to. Bach_A'!#REF!,"AAAAAH7sl8o=",0)</f>
        <v>#REF!</v>
      </c>
      <c r="GV41" t="e">
        <f>IF('5to. Bach_A'!#REF!,"AAAAAH7sl8s=",0)</f>
        <v>#REF!</v>
      </c>
    </row>
    <row r="42" spans="1:256">
      <c r="A42" t="e">
        <f>IF('5to. Secre.'!#REF!,"AAAAAH/fzwA=",0)</f>
        <v>#REF!</v>
      </c>
      <c r="B42" t="e">
        <f>AND('5to. Secre.'!#REF!,"AAAAAH/fzwE=")</f>
        <v>#REF!</v>
      </c>
      <c r="C42" t="e">
        <f>AND('5to. Secre.'!#REF!,"AAAAAH/fzwI=")</f>
        <v>#REF!</v>
      </c>
      <c r="D42" t="e">
        <f>AND('5to. Secre.'!#REF!,"AAAAAH/fzwM=")</f>
        <v>#REF!</v>
      </c>
      <c r="E42" t="e">
        <f>AND('5to. Secre.'!#REF!,"AAAAAH/fzwQ=")</f>
        <v>#REF!</v>
      </c>
      <c r="F42" t="e">
        <f>AND('5to. Secre.'!#REF!,"AAAAAH/fzwU=")</f>
        <v>#REF!</v>
      </c>
      <c r="G42" t="e">
        <f>AND('5to. Secre.'!#REF!,"AAAAAH/fzwY=")</f>
        <v>#REF!</v>
      </c>
      <c r="H42" t="e">
        <f>AND('5to. Secre.'!#REF!,"AAAAAH/fzwc=")</f>
        <v>#REF!</v>
      </c>
      <c r="I42" t="e">
        <f>AND('5to. Secre.'!#REF!,"AAAAAH/fzwg=")</f>
        <v>#REF!</v>
      </c>
      <c r="J42" t="e">
        <f>AND('5to. Secre.'!#REF!,"AAAAAH/fzwk=")</f>
        <v>#REF!</v>
      </c>
      <c r="K42" t="e">
        <f>AND('5to. Secre.'!#REF!,"AAAAAH/fzwo=")</f>
        <v>#REF!</v>
      </c>
      <c r="L42" t="e">
        <f>AND('5to. Secre.'!#REF!,"AAAAAH/fzws=")</f>
        <v>#REF!</v>
      </c>
      <c r="M42" t="e">
        <f>AND('5to. Secre.'!#REF!,"AAAAAH/fzww=")</f>
        <v>#REF!</v>
      </c>
      <c r="N42" t="e">
        <f>AND('5to. Secre.'!#REF!,"AAAAAH/fzw0=")</f>
        <v>#REF!</v>
      </c>
      <c r="O42" t="e">
        <f>AND('5to. Secre.'!#REF!,"AAAAAH/fzw4=")</f>
        <v>#REF!</v>
      </c>
      <c r="P42" t="e">
        <f>AND('5to. Secre.'!#REF!,"AAAAAH/fzw8=")</f>
        <v>#REF!</v>
      </c>
      <c r="Q42" t="e">
        <f>AND('5to. Secre.'!#REF!,"AAAAAH/fzxA=")</f>
        <v>#REF!</v>
      </c>
      <c r="R42" t="e">
        <f>AND('5to. Secre.'!#REF!,"AAAAAH/fzxE=")</f>
        <v>#REF!</v>
      </c>
      <c r="S42" t="e">
        <f>AND('5to. Secre.'!#REF!,"AAAAAH/fzxI=")</f>
        <v>#REF!</v>
      </c>
      <c r="T42" t="e">
        <f>AND('5to. Secre.'!#REF!,"AAAAAH/fzxM=")</f>
        <v>#REF!</v>
      </c>
      <c r="U42" t="e">
        <f>AND('5to. Secre.'!#REF!,"AAAAAH/fzxQ=")</f>
        <v>#REF!</v>
      </c>
      <c r="V42" t="e">
        <f>AND('5to. Secre.'!#REF!,"AAAAAH/fzxU=")</f>
        <v>#REF!</v>
      </c>
      <c r="W42" t="e">
        <f>AND('5to. Secre.'!#REF!,"AAAAAH/fzxY=")</f>
        <v>#REF!</v>
      </c>
      <c r="X42" t="e">
        <f>AND('5to. Secre.'!#REF!,"AAAAAH/fzxc=")</f>
        <v>#REF!</v>
      </c>
      <c r="Y42" t="e">
        <f>AND('5to. Secre.'!#REF!,"AAAAAH/fzxg=")</f>
        <v>#REF!</v>
      </c>
      <c r="Z42" t="e">
        <f>AND('5to. Secre.'!#REF!,"AAAAAH/fzxk=")</f>
        <v>#REF!</v>
      </c>
      <c r="AA42" t="e">
        <f>IF('5to. Secre.'!#REF!,"AAAAAH/fzxo=",0)</f>
        <v>#REF!</v>
      </c>
      <c r="AB42" t="e">
        <f>AND('5to. Secre.'!#REF!,"AAAAAH/fzxs=")</f>
        <v>#REF!</v>
      </c>
      <c r="AC42" t="e">
        <f>AND('5to. Secre.'!#REF!,"AAAAAH/fzxw=")</f>
        <v>#REF!</v>
      </c>
      <c r="AD42" t="e">
        <f>AND('5to. Secre.'!#REF!,"AAAAAH/fzx0=")</f>
        <v>#REF!</v>
      </c>
      <c r="AE42" t="e">
        <f>AND('5to. Secre.'!#REF!,"AAAAAH/fzx4=")</f>
        <v>#REF!</v>
      </c>
      <c r="AF42" t="e">
        <f>AND('5to. Secre.'!#REF!,"AAAAAH/fzx8=")</f>
        <v>#REF!</v>
      </c>
      <c r="AG42" t="e">
        <f>AND('5to. Secre.'!#REF!,"AAAAAH/fzyA=")</f>
        <v>#REF!</v>
      </c>
      <c r="AH42" t="e">
        <f>AND('5to. Secre.'!#REF!,"AAAAAH/fzyE=")</f>
        <v>#REF!</v>
      </c>
      <c r="AI42" t="e">
        <f>AND('5to. Secre.'!#REF!,"AAAAAH/fzyI=")</f>
        <v>#REF!</v>
      </c>
      <c r="AJ42" t="e">
        <f>AND('5to. Secre.'!#REF!,"AAAAAH/fzyM=")</f>
        <v>#REF!</v>
      </c>
      <c r="AK42" t="e">
        <f>AND('5to. Secre.'!#REF!,"AAAAAH/fzyQ=")</f>
        <v>#REF!</v>
      </c>
      <c r="AL42" t="e">
        <f>AND('5to. Secre.'!#REF!,"AAAAAH/fzyU=")</f>
        <v>#REF!</v>
      </c>
      <c r="AM42" t="e">
        <f>AND('5to. Secre.'!#REF!,"AAAAAH/fzyY=")</f>
        <v>#REF!</v>
      </c>
      <c r="AN42" t="e">
        <f>AND('5to. Secre.'!#REF!,"AAAAAH/fzyc=")</f>
        <v>#REF!</v>
      </c>
      <c r="AO42" t="e">
        <f>AND('5to. Secre.'!#REF!,"AAAAAH/fzyg=")</f>
        <v>#REF!</v>
      </c>
      <c r="AP42" t="e">
        <f>AND('5to. Secre.'!#REF!,"AAAAAH/fzyk=")</f>
        <v>#REF!</v>
      </c>
      <c r="AQ42" t="e">
        <f>AND('5to. Secre.'!#REF!,"AAAAAH/fzyo=")</f>
        <v>#REF!</v>
      </c>
      <c r="AR42" t="e">
        <f>AND('5to. Secre.'!#REF!,"AAAAAH/fzys=")</f>
        <v>#REF!</v>
      </c>
      <c r="AS42" t="e">
        <f>AND('5to. Secre.'!#REF!,"AAAAAH/fzyw=")</f>
        <v>#REF!</v>
      </c>
      <c r="AT42" t="e">
        <f>AND('5to. Secre.'!#REF!,"AAAAAH/fzy0=")</f>
        <v>#REF!</v>
      </c>
      <c r="AU42" t="e">
        <f>AND('5to. Secre.'!#REF!,"AAAAAH/fzy4=")</f>
        <v>#REF!</v>
      </c>
      <c r="AV42" t="e">
        <f>AND('5to. Secre.'!#REF!,"AAAAAH/fzy8=")</f>
        <v>#REF!</v>
      </c>
      <c r="AW42" t="e">
        <f>AND('5to. Secre.'!#REF!,"AAAAAH/fzzA=")</f>
        <v>#REF!</v>
      </c>
      <c r="AX42" t="e">
        <f>AND('5to. Secre.'!#REF!,"AAAAAH/fzzE=")</f>
        <v>#REF!</v>
      </c>
      <c r="AY42" t="e">
        <f>AND('5to. Secre.'!#REF!,"AAAAAH/fzzI=")</f>
        <v>#REF!</v>
      </c>
      <c r="AZ42" t="e">
        <f>AND('5to. Secre.'!#REF!,"AAAAAH/fzzM=")</f>
        <v>#REF!</v>
      </c>
      <c r="BA42" t="e">
        <f>IF('5to. Secre.'!#REF!,"AAAAAH/fzzQ=",0)</f>
        <v>#REF!</v>
      </c>
      <c r="BB42" t="e">
        <f>AND('5to. Secre.'!#REF!,"AAAAAH/fzzU=")</f>
        <v>#REF!</v>
      </c>
      <c r="BC42" t="e">
        <f>AND('5to. Secre.'!#REF!,"AAAAAH/fzzY=")</f>
        <v>#REF!</v>
      </c>
      <c r="BD42" t="e">
        <f>AND('5to. Secre.'!#REF!,"AAAAAH/fzzc=")</f>
        <v>#REF!</v>
      </c>
      <c r="BE42" t="e">
        <f>AND('5to. Secre.'!#REF!,"AAAAAH/fzzg=")</f>
        <v>#REF!</v>
      </c>
      <c r="BF42" t="e">
        <f>AND('5to. Secre.'!#REF!,"AAAAAH/fzzk=")</f>
        <v>#REF!</v>
      </c>
      <c r="BG42" t="e">
        <f>AND('5to. Secre.'!#REF!,"AAAAAH/fzzo=")</f>
        <v>#REF!</v>
      </c>
      <c r="BH42" t="e">
        <f>AND('5to. Secre.'!#REF!,"AAAAAH/fzzs=")</f>
        <v>#REF!</v>
      </c>
      <c r="BI42" t="e">
        <f>AND('5to. Secre.'!#REF!,"AAAAAH/fzzw=")</f>
        <v>#REF!</v>
      </c>
      <c r="BJ42" t="e">
        <f>AND('5to. Secre.'!#REF!,"AAAAAH/fzz0=")</f>
        <v>#REF!</v>
      </c>
      <c r="BK42" t="e">
        <f>AND('5to. Secre.'!#REF!,"AAAAAH/fzz4=")</f>
        <v>#REF!</v>
      </c>
      <c r="BL42" t="e">
        <f>AND('5to. Secre.'!#REF!,"AAAAAH/fzz8=")</f>
        <v>#REF!</v>
      </c>
      <c r="BM42" t="e">
        <f>AND('5to. Secre.'!#REF!,"AAAAAH/fz0A=")</f>
        <v>#REF!</v>
      </c>
      <c r="BN42" t="e">
        <f>AND('5to. Secre.'!#REF!,"AAAAAH/fz0E=")</f>
        <v>#REF!</v>
      </c>
      <c r="BO42" t="e">
        <f>AND('5to. Secre.'!#REF!,"AAAAAH/fz0I=")</f>
        <v>#REF!</v>
      </c>
      <c r="BP42" t="e">
        <f>AND('5to. Secre.'!#REF!,"AAAAAH/fz0M=")</f>
        <v>#REF!</v>
      </c>
      <c r="BQ42" t="e">
        <f>AND('5to. Secre.'!#REF!,"AAAAAH/fz0Q=")</f>
        <v>#REF!</v>
      </c>
      <c r="BR42" t="e">
        <f>AND('5to. Secre.'!#REF!,"AAAAAH/fz0U=")</f>
        <v>#REF!</v>
      </c>
      <c r="BS42" t="e">
        <f>AND('5to. Secre.'!#REF!,"AAAAAH/fz0Y=")</f>
        <v>#REF!</v>
      </c>
      <c r="BT42" t="e">
        <f>AND('5to. Secre.'!#REF!,"AAAAAH/fz0c=")</f>
        <v>#REF!</v>
      </c>
      <c r="BU42" t="e">
        <f>AND('5to. Secre.'!#REF!,"AAAAAH/fz0g=")</f>
        <v>#REF!</v>
      </c>
      <c r="BV42" t="e">
        <f>AND('5to. Secre.'!#REF!,"AAAAAH/fz0k=")</f>
        <v>#REF!</v>
      </c>
      <c r="BW42" t="e">
        <f>AND('5to. Secre.'!#REF!,"AAAAAH/fz0o=")</f>
        <v>#REF!</v>
      </c>
      <c r="BX42" t="e">
        <f>AND('5to. Secre.'!#REF!,"AAAAAH/fz0s=")</f>
        <v>#REF!</v>
      </c>
      <c r="BY42" t="e">
        <f>AND('5to. Secre.'!#REF!,"AAAAAH/fz0w=")</f>
        <v>#REF!</v>
      </c>
      <c r="BZ42" t="e">
        <f>AND('5to. Secre.'!#REF!,"AAAAAH/fz00=")</f>
        <v>#REF!</v>
      </c>
      <c r="CA42" t="e">
        <f>IF('5to. Secre.'!#REF!,"AAAAAH/fz04=",0)</f>
        <v>#REF!</v>
      </c>
      <c r="CB42" t="e">
        <f>AND('5to. Secre.'!#REF!,"AAAAAH/fz08=")</f>
        <v>#REF!</v>
      </c>
      <c r="CC42" t="e">
        <f>AND('5to. Secre.'!#REF!,"AAAAAH/fz1A=")</f>
        <v>#REF!</v>
      </c>
      <c r="CD42" t="e">
        <f>AND('5to. Secre.'!#REF!,"AAAAAH/fz1E=")</f>
        <v>#REF!</v>
      </c>
      <c r="CE42" t="e">
        <f>AND('5to. Secre.'!#REF!,"AAAAAH/fz1I=")</f>
        <v>#REF!</v>
      </c>
      <c r="CF42" t="e">
        <f>AND('5to. Secre.'!#REF!,"AAAAAH/fz1M=")</f>
        <v>#REF!</v>
      </c>
      <c r="CG42" t="e">
        <f>AND('5to. Secre.'!#REF!,"AAAAAH/fz1Q=")</f>
        <v>#REF!</v>
      </c>
      <c r="CH42" t="e">
        <f>AND('5to. Secre.'!#REF!,"AAAAAH/fz1U=")</f>
        <v>#REF!</v>
      </c>
      <c r="CI42" t="e">
        <f>AND('5to. Secre.'!#REF!,"AAAAAH/fz1Y=")</f>
        <v>#REF!</v>
      </c>
      <c r="CJ42" t="e">
        <f>AND('5to. Secre.'!#REF!,"AAAAAH/fz1c=")</f>
        <v>#REF!</v>
      </c>
      <c r="CK42" t="e">
        <f>AND('5to. Secre.'!#REF!,"AAAAAH/fz1g=")</f>
        <v>#REF!</v>
      </c>
      <c r="CL42" t="e">
        <f>AND('5to. Secre.'!#REF!,"AAAAAH/fz1k=")</f>
        <v>#REF!</v>
      </c>
      <c r="CM42" t="e">
        <f>AND('5to. Secre.'!#REF!,"AAAAAH/fz1o=")</f>
        <v>#REF!</v>
      </c>
      <c r="CN42" t="e">
        <f>AND('5to. Secre.'!#REF!,"AAAAAH/fz1s=")</f>
        <v>#REF!</v>
      </c>
      <c r="CO42" t="e">
        <f>AND('5to. Secre.'!#REF!,"AAAAAH/fz1w=")</f>
        <v>#REF!</v>
      </c>
      <c r="CP42" t="e">
        <f>AND('5to. Secre.'!#REF!,"AAAAAH/fz10=")</f>
        <v>#REF!</v>
      </c>
      <c r="CQ42" t="e">
        <f>AND('5to. Secre.'!#REF!,"AAAAAH/fz14=")</f>
        <v>#REF!</v>
      </c>
      <c r="CR42" t="e">
        <f>AND('5to. Secre.'!#REF!,"AAAAAH/fz18=")</f>
        <v>#REF!</v>
      </c>
      <c r="CS42" t="e">
        <f>AND('5to. Secre.'!#REF!,"AAAAAH/fz2A=")</f>
        <v>#REF!</v>
      </c>
      <c r="CT42" t="e">
        <f>AND('5to. Secre.'!#REF!,"AAAAAH/fz2E=")</f>
        <v>#REF!</v>
      </c>
      <c r="CU42" t="e">
        <f>AND('5to. Secre.'!#REF!,"AAAAAH/fz2I=")</f>
        <v>#REF!</v>
      </c>
      <c r="CV42" t="e">
        <f>AND('5to. Secre.'!#REF!,"AAAAAH/fz2M=")</f>
        <v>#REF!</v>
      </c>
      <c r="CW42" t="e">
        <f>AND('5to. Secre.'!#REF!,"AAAAAH/fz2Q=")</f>
        <v>#REF!</v>
      </c>
      <c r="CX42" t="e">
        <f>AND('5to. Secre.'!#REF!,"AAAAAH/fz2U=")</f>
        <v>#REF!</v>
      </c>
      <c r="CY42" t="e">
        <f>AND('5to. Secre.'!#REF!,"AAAAAH/fz2Y=")</f>
        <v>#REF!</v>
      </c>
      <c r="CZ42" t="e">
        <f>AND('5to. Secre.'!#REF!,"AAAAAH/fz2c=")</f>
        <v>#REF!</v>
      </c>
      <c r="DA42">
        <f>IF('5to. Secre.'!2:2,"AAAAAH/fz2g=",0)</f>
        <v>0</v>
      </c>
      <c r="DB42" t="e">
        <f>AND('5to. Secre.'!A2,"AAAAAH/fz2k=")</f>
        <v>#VALUE!</v>
      </c>
      <c r="DC42" t="e">
        <f>AND('5to. Secre.'!B2,"AAAAAH/fz2o=")</f>
        <v>#VALUE!</v>
      </c>
      <c r="DD42" t="e">
        <f>AND('5to. Secre.'!C2,"AAAAAH/fz2s=")</f>
        <v>#VALUE!</v>
      </c>
      <c r="DE42" t="e">
        <f>AND('5to. Secre.'!D2,"AAAAAH/fz2w=")</f>
        <v>#VALUE!</v>
      </c>
      <c r="DF42" t="e">
        <f>AND('5to. Secre.'!E2,"AAAAAH/fz20=")</f>
        <v>#VALUE!</v>
      </c>
      <c r="DG42" t="e">
        <f>AND('5to. Secre.'!F2,"AAAAAH/fz24=")</f>
        <v>#VALUE!</v>
      </c>
      <c r="DH42" t="e">
        <f>AND('5to. Secre.'!G2,"AAAAAH/fz28=")</f>
        <v>#VALUE!</v>
      </c>
      <c r="DI42" t="e">
        <f>AND('5to. Secre.'!H2,"AAAAAH/fz3A=")</f>
        <v>#VALUE!</v>
      </c>
      <c r="DJ42" t="e">
        <f>AND('5to. Secre.'!I2,"AAAAAH/fz3E=")</f>
        <v>#VALUE!</v>
      </c>
      <c r="DK42" t="e">
        <f>AND('5to. Secre.'!J2,"AAAAAH/fz3I=")</f>
        <v>#VALUE!</v>
      </c>
      <c r="DL42" t="e">
        <f>AND('5to. Secre.'!K2,"AAAAAH/fz3M=")</f>
        <v>#VALUE!</v>
      </c>
      <c r="DM42" t="e">
        <f>AND('5to. Secre.'!L2,"AAAAAH/fz3Q=")</f>
        <v>#VALUE!</v>
      </c>
      <c r="DN42" t="e">
        <f>AND('5to. Secre.'!M2,"AAAAAH/fz3U=")</f>
        <v>#VALUE!</v>
      </c>
      <c r="DO42" t="e">
        <f>AND('5to. Secre.'!N2,"AAAAAH/fz3Y=")</f>
        <v>#VALUE!</v>
      </c>
      <c r="DP42" t="e">
        <f>AND('5to. Secre.'!O2,"AAAAAH/fz3c=")</f>
        <v>#VALUE!</v>
      </c>
      <c r="DQ42" t="e">
        <f>AND('5to. Secre.'!P2,"AAAAAH/fz3g=")</f>
        <v>#VALUE!</v>
      </c>
      <c r="DR42" t="e">
        <f>AND('5to. Secre.'!Q2,"AAAAAH/fz3k=")</f>
        <v>#VALUE!</v>
      </c>
      <c r="DS42" t="e">
        <f>AND('5to. Secre.'!R2,"AAAAAH/fz3o=")</f>
        <v>#VALUE!</v>
      </c>
      <c r="DT42" t="e">
        <f>AND('5to. Secre.'!S2,"AAAAAH/fz3s=")</f>
        <v>#VALUE!</v>
      </c>
      <c r="DU42" t="e">
        <f>AND('5to. Secre.'!T2,"AAAAAH/fz3w=")</f>
        <v>#VALUE!</v>
      </c>
      <c r="DV42" t="e">
        <f>AND('5to. Secre.'!#REF!,"AAAAAH/fz30=")</f>
        <v>#REF!</v>
      </c>
      <c r="DW42" t="e">
        <f>AND('5to. Secre.'!#REF!,"AAAAAH/fz34=")</f>
        <v>#REF!</v>
      </c>
      <c r="DX42" t="e">
        <f>AND('5to. Secre.'!#REF!,"AAAAAH/fz38=")</f>
        <v>#REF!</v>
      </c>
      <c r="DY42" t="e">
        <f>AND('5to. Secre.'!#REF!,"AAAAAH/fz4A=")</f>
        <v>#REF!</v>
      </c>
      <c r="DZ42" t="e">
        <f>AND('5to. Secre.'!#REF!,"AAAAAH/fz4E=")</f>
        <v>#REF!</v>
      </c>
      <c r="EA42">
        <f>IF('5to. Secre.'!3:3,"AAAAAH/fz4I=",0)</f>
        <v>0</v>
      </c>
      <c r="EB42" t="e">
        <f>AND('5to. Secre.'!A3,"AAAAAH/fz4M=")</f>
        <v>#VALUE!</v>
      </c>
      <c r="EC42" t="e">
        <f>AND('5to. Secre.'!B3,"AAAAAH/fz4Q=")</f>
        <v>#VALUE!</v>
      </c>
      <c r="ED42" t="e">
        <f>AND('5to. Secre.'!C3,"AAAAAH/fz4U=")</f>
        <v>#VALUE!</v>
      </c>
      <c r="EE42" t="e">
        <f>AND('5to. Secre.'!D3,"AAAAAH/fz4Y=")</f>
        <v>#VALUE!</v>
      </c>
      <c r="EF42" t="e">
        <f>AND('5to. Secre.'!E3,"AAAAAH/fz4c=")</f>
        <v>#VALUE!</v>
      </c>
      <c r="EG42" t="e">
        <f>AND('5to. Secre.'!F3,"AAAAAH/fz4g=")</f>
        <v>#VALUE!</v>
      </c>
      <c r="EH42" t="e">
        <f>AND('5to. Secre.'!G3,"AAAAAH/fz4k=")</f>
        <v>#VALUE!</v>
      </c>
      <c r="EI42" t="e">
        <f>AND('5to. Secre.'!H3,"AAAAAH/fz4o=")</f>
        <v>#VALUE!</v>
      </c>
      <c r="EJ42" t="e">
        <f>AND('5to. Secre.'!I3,"AAAAAH/fz4s=")</f>
        <v>#VALUE!</v>
      </c>
      <c r="EK42" t="e">
        <f>AND('5to. Secre.'!J3,"AAAAAH/fz4w=")</f>
        <v>#VALUE!</v>
      </c>
      <c r="EL42" t="e">
        <f>AND('5to. Secre.'!K3,"AAAAAH/fz40=")</f>
        <v>#VALUE!</v>
      </c>
      <c r="EM42" t="e">
        <f>AND('5to. Secre.'!L3,"AAAAAH/fz44=")</f>
        <v>#VALUE!</v>
      </c>
      <c r="EN42" t="e">
        <f>AND('5to. Secre.'!M3,"AAAAAH/fz48=")</f>
        <v>#VALUE!</v>
      </c>
      <c r="EO42" t="e">
        <f>AND('5to. Secre.'!N3,"AAAAAH/fz5A=")</f>
        <v>#VALUE!</v>
      </c>
      <c r="EP42" t="e">
        <f>AND('5to. Secre.'!O3,"AAAAAH/fz5E=")</f>
        <v>#VALUE!</v>
      </c>
      <c r="EQ42" t="e">
        <f>AND('5to. Secre.'!P3,"AAAAAH/fz5I=")</f>
        <v>#VALUE!</v>
      </c>
      <c r="ER42" t="e">
        <f>AND('5to. Secre.'!Q3,"AAAAAH/fz5M=")</f>
        <v>#VALUE!</v>
      </c>
      <c r="ES42" t="e">
        <f>AND('5to. Secre.'!R3,"AAAAAH/fz5Q=")</f>
        <v>#VALUE!</v>
      </c>
      <c r="ET42" t="e">
        <f>AND('5to. Secre.'!S3,"AAAAAH/fz5U=")</f>
        <v>#VALUE!</v>
      </c>
      <c r="EU42" t="e">
        <f>AND('5to. Secre.'!T3,"AAAAAH/fz5Y=")</f>
        <v>#VALUE!</v>
      </c>
      <c r="EV42" t="e">
        <f>AND('5to. Secre.'!#REF!,"AAAAAH/fz5c=")</f>
        <v>#REF!</v>
      </c>
      <c r="EW42" t="e">
        <f>AND('5to. Secre.'!#REF!,"AAAAAH/fz5g=")</f>
        <v>#REF!</v>
      </c>
      <c r="EX42" t="e">
        <f>AND('5to. Secre.'!#REF!,"AAAAAH/fz5k=")</f>
        <v>#REF!</v>
      </c>
      <c r="EY42" t="e">
        <f>AND('5to. Secre.'!#REF!,"AAAAAH/fz5o=")</f>
        <v>#REF!</v>
      </c>
      <c r="EZ42" t="e">
        <f>AND('5to. Secre.'!#REF!,"AAAAAH/fz5s=")</f>
        <v>#REF!</v>
      </c>
      <c r="FA42">
        <f>IF('5to. Secre.'!4:4,"AAAAAH/fz5w=",0)</f>
        <v>0</v>
      </c>
      <c r="FB42" t="e">
        <f>AND('5to. Secre.'!A4,"AAAAAH/fz50=")</f>
        <v>#VALUE!</v>
      </c>
      <c r="FC42" t="e">
        <f>AND('5to. Secre.'!B4,"AAAAAH/fz54=")</f>
        <v>#VALUE!</v>
      </c>
      <c r="FD42" t="e">
        <f>AND('5to. Secre.'!C4,"AAAAAH/fz58=")</f>
        <v>#VALUE!</v>
      </c>
      <c r="FE42" t="e">
        <f>AND('5to. Secre.'!D4,"AAAAAH/fz6A=")</f>
        <v>#VALUE!</v>
      </c>
      <c r="FF42" t="e">
        <f>AND('5to. Secre.'!E4,"AAAAAH/fz6E=")</f>
        <v>#VALUE!</v>
      </c>
      <c r="FG42" t="e">
        <f>AND('5to. Secre.'!F4,"AAAAAH/fz6I=")</f>
        <v>#VALUE!</v>
      </c>
      <c r="FH42" t="e">
        <f>AND('5to. Secre.'!G4,"AAAAAH/fz6M=")</f>
        <v>#VALUE!</v>
      </c>
      <c r="FI42" t="e">
        <f>AND('5to. Secre.'!H4,"AAAAAH/fz6Q=")</f>
        <v>#VALUE!</v>
      </c>
      <c r="FJ42" t="e">
        <f>AND('5to. Secre.'!I4,"AAAAAH/fz6U=")</f>
        <v>#VALUE!</v>
      </c>
      <c r="FK42" t="e">
        <f>AND('5to. Secre.'!J4,"AAAAAH/fz6Y=")</f>
        <v>#VALUE!</v>
      </c>
      <c r="FL42" t="e">
        <f>AND('5to. Secre.'!K4,"AAAAAH/fz6c=")</f>
        <v>#VALUE!</v>
      </c>
      <c r="FM42" t="e">
        <f>AND('5to. Secre.'!L4,"AAAAAH/fz6g=")</f>
        <v>#VALUE!</v>
      </c>
      <c r="FN42" t="e">
        <f>AND('5to. Secre.'!M4,"AAAAAH/fz6k=")</f>
        <v>#VALUE!</v>
      </c>
      <c r="FO42" t="e">
        <f>AND('5to. Secre.'!N4,"AAAAAH/fz6o=")</f>
        <v>#VALUE!</v>
      </c>
      <c r="FP42" t="e">
        <f>AND('5to. Secre.'!O4,"AAAAAH/fz6s=")</f>
        <v>#VALUE!</v>
      </c>
      <c r="FQ42" t="e">
        <f>AND('5to. Secre.'!P4,"AAAAAH/fz6w=")</f>
        <v>#VALUE!</v>
      </c>
      <c r="FR42" t="e">
        <f>AND('5to. Secre.'!Q4,"AAAAAH/fz60=")</f>
        <v>#VALUE!</v>
      </c>
      <c r="FS42" t="e">
        <f>AND('5to. Secre.'!R4,"AAAAAH/fz64=")</f>
        <v>#VALUE!</v>
      </c>
      <c r="FT42" t="e">
        <f>AND('5to. Secre.'!S4,"AAAAAH/fz68=")</f>
        <v>#VALUE!</v>
      </c>
      <c r="FU42" t="e">
        <f>AND('5to. Secre.'!T4,"AAAAAH/fz7A=")</f>
        <v>#VALUE!</v>
      </c>
      <c r="FV42" t="e">
        <f>AND('5to. Secre.'!#REF!,"AAAAAH/fz7E=")</f>
        <v>#REF!</v>
      </c>
      <c r="FW42" t="e">
        <f>AND('5to. Secre.'!#REF!,"AAAAAH/fz7I=")</f>
        <v>#REF!</v>
      </c>
      <c r="FX42" t="e">
        <f>AND('5to. Secre.'!#REF!,"AAAAAH/fz7M=")</f>
        <v>#REF!</v>
      </c>
      <c r="FY42" t="e">
        <f>AND('5to. Secre.'!#REF!,"AAAAAH/fz7Q=")</f>
        <v>#REF!</v>
      </c>
      <c r="FZ42" t="e">
        <f>AND('5to. Secre.'!#REF!,"AAAAAH/fz7U=")</f>
        <v>#REF!</v>
      </c>
      <c r="GA42">
        <f>IF('5to. Secre.'!5:5,"AAAAAH/fz7Y=",0)</f>
        <v>0</v>
      </c>
      <c r="GB42" t="e">
        <f>AND('5to. Secre.'!A5,"AAAAAH/fz7c=")</f>
        <v>#VALUE!</v>
      </c>
      <c r="GC42" t="e">
        <f>AND('5to. Secre.'!B5,"AAAAAH/fz7g=")</f>
        <v>#VALUE!</v>
      </c>
      <c r="GD42" t="e">
        <f>AND('5to. Secre.'!C5,"AAAAAH/fz7k=")</f>
        <v>#VALUE!</v>
      </c>
      <c r="GE42" t="e">
        <f>AND('5to. Secre.'!D5,"AAAAAH/fz7o=")</f>
        <v>#VALUE!</v>
      </c>
      <c r="GF42" t="e">
        <f>AND('5to. Secre.'!E5,"AAAAAH/fz7s=")</f>
        <v>#VALUE!</v>
      </c>
      <c r="GG42" t="e">
        <f>AND('5to. Secre.'!F5,"AAAAAH/fz7w=")</f>
        <v>#VALUE!</v>
      </c>
      <c r="GH42" t="e">
        <f>AND('5to. Secre.'!G5,"AAAAAH/fz70=")</f>
        <v>#VALUE!</v>
      </c>
      <c r="GI42" t="e">
        <f>AND('5to. Secre.'!H5,"AAAAAH/fz74=")</f>
        <v>#VALUE!</v>
      </c>
      <c r="GJ42" t="e">
        <f>AND('5to. Secre.'!I5,"AAAAAH/fz78=")</f>
        <v>#VALUE!</v>
      </c>
      <c r="GK42" t="e">
        <f>AND('5to. Secre.'!J5,"AAAAAH/fz8A=")</f>
        <v>#VALUE!</v>
      </c>
      <c r="GL42" t="e">
        <f>AND('5to. Secre.'!K5,"AAAAAH/fz8E=")</f>
        <v>#VALUE!</v>
      </c>
      <c r="GM42" t="e">
        <f>AND('5to. Secre.'!L5,"AAAAAH/fz8I=")</f>
        <v>#VALUE!</v>
      </c>
      <c r="GN42" t="e">
        <f>AND('5to. Secre.'!M5,"AAAAAH/fz8M=")</f>
        <v>#VALUE!</v>
      </c>
      <c r="GO42" t="e">
        <f>AND('5to. Secre.'!N5,"AAAAAH/fz8Q=")</f>
        <v>#VALUE!</v>
      </c>
      <c r="GP42" t="e">
        <f>AND('5to. Secre.'!O5,"AAAAAH/fz8U=")</f>
        <v>#VALUE!</v>
      </c>
      <c r="GQ42" t="e">
        <f>AND('5to. Secre.'!P5,"AAAAAH/fz8Y=")</f>
        <v>#VALUE!</v>
      </c>
      <c r="GR42" t="e">
        <f>AND('5to. Secre.'!Q5,"AAAAAH/fz8c=")</f>
        <v>#VALUE!</v>
      </c>
      <c r="GS42" t="e">
        <f>AND('5to. Secre.'!R5,"AAAAAH/fz8g=")</f>
        <v>#VALUE!</v>
      </c>
      <c r="GT42" t="e">
        <f>AND('5to. Secre.'!S5,"AAAAAH/fz8k=")</f>
        <v>#VALUE!</v>
      </c>
      <c r="GU42" t="e">
        <f>AND('5to. Secre.'!T5,"AAAAAH/fz8o=")</f>
        <v>#VALUE!</v>
      </c>
      <c r="GV42" t="e">
        <f>AND('5to. Secre.'!#REF!,"AAAAAH/fz8s=")</f>
        <v>#REF!</v>
      </c>
      <c r="GW42" t="e">
        <f>AND('5to. Secre.'!#REF!,"AAAAAH/fz8w=")</f>
        <v>#REF!</v>
      </c>
      <c r="GX42" t="e">
        <f>AND('5to. Secre.'!#REF!,"AAAAAH/fz80=")</f>
        <v>#REF!</v>
      </c>
      <c r="GY42" t="e">
        <f>AND('5to. Secre.'!#REF!,"AAAAAH/fz84=")</f>
        <v>#REF!</v>
      </c>
      <c r="GZ42" t="e">
        <f>AND('5to. Secre.'!#REF!,"AAAAAH/fz88=")</f>
        <v>#REF!</v>
      </c>
      <c r="HA42">
        <f>IF('5to. Secre.'!6:6,"AAAAAH/fz9A=",0)</f>
        <v>0</v>
      </c>
      <c r="HB42" t="e">
        <f>AND('5to. Secre.'!A6,"AAAAAH/fz9E=")</f>
        <v>#VALUE!</v>
      </c>
      <c r="HC42" t="e">
        <f>AND('5to. Secre.'!B6,"AAAAAH/fz9I=")</f>
        <v>#VALUE!</v>
      </c>
      <c r="HD42" t="e">
        <f>AND('5to. Secre.'!C6,"AAAAAH/fz9M=")</f>
        <v>#VALUE!</v>
      </c>
      <c r="HE42" t="e">
        <f>AND('5to. Secre.'!D6,"AAAAAH/fz9Q=")</f>
        <v>#VALUE!</v>
      </c>
      <c r="HF42" t="e">
        <f>AND('5to. Secre.'!E6,"AAAAAH/fz9U=")</f>
        <v>#VALUE!</v>
      </c>
      <c r="HG42" t="e">
        <f>AND('5to. Secre.'!F6,"AAAAAH/fz9Y=")</f>
        <v>#VALUE!</v>
      </c>
      <c r="HH42" t="e">
        <f>AND('5to. Secre.'!G6,"AAAAAH/fz9c=")</f>
        <v>#VALUE!</v>
      </c>
      <c r="HI42" t="e">
        <f>AND('5to. Secre.'!H6,"AAAAAH/fz9g=")</f>
        <v>#VALUE!</v>
      </c>
      <c r="HJ42" t="e">
        <f>AND('5to. Secre.'!I6,"AAAAAH/fz9k=")</f>
        <v>#VALUE!</v>
      </c>
      <c r="HK42" t="e">
        <f>AND('5to. Secre.'!J6,"AAAAAH/fz9o=")</f>
        <v>#VALUE!</v>
      </c>
      <c r="HL42" t="e">
        <f>AND('5to. Secre.'!K6,"AAAAAH/fz9s=")</f>
        <v>#VALUE!</v>
      </c>
      <c r="HM42" t="e">
        <f>AND('5to. Secre.'!L6,"AAAAAH/fz9w=")</f>
        <v>#VALUE!</v>
      </c>
      <c r="HN42" t="e">
        <f>AND('5to. Secre.'!M6,"AAAAAH/fz90=")</f>
        <v>#VALUE!</v>
      </c>
      <c r="HO42" t="e">
        <f>AND('5to. Secre.'!N6,"AAAAAH/fz94=")</f>
        <v>#VALUE!</v>
      </c>
      <c r="HP42" t="e">
        <f>AND('5to. Secre.'!O6,"AAAAAH/fz98=")</f>
        <v>#VALUE!</v>
      </c>
      <c r="HQ42" t="e">
        <f>AND('5to. Secre.'!P6,"AAAAAH/fz+A=")</f>
        <v>#VALUE!</v>
      </c>
      <c r="HR42" t="e">
        <f>AND('5to. Secre.'!Q6,"AAAAAH/fz+E=")</f>
        <v>#VALUE!</v>
      </c>
      <c r="HS42" t="e">
        <f>AND('5to. Secre.'!R6,"AAAAAH/fz+I=")</f>
        <v>#VALUE!</v>
      </c>
      <c r="HT42" t="e">
        <f>AND('5to. Secre.'!S6,"AAAAAH/fz+M=")</f>
        <v>#VALUE!</v>
      </c>
      <c r="HU42" t="e">
        <f>AND('5to. Secre.'!T6,"AAAAAH/fz+Q=")</f>
        <v>#VALUE!</v>
      </c>
      <c r="HV42" t="e">
        <f>AND('5to. Secre.'!#REF!,"AAAAAH/fz+U=")</f>
        <v>#REF!</v>
      </c>
      <c r="HW42" t="e">
        <f>AND('5to. Secre.'!#REF!,"AAAAAH/fz+Y=")</f>
        <v>#REF!</v>
      </c>
      <c r="HX42" t="e">
        <f>AND('5to. Secre.'!#REF!,"AAAAAH/fz+c=")</f>
        <v>#REF!</v>
      </c>
      <c r="HY42" t="e">
        <f>AND('5to. Secre.'!#REF!,"AAAAAH/fz+g=")</f>
        <v>#REF!</v>
      </c>
      <c r="HZ42" t="e">
        <f>AND('5to. Secre.'!#REF!,"AAAAAH/fz+k=")</f>
        <v>#REF!</v>
      </c>
      <c r="IA42">
        <f>IF('5to. Secre.'!7:7,"AAAAAH/fz+o=",0)</f>
        <v>0</v>
      </c>
      <c r="IB42" t="e">
        <f>AND('5to. Secre.'!A7,"AAAAAH/fz+s=")</f>
        <v>#VALUE!</v>
      </c>
      <c r="IC42" t="e">
        <f>AND('5to. Secre.'!B7,"AAAAAH/fz+w=")</f>
        <v>#VALUE!</v>
      </c>
      <c r="ID42" t="e">
        <f>AND('5to. Secre.'!C7,"AAAAAH/fz+0=")</f>
        <v>#VALUE!</v>
      </c>
      <c r="IE42" t="e">
        <f>AND('5to. Secre.'!D7,"AAAAAH/fz+4=")</f>
        <v>#VALUE!</v>
      </c>
      <c r="IF42" t="e">
        <f>AND('5to. Secre.'!E7,"AAAAAH/fz+8=")</f>
        <v>#VALUE!</v>
      </c>
      <c r="IG42" t="e">
        <f>AND('5to. Secre.'!F7,"AAAAAH/fz/A=")</f>
        <v>#VALUE!</v>
      </c>
      <c r="IH42" t="e">
        <f>AND('5to. Secre.'!G7,"AAAAAH/fz/E=")</f>
        <v>#VALUE!</v>
      </c>
      <c r="II42" t="e">
        <f>AND('5to. Secre.'!H7,"AAAAAH/fz/I=")</f>
        <v>#VALUE!</v>
      </c>
      <c r="IJ42" t="e">
        <f>AND('5to. Secre.'!I7,"AAAAAH/fz/M=")</f>
        <v>#VALUE!</v>
      </c>
      <c r="IK42" t="e">
        <f>AND('5to. Secre.'!J7,"AAAAAH/fz/Q=")</f>
        <v>#VALUE!</v>
      </c>
      <c r="IL42" t="e">
        <f>AND('5to. Secre.'!K7,"AAAAAH/fz/U=")</f>
        <v>#VALUE!</v>
      </c>
      <c r="IM42" t="e">
        <f>AND('5to. Secre.'!L7,"AAAAAH/fz/Y=")</f>
        <v>#VALUE!</v>
      </c>
      <c r="IN42" t="e">
        <f>AND('5to. Secre.'!M7,"AAAAAH/fz/c=")</f>
        <v>#VALUE!</v>
      </c>
      <c r="IO42" t="e">
        <f>AND('5to. Secre.'!N7,"AAAAAH/fz/g=")</f>
        <v>#VALUE!</v>
      </c>
      <c r="IP42" t="e">
        <f>AND('5to. Secre.'!O7,"AAAAAH/fz/k=")</f>
        <v>#VALUE!</v>
      </c>
      <c r="IQ42" t="e">
        <f>AND('5to. Secre.'!P7,"AAAAAH/fz/o=")</f>
        <v>#VALUE!</v>
      </c>
      <c r="IR42" t="e">
        <f>AND('5to. Secre.'!Q7,"AAAAAH/fz/s=")</f>
        <v>#VALUE!</v>
      </c>
      <c r="IS42" t="e">
        <f>AND('5to. Secre.'!R7,"AAAAAH/fz/w=")</f>
        <v>#VALUE!</v>
      </c>
      <c r="IT42" t="e">
        <f>AND('5to. Secre.'!S7,"AAAAAH/fz/0=")</f>
        <v>#VALUE!</v>
      </c>
      <c r="IU42" t="e">
        <f>AND('5to. Secre.'!T7,"AAAAAH/fz/4=")</f>
        <v>#VALUE!</v>
      </c>
      <c r="IV42" t="e">
        <f>AND('5to. Secre.'!#REF!,"AAAAAH/fz/8=")</f>
        <v>#REF!</v>
      </c>
    </row>
    <row r="43" spans="1:256">
      <c r="A43" t="e">
        <f>AND('5to. Secre.'!#REF!,"AAAAAC99/QA=")</f>
        <v>#REF!</v>
      </c>
      <c r="B43" t="e">
        <f>AND('5to. Secre.'!#REF!,"AAAAAC99/QE=")</f>
        <v>#REF!</v>
      </c>
      <c r="C43" t="e">
        <f>AND('5to. Secre.'!#REF!,"AAAAAC99/QI=")</f>
        <v>#REF!</v>
      </c>
      <c r="D43" t="e">
        <f>AND('5to. Secre.'!#REF!,"AAAAAC99/QM=")</f>
        <v>#REF!</v>
      </c>
      <c r="E43">
        <f>IF('5to. Secre.'!8:8,"AAAAAC99/QQ=",0)</f>
        <v>0</v>
      </c>
      <c r="F43" t="e">
        <f>AND('5to. Secre.'!A8,"AAAAAC99/QU=")</f>
        <v>#VALUE!</v>
      </c>
      <c r="G43" t="e">
        <f>AND('5to. Secre.'!B8,"AAAAAC99/QY=")</f>
        <v>#VALUE!</v>
      </c>
      <c r="H43" t="e">
        <f>AND('5to. Secre.'!C8,"AAAAAC99/Qc=")</f>
        <v>#VALUE!</v>
      </c>
      <c r="I43" t="e">
        <f>AND('5to. Secre.'!D8,"AAAAAC99/Qg=")</f>
        <v>#VALUE!</v>
      </c>
      <c r="J43" t="e">
        <f>AND('5to. Secre.'!E8,"AAAAAC99/Qk=")</f>
        <v>#VALUE!</v>
      </c>
      <c r="K43" t="e">
        <f>AND('5to. Secre.'!F8,"AAAAAC99/Qo=")</f>
        <v>#VALUE!</v>
      </c>
      <c r="L43" t="e">
        <f>AND('5to. Secre.'!G8,"AAAAAC99/Qs=")</f>
        <v>#VALUE!</v>
      </c>
      <c r="M43" t="e">
        <f>AND('5to. Secre.'!H8,"AAAAAC99/Qw=")</f>
        <v>#VALUE!</v>
      </c>
      <c r="N43" t="e">
        <f>AND('5to. Secre.'!I8,"AAAAAC99/Q0=")</f>
        <v>#VALUE!</v>
      </c>
      <c r="O43" t="e">
        <f>AND('5to. Secre.'!J8,"AAAAAC99/Q4=")</f>
        <v>#VALUE!</v>
      </c>
      <c r="P43" t="e">
        <f>AND('5to. Secre.'!K8,"AAAAAC99/Q8=")</f>
        <v>#VALUE!</v>
      </c>
      <c r="Q43" t="e">
        <f>AND('5to. Secre.'!L8,"AAAAAC99/RA=")</f>
        <v>#VALUE!</v>
      </c>
      <c r="R43" t="e">
        <f>AND('5to. Secre.'!M8,"AAAAAC99/RE=")</f>
        <v>#VALUE!</v>
      </c>
      <c r="S43" t="e">
        <f>AND('5to. Secre.'!N8,"AAAAAC99/RI=")</f>
        <v>#VALUE!</v>
      </c>
      <c r="T43" t="e">
        <f>AND('5to. Secre.'!O8,"AAAAAC99/RM=")</f>
        <v>#VALUE!</v>
      </c>
      <c r="U43" t="e">
        <f>AND('5to. Secre.'!P8,"AAAAAC99/RQ=")</f>
        <v>#VALUE!</v>
      </c>
      <c r="V43" t="e">
        <f>AND('5to. Secre.'!Q8,"AAAAAC99/RU=")</f>
        <v>#VALUE!</v>
      </c>
      <c r="W43" t="e">
        <f>AND('5to. Secre.'!R8,"AAAAAC99/RY=")</f>
        <v>#VALUE!</v>
      </c>
      <c r="X43" t="e">
        <f>AND('5to. Secre.'!S8,"AAAAAC99/Rc=")</f>
        <v>#VALUE!</v>
      </c>
      <c r="Y43" t="e">
        <f>AND('5to. Secre.'!T8,"AAAAAC99/Rg=")</f>
        <v>#VALUE!</v>
      </c>
      <c r="Z43" t="e">
        <f>AND('5to. Secre.'!#REF!,"AAAAAC99/Rk=")</f>
        <v>#REF!</v>
      </c>
      <c r="AA43" t="e">
        <f>AND('5to. Secre.'!#REF!,"AAAAAC99/Ro=")</f>
        <v>#REF!</v>
      </c>
      <c r="AB43" t="e">
        <f>AND('5to. Secre.'!#REF!,"AAAAAC99/Rs=")</f>
        <v>#REF!</v>
      </c>
      <c r="AC43" t="e">
        <f>AND('5to. Secre.'!#REF!,"AAAAAC99/Rw=")</f>
        <v>#REF!</v>
      </c>
      <c r="AD43" t="e">
        <f>AND('5to. Secre.'!#REF!,"AAAAAC99/R0=")</f>
        <v>#REF!</v>
      </c>
      <c r="AE43">
        <f>IF('5to. Secre.'!9:9,"AAAAAC99/R4=",0)</f>
        <v>0</v>
      </c>
      <c r="AF43" t="e">
        <f>AND('5to. Secre.'!A9,"AAAAAC99/R8=")</f>
        <v>#VALUE!</v>
      </c>
      <c r="AG43" t="e">
        <f>AND('5to. Secre.'!B9,"AAAAAC99/SA=")</f>
        <v>#VALUE!</v>
      </c>
      <c r="AH43" t="e">
        <f>AND('5to. Secre.'!C9,"AAAAAC99/SE=")</f>
        <v>#VALUE!</v>
      </c>
      <c r="AI43" t="e">
        <f>AND('5to. Secre.'!D9,"AAAAAC99/SI=")</f>
        <v>#VALUE!</v>
      </c>
      <c r="AJ43" t="e">
        <f>AND('5to. Secre.'!E9,"AAAAAC99/SM=")</f>
        <v>#VALUE!</v>
      </c>
      <c r="AK43" t="e">
        <f>AND('5to. Secre.'!F9,"AAAAAC99/SQ=")</f>
        <v>#VALUE!</v>
      </c>
      <c r="AL43" t="e">
        <f>AND('5to. Secre.'!G9,"AAAAAC99/SU=")</f>
        <v>#VALUE!</v>
      </c>
      <c r="AM43" t="e">
        <f>AND('5to. Secre.'!H9,"AAAAAC99/SY=")</f>
        <v>#VALUE!</v>
      </c>
      <c r="AN43" t="e">
        <f>AND('5to. Secre.'!I9,"AAAAAC99/Sc=")</f>
        <v>#VALUE!</v>
      </c>
      <c r="AO43" t="e">
        <f>AND('5to. Secre.'!J9,"AAAAAC99/Sg=")</f>
        <v>#VALUE!</v>
      </c>
      <c r="AP43" t="e">
        <f>AND('5to. Secre.'!K9,"AAAAAC99/Sk=")</f>
        <v>#VALUE!</v>
      </c>
      <c r="AQ43" t="e">
        <f>AND('5to. Secre.'!L9,"AAAAAC99/So=")</f>
        <v>#VALUE!</v>
      </c>
      <c r="AR43" t="e">
        <f>AND('5to. Secre.'!M9,"AAAAAC99/Ss=")</f>
        <v>#VALUE!</v>
      </c>
      <c r="AS43" t="e">
        <f>AND('5to. Secre.'!N9,"AAAAAC99/Sw=")</f>
        <v>#VALUE!</v>
      </c>
      <c r="AT43" t="e">
        <f>AND('5to. Secre.'!O9,"AAAAAC99/S0=")</f>
        <v>#VALUE!</v>
      </c>
      <c r="AU43" t="e">
        <f>AND('5to. Secre.'!P9,"AAAAAC99/S4=")</f>
        <v>#VALUE!</v>
      </c>
      <c r="AV43" t="e">
        <f>AND('5to. Secre.'!Q9,"AAAAAC99/S8=")</f>
        <v>#VALUE!</v>
      </c>
      <c r="AW43" t="e">
        <f>AND('5to. Secre.'!R9,"AAAAAC99/TA=")</f>
        <v>#VALUE!</v>
      </c>
      <c r="AX43" t="e">
        <f>AND('5to. Secre.'!S9,"AAAAAC99/TE=")</f>
        <v>#VALUE!</v>
      </c>
      <c r="AY43" t="e">
        <f>AND('5to. Secre.'!T9,"AAAAAC99/TI=")</f>
        <v>#VALUE!</v>
      </c>
      <c r="AZ43" t="e">
        <f>AND('5to. Secre.'!#REF!,"AAAAAC99/TM=")</f>
        <v>#REF!</v>
      </c>
      <c r="BA43" t="e">
        <f>AND('5to. Secre.'!#REF!,"AAAAAC99/TQ=")</f>
        <v>#REF!</v>
      </c>
      <c r="BB43" t="e">
        <f>AND('5to. Secre.'!#REF!,"AAAAAC99/TU=")</f>
        <v>#REF!</v>
      </c>
      <c r="BC43" t="e">
        <f>AND('5to. Secre.'!#REF!,"AAAAAC99/TY=")</f>
        <v>#REF!</v>
      </c>
      <c r="BD43" t="e">
        <f>AND('5to. Secre.'!#REF!,"AAAAAC99/Tc=")</f>
        <v>#REF!</v>
      </c>
      <c r="BE43">
        <f>IF('5to. Secre.'!10:10,"AAAAAC99/Tg=",0)</f>
        <v>0</v>
      </c>
      <c r="BF43" t="e">
        <f>AND('5to. Secre.'!A10,"AAAAAC99/Tk=")</f>
        <v>#VALUE!</v>
      </c>
      <c r="BG43" t="e">
        <f>AND('5to. Secre.'!B10,"AAAAAC99/To=")</f>
        <v>#VALUE!</v>
      </c>
      <c r="BH43" t="e">
        <f>AND('5to. Secre.'!C10,"AAAAAC99/Ts=")</f>
        <v>#VALUE!</v>
      </c>
      <c r="BI43" t="e">
        <f>AND('5to. Secre.'!D10,"AAAAAC99/Tw=")</f>
        <v>#VALUE!</v>
      </c>
      <c r="BJ43" t="e">
        <f>AND('5to. Secre.'!E10,"AAAAAC99/T0=")</f>
        <v>#VALUE!</v>
      </c>
      <c r="BK43" t="e">
        <f>AND('5to. Secre.'!F10,"AAAAAC99/T4=")</f>
        <v>#VALUE!</v>
      </c>
      <c r="BL43" t="e">
        <f>AND('5to. Secre.'!G10,"AAAAAC99/T8=")</f>
        <v>#VALUE!</v>
      </c>
      <c r="BM43" t="e">
        <f>AND('5to. Secre.'!H10,"AAAAAC99/UA=")</f>
        <v>#VALUE!</v>
      </c>
      <c r="BN43" t="e">
        <f>AND('5to. Secre.'!I10,"AAAAAC99/UE=")</f>
        <v>#VALUE!</v>
      </c>
      <c r="BO43" t="e">
        <f>AND('5to. Secre.'!J10,"AAAAAC99/UI=")</f>
        <v>#VALUE!</v>
      </c>
      <c r="BP43" t="e">
        <f>AND('5to. Secre.'!K10,"AAAAAC99/UM=")</f>
        <v>#VALUE!</v>
      </c>
      <c r="BQ43" t="e">
        <f>AND('5to. Secre.'!L10,"AAAAAC99/UQ=")</f>
        <v>#VALUE!</v>
      </c>
      <c r="BR43" t="e">
        <f>AND('5to. Secre.'!M10,"AAAAAC99/UU=")</f>
        <v>#VALUE!</v>
      </c>
      <c r="BS43" t="e">
        <f>AND('5to. Secre.'!N10,"AAAAAC99/UY=")</f>
        <v>#VALUE!</v>
      </c>
      <c r="BT43" t="e">
        <f>AND('5to. Secre.'!O10,"AAAAAC99/Uc=")</f>
        <v>#VALUE!</v>
      </c>
      <c r="BU43" t="e">
        <f>AND('5to. Secre.'!P10,"AAAAAC99/Ug=")</f>
        <v>#VALUE!</v>
      </c>
      <c r="BV43" t="e">
        <f>AND('5to. Secre.'!Q10,"AAAAAC99/Uk=")</f>
        <v>#VALUE!</v>
      </c>
      <c r="BW43" t="e">
        <f>AND('5to. Secre.'!R10,"AAAAAC99/Uo=")</f>
        <v>#VALUE!</v>
      </c>
      <c r="BX43" t="e">
        <f>AND('5to. Secre.'!S10,"AAAAAC99/Us=")</f>
        <v>#VALUE!</v>
      </c>
      <c r="BY43" t="e">
        <f>AND('5to. Secre.'!T10,"AAAAAC99/Uw=")</f>
        <v>#VALUE!</v>
      </c>
      <c r="BZ43" t="e">
        <f>AND('5to. Secre.'!#REF!,"AAAAAC99/U0=")</f>
        <v>#REF!</v>
      </c>
      <c r="CA43" t="e">
        <f>AND('5to. Secre.'!#REF!,"AAAAAC99/U4=")</f>
        <v>#REF!</v>
      </c>
      <c r="CB43" t="e">
        <f>AND('5to. Secre.'!#REF!,"AAAAAC99/U8=")</f>
        <v>#REF!</v>
      </c>
      <c r="CC43" t="e">
        <f>AND('5to. Secre.'!#REF!,"AAAAAC99/VA=")</f>
        <v>#REF!</v>
      </c>
      <c r="CD43" t="e">
        <f>AND('5to. Secre.'!#REF!,"AAAAAC99/VE=")</f>
        <v>#REF!</v>
      </c>
      <c r="CE43">
        <f>IF('5to. Secre.'!11:11,"AAAAAC99/VI=",0)</f>
        <v>0</v>
      </c>
      <c r="CF43" t="e">
        <f>AND('5to. Secre.'!A11,"AAAAAC99/VM=")</f>
        <v>#VALUE!</v>
      </c>
      <c r="CG43" t="e">
        <f>AND('5to. Secre.'!B11,"AAAAAC99/VQ=")</f>
        <v>#VALUE!</v>
      </c>
      <c r="CH43" t="e">
        <f>AND('5to. Secre.'!C11,"AAAAAC99/VU=")</f>
        <v>#VALUE!</v>
      </c>
      <c r="CI43" t="e">
        <f>AND('5to. Secre.'!D11,"AAAAAC99/VY=")</f>
        <v>#VALUE!</v>
      </c>
      <c r="CJ43" t="e">
        <f>AND('5to. Secre.'!E11,"AAAAAC99/Vc=")</f>
        <v>#VALUE!</v>
      </c>
      <c r="CK43" t="e">
        <f>AND('5to. Secre.'!F11,"AAAAAC99/Vg=")</f>
        <v>#VALUE!</v>
      </c>
      <c r="CL43" t="e">
        <f>AND('5to. Secre.'!G11,"AAAAAC99/Vk=")</f>
        <v>#VALUE!</v>
      </c>
      <c r="CM43" t="e">
        <f>AND('5to. Secre.'!H11,"AAAAAC99/Vo=")</f>
        <v>#VALUE!</v>
      </c>
      <c r="CN43" t="e">
        <f>AND('5to. Secre.'!I11,"AAAAAC99/Vs=")</f>
        <v>#VALUE!</v>
      </c>
      <c r="CO43" t="e">
        <f>AND('5to. Secre.'!J11,"AAAAAC99/Vw=")</f>
        <v>#VALUE!</v>
      </c>
      <c r="CP43" t="e">
        <f>AND('5to. Secre.'!K11,"AAAAAC99/V0=")</f>
        <v>#VALUE!</v>
      </c>
      <c r="CQ43" t="e">
        <f>AND('5to. Secre.'!L11,"AAAAAC99/V4=")</f>
        <v>#VALUE!</v>
      </c>
      <c r="CR43" t="e">
        <f>AND('5to. Secre.'!M11,"AAAAAC99/V8=")</f>
        <v>#VALUE!</v>
      </c>
      <c r="CS43" t="e">
        <f>AND('5to. Secre.'!N11,"AAAAAC99/WA=")</f>
        <v>#VALUE!</v>
      </c>
      <c r="CT43" t="e">
        <f>AND('5to. Secre.'!O11,"AAAAAC99/WE=")</f>
        <v>#VALUE!</v>
      </c>
      <c r="CU43" t="e">
        <f>AND('5to. Secre.'!P11,"AAAAAC99/WI=")</f>
        <v>#VALUE!</v>
      </c>
      <c r="CV43" t="e">
        <f>AND('5to. Secre.'!Q11,"AAAAAC99/WM=")</f>
        <v>#VALUE!</v>
      </c>
      <c r="CW43" t="e">
        <f>AND('5to. Secre.'!R11,"AAAAAC99/WQ=")</f>
        <v>#VALUE!</v>
      </c>
      <c r="CX43" t="e">
        <f>AND('5to. Secre.'!S11,"AAAAAC99/WU=")</f>
        <v>#VALUE!</v>
      </c>
      <c r="CY43" t="e">
        <f>AND('5to. Secre.'!T11,"AAAAAC99/WY=")</f>
        <v>#VALUE!</v>
      </c>
      <c r="CZ43" t="e">
        <f>AND('5to. Secre.'!#REF!,"AAAAAC99/Wc=")</f>
        <v>#REF!</v>
      </c>
      <c r="DA43" t="e">
        <f>AND('5to. Secre.'!#REF!,"AAAAAC99/Wg=")</f>
        <v>#REF!</v>
      </c>
      <c r="DB43" t="e">
        <f>AND('5to. Secre.'!#REF!,"AAAAAC99/Wk=")</f>
        <v>#REF!</v>
      </c>
      <c r="DC43" t="e">
        <f>AND('5to. Secre.'!#REF!,"AAAAAC99/Wo=")</f>
        <v>#REF!</v>
      </c>
      <c r="DD43" t="e">
        <f>AND('5to. Secre.'!#REF!,"AAAAAC99/Ws=")</f>
        <v>#REF!</v>
      </c>
      <c r="DE43">
        <f>IF('5to. Secre.'!12:12,"AAAAAC99/Ww=",0)</f>
        <v>0</v>
      </c>
      <c r="DF43" t="e">
        <f>AND('5to. Secre.'!A12,"AAAAAC99/W0=")</f>
        <v>#VALUE!</v>
      </c>
      <c r="DG43" t="e">
        <f>AND('5to. Secre.'!B12,"AAAAAC99/W4=")</f>
        <v>#VALUE!</v>
      </c>
      <c r="DH43" t="e">
        <f>AND('5to. Secre.'!C12,"AAAAAC99/W8=")</f>
        <v>#VALUE!</v>
      </c>
      <c r="DI43" t="e">
        <f>AND('5to. Secre.'!D12,"AAAAAC99/XA=")</f>
        <v>#VALUE!</v>
      </c>
      <c r="DJ43" t="e">
        <f>AND('5to. Secre.'!E12,"AAAAAC99/XE=")</f>
        <v>#VALUE!</v>
      </c>
      <c r="DK43" t="e">
        <f>AND('5to. Secre.'!F12,"AAAAAC99/XI=")</f>
        <v>#VALUE!</v>
      </c>
      <c r="DL43" t="e">
        <f>AND('5to. Secre.'!G12,"AAAAAC99/XM=")</f>
        <v>#VALUE!</v>
      </c>
      <c r="DM43" t="e">
        <f>AND('5to. Secre.'!H12,"AAAAAC99/XQ=")</f>
        <v>#VALUE!</v>
      </c>
      <c r="DN43" t="e">
        <f>AND('5to. Secre.'!I12,"AAAAAC99/XU=")</f>
        <v>#VALUE!</v>
      </c>
      <c r="DO43" t="e">
        <f>AND('5to. Secre.'!J12,"AAAAAC99/XY=")</f>
        <v>#VALUE!</v>
      </c>
      <c r="DP43" t="e">
        <f>AND('5to. Secre.'!K12,"AAAAAC99/Xc=")</f>
        <v>#VALUE!</v>
      </c>
      <c r="DQ43" t="e">
        <f>AND('5to. Secre.'!L12,"AAAAAC99/Xg=")</f>
        <v>#VALUE!</v>
      </c>
      <c r="DR43" t="e">
        <f>AND('5to. Secre.'!M12,"AAAAAC99/Xk=")</f>
        <v>#VALUE!</v>
      </c>
      <c r="DS43" t="e">
        <f>AND('5to. Secre.'!N12,"AAAAAC99/Xo=")</f>
        <v>#VALUE!</v>
      </c>
      <c r="DT43" t="e">
        <f>AND('5to. Secre.'!O12,"AAAAAC99/Xs=")</f>
        <v>#VALUE!</v>
      </c>
      <c r="DU43" t="e">
        <f>AND('5to. Secre.'!P12,"AAAAAC99/Xw=")</f>
        <v>#VALUE!</v>
      </c>
      <c r="DV43" t="e">
        <f>AND('5to. Secre.'!Q12,"AAAAAC99/X0=")</f>
        <v>#VALUE!</v>
      </c>
      <c r="DW43" t="e">
        <f>AND('5to. Secre.'!R12,"AAAAAC99/X4=")</f>
        <v>#VALUE!</v>
      </c>
      <c r="DX43" t="e">
        <f>AND('5to. Secre.'!S12,"AAAAAC99/X8=")</f>
        <v>#VALUE!</v>
      </c>
      <c r="DY43" t="e">
        <f>AND('5to. Secre.'!T12,"AAAAAC99/YA=")</f>
        <v>#VALUE!</v>
      </c>
      <c r="DZ43" t="e">
        <f>AND('5to. Secre.'!#REF!,"AAAAAC99/YE=")</f>
        <v>#REF!</v>
      </c>
      <c r="EA43" t="e">
        <f>AND('5to. Secre.'!#REF!,"AAAAAC99/YI=")</f>
        <v>#REF!</v>
      </c>
      <c r="EB43" t="e">
        <f>AND('5to. Secre.'!#REF!,"AAAAAC99/YM=")</f>
        <v>#REF!</v>
      </c>
      <c r="EC43" t="e">
        <f>AND('5to. Secre.'!#REF!,"AAAAAC99/YQ=")</f>
        <v>#REF!</v>
      </c>
      <c r="ED43" t="e">
        <f>AND('5to. Secre.'!#REF!,"AAAAAC99/YU=")</f>
        <v>#REF!</v>
      </c>
      <c r="EE43">
        <f>IF('5to. Secre.'!13:13,"AAAAAC99/YY=",0)</f>
        <v>0</v>
      </c>
      <c r="EF43" t="e">
        <f>AND('5to. Secre.'!A13,"AAAAAC99/Yc=")</f>
        <v>#VALUE!</v>
      </c>
      <c r="EG43" t="e">
        <f>AND('5to. Secre.'!B13,"AAAAAC99/Yg=")</f>
        <v>#VALUE!</v>
      </c>
      <c r="EH43" t="e">
        <f>AND('5to. Secre.'!C13,"AAAAAC99/Yk=")</f>
        <v>#VALUE!</v>
      </c>
      <c r="EI43" t="e">
        <f>AND('5to. Secre.'!D13,"AAAAAC99/Yo=")</f>
        <v>#VALUE!</v>
      </c>
      <c r="EJ43" t="e">
        <f>AND('5to. Secre.'!E13,"AAAAAC99/Ys=")</f>
        <v>#VALUE!</v>
      </c>
      <c r="EK43" t="e">
        <f>AND('5to. Secre.'!F13,"AAAAAC99/Yw=")</f>
        <v>#VALUE!</v>
      </c>
      <c r="EL43" t="e">
        <f>AND('5to. Secre.'!G13,"AAAAAC99/Y0=")</f>
        <v>#VALUE!</v>
      </c>
      <c r="EM43" t="e">
        <f>AND('5to. Secre.'!H13,"AAAAAC99/Y4=")</f>
        <v>#VALUE!</v>
      </c>
      <c r="EN43" t="e">
        <f>AND('5to. Secre.'!I13,"AAAAAC99/Y8=")</f>
        <v>#VALUE!</v>
      </c>
      <c r="EO43" t="e">
        <f>AND('5to. Secre.'!J13,"AAAAAC99/ZA=")</f>
        <v>#VALUE!</v>
      </c>
      <c r="EP43" t="e">
        <f>AND('5to. Secre.'!K13,"AAAAAC99/ZE=")</f>
        <v>#VALUE!</v>
      </c>
      <c r="EQ43" t="e">
        <f>AND('5to. Secre.'!L13,"AAAAAC99/ZI=")</f>
        <v>#VALUE!</v>
      </c>
      <c r="ER43" t="e">
        <f>AND('5to. Secre.'!M13,"AAAAAC99/ZM=")</f>
        <v>#VALUE!</v>
      </c>
      <c r="ES43" t="e">
        <f>AND('5to. Secre.'!N13,"AAAAAC99/ZQ=")</f>
        <v>#VALUE!</v>
      </c>
      <c r="ET43" t="e">
        <f>AND('5to. Secre.'!O13,"AAAAAC99/ZU=")</f>
        <v>#VALUE!</v>
      </c>
      <c r="EU43" t="e">
        <f>AND('5to. Secre.'!P13,"AAAAAC99/ZY=")</f>
        <v>#VALUE!</v>
      </c>
      <c r="EV43" t="e">
        <f>AND('5to. Secre.'!Q13,"AAAAAC99/Zc=")</f>
        <v>#VALUE!</v>
      </c>
      <c r="EW43" t="e">
        <f>AND('5to. Secre.'!R13,"AAAAAC99/Zg=")</f>
        <v>#VALUE!</v>
      </c>
      <c r="EX43" t="e">
        <f>AND('5to. Secre.'!S13,"AAAAAC99/Zk=")</f>
        <v>#VALUE!</v>
      </c>
      <c r="EY43" t="e">
        <f>AND('5to. Secre.'!T13,"AAAAAC99/Zo=")</f>
        <v>#VALUE!</v>
      </c>
      <c r="EZ43" t="e">
        <f>AND('5to. Secre.'!#REF!,"AAAAAC99/Zs=")</f>
        <v>#REF!</v>
      </c>
      <c r="FA43" t="e">
        <f>AND('5to. Secre.'!#REF!,"AAAAAC99/Zw=")</f>
        <v>#REF!</v>
      </c>
      <c r="FB43" t="e">
        <f>AND('5to. Secre.'!#REF!,"AAAAAC99/Z0=")</f>
        <v>#REF!</v>
      </c>
      <c r="FC43" t="e">
        <f>AND('5to. Secre.'!#REF!,"AAAAAC99/Z4=")</f>
        <v>#REF!</v>
      </c>
      <c r="FD43" t="e">
        <f>AND('5to. Secre.'!#REF!,"AAAAAC99/Z8=")</f>
        <v>#REF!</v>
      </c>
      <c r="FE43">
        <f>IF('5to. Secre.'!14:14,"AAAAAC99/aA=",0)</f>
        <v>0</v>
      </c>
      <c r="FF43" t="e">
        <f>AND('5to. Secre.'!A14,"AAAAAC99/aE=")</f>
        <v>#VALUE!</v>
      </c>
      <c r="FG43" t="e">
        <f>AND('5to. Secre.'!B14,"AAAAAC99/aI=")</f>
        <v>#VALUE!</v>
      </c>
      <c r="FH43" t="e">
        <f>AND('5to. Secre.'!C14,"AAAAAC99/aM=")</f>
        <v>#VALUE!</v>
      </c>
      <c r="FI43" t="e">
        <f>AND('5to. Secre.'!D14,"AAAAAC99/aQ=")</f>
        <v>#VALUE!</v>
      </c>
      <c r="FJ43" t="e">
        <f>AND('5to. Secre.'!E14,"AAAAAC99/aU=")</f>
        <v>#VALUE!</v>
      </c>
      <c r="FK43" t="e">
        <f>AND('5to. Secre.'!F14,"AAAAAC99/aY=")</f>
        <v>#VALUE!</v>
      </c>
      <c r="FL43" t="e">
        <f>AND('5to. Secre.'!G14,"AAAAAC99/ac=")</f>
        <v>#VALUE!</v>
      </c>
      <c r="FM43" t="e">
        <f>AND('5to. Secre.'!H14,"AAAAAC99/ag=")</f>
        <v>#VALUE!</v>
      </c>
      <c r="FN43" t="e">
        <f>AND('5to. Secre.'!I14,"AAAAAC99/ak=")</f>
        <v>#VALUE!</v>
      </c>
      <c r="FO43" t="e">
        <f>AND('5to. Secre.'!J14,"AAAAAC99/ao=")</f>
        <v>#VALUE!</v>
      </c>
      <c r="FP43" t="e">
        <f>AND('5to. Secre.'!K14,"AAAAAC99/as=")</f>
        <v>#VALUE!</v>
      </c>
      <c r="FQ43" t="e">
        <f>AND('5to. Secre.'!L14,"AAAAAC99/aw=")</f>
        <v>#VALUE!</v>
      </c>
      <c r="FR43" t="e">
        <f>AND('5to. Secre.'!M14,"AAAAAC99/a0=")</f>
        <v>#VALUE!</v>
      </c>
      <c r="FS43" t="e">
        <f>AND('5to. Secre.'!N14,"AAAAAC99/a4=")</f>
        <v>#VALUE!</v>
      </c>
      <c r="FT43" t="e">
        <f>AND('5to. Secre.'!O14,"AAAAAC99/a8=")</f>
        <v>#VALUE!</v>
      </c>
      <c r="FU43" t="e">
        <f>AND('5to. Secre.'!P14,"AAAAAC99/bA=")</f>
        <v>#VALUE!</v>
      </c>
      <c r="FV43" t="e">
        <f>AND('5to. Secre.'!Q14,"AAAAAC99/bE=")</f>
        <v>#VALUE!</v>
      </c>
      <c r="FW43" t="e">
        <f>AND('5to. Secre.'!R14,"AAAAAC99/bI=")</f>
        <v>#VALUE!</v>
      </c>
      <c r="FX43" t="e">
        <f>AND('5to. Secre.'!S14,"AAAAAC99/bM=")</f>
        <v>#VALUE!</v>
      </c>
      <c r="FY43" t="e">
        <f>AND('5to. Secre.'!T14,"AAAAAC99/bQ=")</f>
        <v>#VALUE!</v>
      </c>
      <c r="FZ43" t="e">
        <f>AND('5to. Secre.'!#REF!,"AAAAAC99/bU=")</f>
        <v>#REF!</v>
      </c>
      <c r="GA43" t="e">
        <f>AND('5to. Secre.'!#REF!,"AAAAAC99/bY=")</f>
        <v>#REF!</v>
      </c>
      <c r="GB43" t="e">
        <f>AND('5to. Secre.'!#REF!,"AAAAAC99/bc=")</f>
        <v>#REF!</v>
      </c>
      <c r="GC43" t="e">
        <f>AND('5to. Secre.'!#REF!,"AAAAAC99/bg=")</f>
        <v>#REF!</v>
      </c>
      <c r="GD43" t="e">
        <f>AND('5to. Secre.'!#REF!,"AAAAAC99/bk=")</f>
        <v>#REF!</v>
      </c>
      <c r="GE43">
        <f>IF('5to. Secre.'!15:15,"AAAAAC99/bo=",0)</f>
        <v>0</v>
      </c>
      <c r="GF43" t="e">
        <f>AND('5to. Secre.'!A15,"AAAAAC99/bs=")</f>
        <v>#VALUE!</v>
      </c>
      <c r="GG43" t="e">
        <f>AND('5to. Secre.'!B15,"AAAAAC99/bw=")</f>
        <v>#VALUE!</v>
      </c>
      <c r="GH43" t="e">
        <f>AND('5to. Secre.'!C15,"AAAAAC99/b0=")</f>
        <v>#VALUE!</v>
      </c>
      <c r="GI43" t="e">
        <f>AND('5to. Secre.'!D15,"AAAAAC99/b4=")</f>
        <v>#VALUE!</v>
      </c>
      <c r="GJ43" t="e">
        <f>AND('5to. Secre.'!E15,"AAAAAC99/b8=")</f>
        <v>#VALUE!</v>
      </c>
      <c r="GK43" t="e">
        <f>AND('5to. Secre.'!F15,"AAAAAC99/cA=")</f>
        <v>#VALUE!</v>
      </c>
      <c r="GL43" t="e">
        <f>AND('5to. Secre.'!G15,"AAAAAC99/cE=")</f>
        <v>#VALUE!</v>
      </c>
      <c r="GM43" t="e">
        <f>AND('5to. Secre.'!H15,"AAAAAC99/cI=")</f>
        <v>#VALUE!</v>
      </c>
      <c r="GN43" t="e">
        <f>AND('5to. Secre.'!I15,"AAAAAC99/cM=")</f>
        <v>#VALUE!</v>
      </c>
      <c r="GO43" t="e">
        <f>AND('5to. Secre.'!J15,"AAAAAC99/cQ=")</f>
        <v>#VALUE!</v>
      </c>
      <c r="GP43" t="e">
        <f>AND('5to. Secre.'!K15,"AAAAAC99/cU=")</f>
        <v>#VALUE!</v>
      </c>
      <c r="GQ43" t="e">
        <f>AND('5to. Secre.'!L15,"AAAAAC99/cY=")</f>
        <v>#VALUE!</v>
      </c>
      <c r="GR43" t="e">
        <f>AND('5to. Secre.'!M15,"AAAAAC99/cc=")</f>
        <v>#VALUE!</v>
      </c>
      <c r="GS43" t="e">
        <f>AND('5to. Secre.'!N15,"AAAAAC99/cg=")</f>
        <v>#VALUE!</v>
      </c>
      <c r="GT43" t="e">
        <f>AND('5to. Secre.'!O15,"AAAAAC99/ck=")</f>
        <v>#VALUE!</v>
      </c>
      <c r="GU43" t="e">
        <f>AND('5to. Secre.'!P15,"AAAAAC99/co=")</f>
        <v>#VALUE!</v>
      </c>
      <c r="GV43" t="e">
        <f>AND('5to. Secre.'!Q15,"AAAAAC99/cs=")</f>
        <v>#VALUE!</v>
      </c>
      <c r="GW43" t="e">
        <f>AND('5to. Secre.'!R15,"AAAAAC99/cw=")</f>
        <v>#VALUE!</v>
      </c>
      <c r="GX43" t="e">
        <f>AND('5to. Secre.'!S15,"AAAAAC99/c0=")</f>
        <v>#VALUE!</v>
      </c>
      <c r="GY43" t="e">
        <f>AND('5to. Secre.'!T15,"AAAAAC99/c4=")</f>
        <v>#VALUE!</v>
      </c>
      <c r="GZ43" t="e">
        <f>AND('5to. Secre.'!#REF!,"AAAAAC99/c8=")</f>
        <v>#REF!</v>
      </c>
      <c r="HA43" t="e">
        <f>AND('5to. Secre.'!#REF!,"AAAAAC99/dA=")</f>
        <v>#REF!</v>
      </c>
      <c r="HB43" t="e">
        <f>AND('5to. Secre.'!#REF!,"AAAAAC99/dE=")</f>
        <v>#REF!</v>
      </c>
      <c r="HC43" t="e">
        <f>AND('5to. Secre.'!#REF!,"AAAAAC99/dI=")</f>
        <v>#REF!</v>
      </c>
      <c r="HD43" t="e">
        <f>AND('5to. Secre.'!#REF!,"AAAAAC99/dM=")</f>
        <v>#REF!</v>
      </c>
      <c r="HE43">
        <f>IF('5to. Secre.'!16:16,"AAAAAC99/dQ=",0)</f>
        <v>0</v>
      </c>
      <c r="HF43" t="e">
        <f>AND('5to. Secre.'!A16,"AAAAAC99/dU=")</f>
        <v>#VALUE!</v>
      </c>
      <c r="HG43" t="e">
        <f>AND('5to. Secre.'!B16,"AAAAAC99/dY=")</f>
        <v>#VALUE!</v>
      </c>
      <c r="HH43" t="e">
        <f>AND('5to. Secre.'!C16,"AAAAAC99/dc=")</f>
        <v>#VALUE!</v>
      </c>
      <c r="HI43" t="e">
        <f>AND('5to. Secre.'!D16,"AAAAAC99/dg=")</f>
        <v>#VALUE!</v>
      </c>
      <c r="HJ43" t="e">
        <f>AND('5to. Secre.'!E16,"AAAAAC99/dk=")</f>
        <v>#VALUE!</v>
      </c>
      <c r="HK43" t="e">
        <f>AND('5to. Secre.'!F16,"AAAAAC99/do=")</f>
        <v>#VALUE!</v>
      </c>
      <c r="HL43" t="e">
        <f>AND('5to. Secre.'!G16,"AAAAAC99/ds=")</f>
        <v>#VALUE!</v>
      </c>
      <c r="HM43" t="e">
        <f>AND('5to. Secre.'!H16,"AAAAAC99/dw=")</f>
        <v>#VALUE!</v>
      </c>
      <c r="HN43" t="e">
        <f>AND('5to. Secre.'!I16,"AAAAAC99/d0=")</f>
        <v>#VALUE!</v>
      </c>
      <c r="HO43" t="e">
        <f>AND('5to. Secre.'!J16,"AAAAAC99/d4=")</f>
        <v>#VALUE!</v>
      </c>
      <c r="HP43" t="e">
        <f>AND('5to. Secre.'!K16,"AAAAAC99/d8=")</f>
        <v>#VALUE!</v>
      </c>
      <c r="HQ43" t="e">
        <f>AND('5to. Secre.'!L16,"AAAAAC99/eA=")</f>
        <v>#VALUE!</v>
      </c>
      <c r="HR43" t="e">
        <f>AND('5to. Secre.'!M16,"AAAAAC99/eE=")</f>
        <v>#VALUE!</v>
      </c>
      <c r="HS43" t="e">
        <f>AND('5to. Secre.'!N16,"AAAAAC99/eI=")</f>
        <v>#VALUE!</v>
      </c>
      <c r="HT43" t="e">
        <f>AND('5to. Secre.'!O16,"AAAAAC99/eM=")</f>
        <v>#VALUE!</v>
      </c>
      <c r="HU43" t="e">
        <f>AND('5to. Secre.'!P16,"AAAAAC99/eQ=")</f>
        <v>#VALUE!</v>
      </c>
      <c r="HV43" t="e">
        <f>AND('5to. Secre.'!Q16,"AAAAAC99/eU=")</f>
        <v>#VALUE!</v>
      </c>
      <c r="HW43" t="e">
        <f>AND('5to. Secre.'!R16,"AAAAAC99/eY=")</f>
        <v>#VALUE!</v>
      </c>
      <c r="HX43" t="e">
        <f>AND('5to. Secre.'!S16,"AAAAAC99/ec=")</f>
        <v>#VALUE!</v>
      </c>
      <c r="HY43" t="e">
        <f>AND('5to. Secre.'!T16,"AAAAAC99/eg=")</f>
        <v>#VALUE!</v>
      </c>
      <c r="HZ43" t="e">
        <f>AND('5to. Secre.'!#REF!,"AAAAAC99/ek=")</f>
        <v>#REF!</v>
      </c>
      <c r="IA43" t="e">
        <f>AND('5to. Secre.'!#REF!,"AAAAAC99/eo=")</f>
        <v>#REF!</v>
      </c>
      <c r="IB43" t="e">
        <f>AND('5to. Secre.'!#REF!,"AAAAAC99/es=")</f>
        <v>#REF!</v>
      </c>
      <c r="IC43" t="e">
        <f>AND('5to. Secre.'!#REF!,"AAAAAC99/ew=")</f>
        <v>#REF!</v>
      </c>
      <c r="ID43" t="e">
        <f>AND('5to. Secre.'!#REF!,"AAAAAC99/e0=")</f>
        <v>#REF!</v>
      </c>
      <c r="IE43">
        <f>IF('5to. Secre.'!17:17,"AAAAAC99/e4=",0)</f>
        <v>0</v>
      </c>
      <c r="IF43" t="e">
        <f>AND('5to. Secre.'!A17,"AAAAAC99/e8=")</f>
        <v>#VALUE!</v>
      </c>
      <c r="IG43" t="e">
        <f>AND('5to. Secre.'!B17,"AAAAAC99/fA=")</f>
        <v>#VALUE!</v>
      </c>
      <c r="IH43" t="e">
        <f>AND('5to. Secre.'!C17,"AAAAAC99/fE=")</f>
        <v>#VALUE!</v>
      </c>
      <c r="II43" t="e">
        <f>AND('5to. Secre.'!D17,"AAAAAC99/fI=")</f>
        <v>#VALUE!</v>
      </c>
      <c r="IJ43" t="e">
        <f>AND('5to. Secre.'!E17,"AAAAAC99/fM=")</f>
        <v>#VALUE!</v>
      </c>
      <c r="IK43" t="e">
        <f>AND('5to. Secre.'!F17,"AAAAAC99/fQ=")</f>
        <v>#VALUE!</v>
      </c>
      <c r="IL43" t="e">
        <f>AND('5to. Secre.'!G17,"AAAAAC99/fU=")</f>
        <v>#VALUE!</v>
      </c>
      <c r="IM43" t="e">
        <f>AND('5to. Secre.'!H17,"AAAAAC99/fY=")</f>
        <v>#VALUE!</v>
      </c>
      <c r="IN43" t="e">
        <f>AND('5to. Secre.'!I17,"AAAAAC99/fc=")</f>
        <v>#VALUE!</v>
      </c>
      <c r="IO43" t="e">
        <f>AND('5to. Secre.'!J17,"AAAAAC99/fg=")</f>
        <v>#VALUE!</v>
      </c>
      <c r="IP43" t="e">
        <f>AND('5to. Secre.'!K17,"AAAAAC99/fk=")</f>
        <v>#VALUE!</v>
      </c>
      <c r="IQ43" t="e">
        <f>AND('5to. Secre.'!L17,"AAAAAC99/fo=")</f>
        <v>#VALUE!</v>
      </c>
      <c r="IR43" t="e">
        <f>AND('5to. Secre.'!M17,"AAAAAC99/fs=")</f>
        <v>#VALUE!</v>
      </c>
      <c r="IS43" t="e">
        <f>AND('5to. Secre.'!N17,"AAAAAC99/fw=")</f>
        <v>#VALUE!</v>
      </c>
      <c r="IT43" t="e">
        <f>AND('5to. Secre.'!O17,"AAAAAC99/f0=")</f>
        <v>#VALUE!</v>
      </c>
      <c r="IU43" t="e">
        <f>AND('5to. Secre.'!P17,"AAAAAC99/f4=")</f>
        <v>#VALUE!</v>
      </c>
      <c r="IV43" t="e">
        <f>AND('5to. Secre.'!Q17,"AAAAAC99/f8=")</f>
        <v>#VALUE!</v>
      </c>
    </row>
    <row r="44" spans="1:256">
      <c r="A44" t="e">
        <f>AND('5to. Secre.'!R17,"AAAAAHu//wA=")</f>
        <v>#VALUE!</v>
      </c>
      <c r="B44" t="e">
        <f>AND('5to. Secre.'!S17,"AAAAAHu//wE=")</f>
        <v>#VALUE!</v>
      </c>
      <c r="C44" t="e">
        <f>AND('5to. Secre.'!T17,"AAAAAHu//wI=")</f>
        <v>#VALUE!</v>
      </c>
      <c r="D44" t="e">
        <f>AND('5to. Secre.'!#REF!,"AAAAAHu//wM=")</f>
        <v>#REF!</v>
      </c>
      <c r="E44" t="e">
        <f>AND('5to. Secre.'!#REF!,"AAAAAHu//wQ=")</f>
        <v>#REF!</v>
      </c>
      <c r="F44" t="e">
        <f>AND('5to. Secre.'!#REF!,"AAAAAHu//wU=")</f>
        <v>#REF!</v>
      </c>
      <c r="G44" t="e">
        <f>AND('5to. Secre.'!#REF!,"AAAAAHu//wY=")</f>
        <v>#REF!</v>
      </c>
      <c r="H44" t="e">
        <f>AND('5to. Secre.'!#REF!,"AAAAAHu//wc=")</f>
        <v>#REF!</v>
      </c>
      <c r="I44">
        <f>IF('5to. Secre.'!18:18,"AAAAAHu//wg=",0)</f>
        <v>0</v>
      </c>
      <c r="J44" t="e">
        <f>AND('5to. Secre.'!A18,"AAAAAHu//wk=")</f>
        <v>#VALUE!</v>
      </c>
      <c r="K44" t="e">
        <f>AND('5to. Secre.'!B18,"AAAAAHu//wo=")</f>
        <v>#VALUE!</v>
      </c>
      <c r="L44" t="e">
        <f>AND('5to. Secre.'!C18,"AAAAAHu//ws=")</f>
        <v>#VALUE!</v>
      </c>
      <c r="M44" t="e">
        <f>AND('5to. Secre.'!D18,"AAAAAHu//ww=")</f>
        <v>#VALUE!</v>
      </c>
      <c r="N44" t="e">
        <f>AND('5to. Secre.'!E18,"AAAAAHu//w0=")</f>
        <v>#VALUE!</v>
      </c>
      <c r="O44" t="e">
        <f>AND('5to. Secre.'!F18,"AAAAAHu//w4=")</f>
        <v>#VALUE!</v>
      </c>
      <c r="P44" t="e">
        <f>AND('5to. Secre.'!G18,"AAAAAHu//w8=")</f>
        <v>#VALUE!</v>
      </c>
      <c r="Q44" t="e">
        <f>AND('5to. Secre.'!H18,"AAAAAHu//xA=")</f>
        <v>#VALUE!</v>
      </c>
      <c r="R44" t="e">
        <f>AND('5to. Secre.'!I18,"AAAAAHu//xE=")</f>
        <v>#VALUE!</v>
      </c>
      <c r="S44" t="e">
        <f>AND('5to. Secre.'!J18,"AAAAAHu//xI=")</f>
        <v>#VALUE!</v>
      </c>
      <c r="T44" t="e">
        <f>AND('5to. Secre.'!K18,"AAAAAHu//xM=")</f>
        <v>#VALUE!</v>
      </c>
      <c r="U44" t="e">
        <f>AND('5to. Secre.'!L18,"AAAAAHu//xQ=")</f>
        <v>#VALUE!</v>
      </c>
      <c r="V44" t="e">
        <f>AND('5to. Secre.'!M18,"AAAAAHu//xU=")</f>
        <v>#VALUE!</v>
      </c>
      <c r="W44" t="e">
        <f>AND('5to. Secre.'!N18,"AAAAAHu//xY=")</f>
        <v>#VALUE!</v>
      </c>
      <c r="X44" t="e">
        <f>AND('5to. Secre.'!O18,"AAAAAHu//xc=")</f>
        <v>#VALUE!</v>
      </c>
      <c r="Y44" t="e">
        <f>AND('5to. Secre.'!P18,"AAAAAHu//xg=")</f>
        <v>#VALUE!</v>
      </c>
      <c r="Z44" t="e">
        <f>AND('5to. Secre.'!Q18,"AAAAAHu//xk=")</f>
        <v>#VALUE!</v>
      </c>
      <c r="AA44" t="e">
        <f>AND('5to. Secre.'!R18,"AAAAAHu//xo=")</f>
        <v>#VALUE!</v>
      </c>
      <c r="AB44" t="e">
        <f>AND('5to. Secre.'!S18,"AAAAAHu//xs=")</f>
        <v>#VALUE!</v>
      </c>
      <c r="AC44" t="e">
        <f>AND('5to. Secre.'!T18,"AAAAAHu//xw=")</f>
        <v>#VALUE!</v>
      </c>
      <c r="AD44" t="e">
        <f>AND('5to. Secre.'!#REF!,"AAAAAHu//x0=")</f>
        <v>#REF!</v>
      </c>
      <c r="AE44" t="e">
        <f>AND('5to. Secre.'!#REF!,"AAAAAHu//x4=")</f>
        <v>#REF!</v>
      </c>
      <c r="AF44" t="e">
        <f>AND('5to. Secre.'!#REF!,"AAAAAHu//x8=")</f>
        <v>#REF!</v>
      </c>
      <c r="AG44" t="e">
        <f>AND('5to. Secre.'!#REF!,"AAAAAHu//yA=")</f>
        <v>#REF!</v>
      </c>
      <c r="AH44" t="e">
        <f>AND('5to. Secre.'!#REF!,"AAAAAHu//yE=")</f>
        <v>#REF!</v>
      </c>
      <c r="AI44">
        <f>IF('5to. Secre.'!19:19,"AAAAAHu//yI=",0)</f>
        <v>0</v>
      </c>
      <c r="AJ44" t="e">
        <f>AND('5to. Secre.'!A19,"AAAAAHu//yM=")</f>
        <v>#VALUE!</v>
      </c>
      <c r="AK44" t="e">
        <f>AND('5to. Secre.'!B19,"AAAAAHu//yQ=")</f>
        <v>#VALUE!</v>
      </c>
      <c r="AL44" t="e">
        <f>AND('5to. Secre.'!C19,"AAAAAHu//yU=")</f>
        <v>#VALUE!</v>
      </c>
      <c r="AM44" t="e">
        <f>AND('5to. Secre.'!D19,"AAAAAHu//yY=")</f>
        <v>#VALUE!</v>
      </c>
      <c r="AN44" t="e">
        <f>AND('5to. Secre.'!E19,"AAAAAHu//yc=")</f>
        <v>#VALUE!</v>
      </c>
      <c r="AO44" t="e">
        <f>AND('5to. Secre.'!F19,"AAAAAHu//yg=")</f>
        <v>#VALUE!</v>
      </c>
      <c r="AP44" t="e">
        <f>AND('5to. Secre.'!G19,"AAAAAHu//yk=")</f>
        <v>#VALUE!</v>
      </c>
      <c r="AQ44" t="e">
        <f>AND('5to. Secre.'!H19,"AAAAAHu//yo=")</f>
        <v>#VALUE!</v>
      </c>
      <c r="AR44" t="e">
        <f>AND('5to. Secre.'!I19,"AAAAAHu//ys=")</f>
        <v>#VALUE!</v>
      </c>
      <c r="AS44" t="e">
        <f>AND('5to. Secre.'!J19,"AAAAAHu//yw=")</f>
        <v>#VALUE!</v>
      </c>
      <c r="AT44" t="e">
        <f>AND('5to. Secre.'!K19,"AAAAAHu//y0=")</f>
        <v>#VALUE!</v>
      </c>
      <c r="AU44" t="e">
        <f>AND('5to. Secre.'!L19,"AAAAAHu//y4=")</f>
        <v>#VALUE!</v>
      </c>
      <c r="AV44" t="e">
        <f>AND('5to. Secre.'!M19,"AAAAAHu//y8=")</f>
        <v>#VALUE!</v>
      </c>
      <c r="AW44" t="e">
        <f>AND('5to. Secre.'!N19,"AAAAAHu//zA=")</f>
        <v>#VALUE!</v>
      </c>
      <c r="AX44" t="e">
        <f>AND('5to. Secre.'!O19,"AAAAAHu//zE=")</f>
        <v>#VALUE!</v>
      </c>
      <c r="AY44" t="e">
        <f>AND('5to. Secre.'!P19,"AAAAAHu//zI=")</f>
        <v>#VALUE!</v>
      </c>
      <c r="AZ44" t="e">
        <f>AND('5to. Secre.'!Q19,"AAAAAHu//zM=")</f>
        <v>#VALUE!</v>
      </c>
      <c r="BA44" t="e">
        <f>AND('5to. Secre.'!R19,"AAAAAHu//zQ=")</f>
        <v>#VALUE!</v>
      </c>
      <c r="BB44" t="e">
        <f>AND('5to. Secre.'!S19,"AAAAAHu//zU=")</f>
        <v>#VALUE!</v>
      </c>
      <c r="BC44" t="e">
        <f>AND('5to. Secre.'!T19,"AAAAAHu//zY=")</f>
        <v>#VALUE!</v>
      </c>
      <c r="BD44" t="e">
        <f>AND('5to. Secre.'!#REF!,"AAAAAHu//zc=")</f>
        <v>#REF!</v>
      </c>
      <c r="BE44" t="e">
        <f>AND('5to. Secre.'!#REF!,"AAAAAHu//zg=")</f>
        <v>#REF!</v>
      </c>
      <c r="BF44" t="e">
        <f>AND('5to. Secre.'!#REF!,"AAAAAHu//zk=")</f>
        <v>#REF!</v>
      </c>
      <c r="BG44" t="e">
        <f>AND('5to. Secre.'!#REF!,"AAAAAHu//zo=")</f>
        <v>#REF!</v>
      </c>
      <c r="BH44" t="e">
        <f>AND('5to. Secre.'!#REF!,"AAAAAHu//zs=")</f>
        <v>#REF!</v>
      </c>
      <c r="BI44">
        <f>IF('5to. Secre.'!20:20,"AAAAAHu//zw=",0)</f>
        <v>0</v>
      </c>
      <c r="BJ44" t="e">
        <f>AND('5to. Secre.'!A20,"AAAAAHu//z0=")</f>
        <v>#VALUE!</v>
      </c>
      <c r="BK44" t="e">
        <f>AND('5to. Secre.'!B20,"AAAAAHu//z4=")</f>
        <v>#VALUE!</v>
      </c>
      <c r="BL44" t="e">
        <f>AND('5to. Secre.'!C20,"AAAAAHu//z8=")</f>
        <v>#VALUE!</v>
      </c>
      <c r="BM44" t="e">
        <f>AND('5to. Secre.'!D20,"AAAAAHu//0A=")</f>
        <v>#VALUE!</v>
      </c>
      <c r="BN44" t="e">
        <f>AND('5to. Secre.'!E20,"AAAAAHu//0E=")</f>
        <v>#VALUE!</v>
      </c>
      <c r="BO44" t="e">
        <f>AND('5to. Secre.'!F20,"AAAAAHu//0I=")</f>
        <v>#VALUE!</v>
      </c>
      <c r="BP44" t="e">
        <f>AND('5to. Secre.'!G20,"AAAAAHu//0M=")</f>
        <v>#VALUE!</v>
      </c>
      <c r="BQ44" t="e">
        <f>AND('5to. Secre.'!H20,"AAAAAHu//0Q=")</f>
        <v>#VALUE!</v>
      </c>
      <c r="BR44" t="e">
        <f>AND('5to. Secre.'!I20,"AAAAAHu//0U=")</f>
        <v>#VALUE!</v>
      </c>
      <c r="BS44" t="e">
        <f>AND('5to. Secre.'!J20,"AAAAAHu//0Y=")</f>
        <v>#VALUE!</v>
      </c>
      <c r="BT44" t="e">
        <f>AND('5to. Secre.'!K20,"AAAAAHu//0c=")</f>
        <v>#VALUE!</v>
      </c>
      <c r="BU44" t="e">
        <f>AND('5to. Secre.'!L20,"AAAAAHu//0g=")</f>
        <v>#VALUE!</v>
      </c>
      <c r="BV44" t="e">
        <f>AND('5to. Secre.'!M20,"AAAAAHu//0k=")</f>
        <v>#VALUE!</v>
      </c>
      <c r="BW44" t="e">
        <f>AND('5to. Secre.'!N20,"AAAAAHu//0o=")</f>
        <v>#VALUE!</v>
      </c>
      <c r="BX44" t="e">
        <f>AND('5to. Secre.'!O20,"AAAAAHu//0s=")</f>
        <v>#VALUE!</v>
      </c>
      <c r="BY44" t="e">
        <f>AND('5to. Secre.'!P20,"AAAAAHu//0w=")</f>
        <v>#VALUE!</v>
      </c>
      <c r="BZ44" t="e">
        <f>AND('5to. Secre.'!Q20,"AAAAAHu//00=")</f>
        <v>#VALUE!</v>
      </c>
      <c r="CA44" t="e">
        <f>AND('5to. Secre.'!R20,"AAAAAHu//04=")</f>
        <v>#VALUE!</v>
      </c>
      <c r="CB44" t="e">
        <f>AND('5to. Secre.'!S20,"AAAAAHu//08=")</f>
        <v>#VALUE!</v>
      </c>
      <c r="CC44" t="e">
        <f>AND('5to. Secre.'!T20,"AAAAAHu//1A=")</f>
        <v>#VALUE!</v>
      </c>
      <c r="CD44" t="e">
        <f>AND('5to. Secre.'!#REF!,"AAAAAHu//1E=")</f>
        <v>#REF!</v>
      </c>
      <c r="CE44" t="e">
        <f>AND('5to. Secre.'!#REF!,"AAAAAHu//1I=")</f>
        <v>#REF!</v>
      </c>
      <c r="CF44" t="e">
        <f>AND('5to. Secre.'!#REF!,"AAAAAHu//1M=")</f>
        <v>#REF!</v>
      </c>
      <c r="CG44" t="e">
        <f>AND('5to. Secre.'!#REF!,"AAAAAHu//1Q=")</f>
        <v>#REF!</v>
      </c>
      <c r="CH44" t="e">
        <f>AND('5to. Secre.'!#REF!,"AAAAAHu//1U=")</f>
        <v>#REF!</v>
      </c>
      <c r="CI44">
        <f>IF('5to. Secre.'!21:21,"AAAAAHu//1Y=",0)</f>
        <v>0</v>
      </c>
      <c r="CJ44" t="e">
        <f>AND('5to. Secre.'!A21,"AAAAAHu//1c=")</f>
        <v>#VALUE!</v>
      </c>
      <c r="CK44" t="e">
        <f>AND('5to. Secre.'!B21,"AAAAAHu//1g=")</f>
        <v>#VALUE!</v>
      </c>
      <c r="CL44" t="e">
        <f>AND('5to. Secre.'!C21,"AAAAAHu//1k=")</f>
        <v>#VALUE!</v>
      </c>
      <c r="CM44" t="e">
        <f>AND('5to. Secre.'!D21,"AAAAAHu//1o=")</f>
        <v>#VALUE!</v>
      </c>
      <c r="CN44" t="e">
        <f>AND('5to. Secre.'!E21,"AAAAAHu//1s=")</f>
        <v>#VALUE!</v>
      </c>
      <c r="CO44" t="e">
        <f>AND('5to. Secre.'!F21,"AAAAAHu//1w=")</f>
        <v>#VALUE!</v>
      </c>
      <c r="CP44" t="e">
        <f>AND('5to. Secre.'!G21,"AAAAAHu//10=")</f>
        <v>#VALUE!</v>
      </c>
      <c r="CQ44" t="e">
        <f>AND('5to. Secre.'!H21,"AAAAAHu//14=")</f>
        <v>#VALUE!</v>
      </c>
      <c r="CR44" t="e">
        <f>AND('5to. Secre.'!I21,"AAAAAHu//18=")</f>
        <v>#VALUE!</v>
      </c>
      <c r="CS44" t="e">
        <f>AND('5to. Secre.'!J21,"AAAAAHu//2A=")</f>
        <v>#VALUE!</v>
      </c>
      <c r="CT44" t="e">
        <f>AND('5to. Secre.'!K21,"AAAAAHu//2E=")</f>
        <v>#VALUE!</v>
      </c>
      <c r="CU44" t="e">
        <f>AND('5to. Secre.'!L21,"AAAAAHu//2I=")</f>
        <v>#VALUE!</v>
      </c>
      <c r="CV44" t="e">
        <f>AND('5to. Secre.'!M21,"AAAAAHu//2M=")</f>
        <v>#VALUE!</v>
      </c>
      <c r="CW44" t="e">
        <f>AND('5to. Secre.'!N21,"AAAAAHu//2Q=")</f>
        <v>#VALUE!</v>
      </c>
      <c r="CX44" t="e">
        <f>AND('5to. Secre.'!O21,"AAAAAHu//2U=")</f>
        <v>#VALUE!</v>
      </c>
      <c r="CY44" t="e">
        <f>AND('5to. Secre.'!P21,"AAAAAHu//2Y=")</f>
        <v>#VALUE!</v>
      </c>
      <c r="CZ44" t="e">
        <f>AND('5to. Secre.'!Q21,"AAAAAHu//2c=")</f>
        <v>#VALUE!</v>
      </c>
      <c r="DA44" t="e">
        <f>AND('5to. Secre.'!R21,"AAAAAHu//2g=")</f>
        <v>#VALUE!</v>
      </c>
      <c r="DB44" t="e">
        <f>AND('5to. Secre.'!S21,"AAAAAHu//2k=")</f>
        <v>#VALUE!</v>
      </c>
      <c r="DC44" t="e">
        <f>AND('5to. Secre.'!T21,"AAAAAHu//2o=")</f>
        <v>#VALUE!</v>
      </c>
      <c r="DD44" t="e">
        <f>AND('5to. Secre.'!#REF!,"AAAAAHu//2s=")</f>
        <v>#REF!</v>
      </c>
      <c r="DE44" t="e">
        <f>AND('5to. Secre.'!#REF!,"AAAAAHu//2w=")</f>
        <v>#REF!</v>
      </c>
      <c r="DF44" t="e">
        <f>AND('5to. Secre.'!#REF!,"AAAAAHu//20=")</f>
        <v>#REF!</v>
      </c>
      <c r="DG44" t="e">
        <f>AND('5to. Secre.'!#REF!,"AAAAAHu//24=")</f>
        <v>#REF!</v>
      </c>
      <c r="DH44" t="e">
        <f>AND('5to. Secre.'!#REF!,"AAAAAHu//28=")</f>
        <v>#REF!</v>
      </c>
      <c r="DI44" t="e">
        <f>IF('5to. Secre.'!#REF!,"AAAAAHu//3A=",0)</f>
        <v>#REF!</v>
      </c>
      <c r="DJ44" t="e">
        <f>AND('5to. Secre.'!#REF!,"AAAAAHu//3E=")</f>
        <v>#REF!</v>
      </c>
      <c r="DK44" t="e">
        <f>AND('5to. Secre.'!#REF!,"AAAAAHu//3I=")</f>
        <v>#REF!</v>
      </c>
      <c r="DL44" t="e">
        <f>AND('5to. Secre.'!#REF!,"AAAAAHu//3M=")</f>
        <v>#REF!</v>
      </c>
      <c r="DM44" t="e">
        <f>AND('5to. Secre.'!#REF!,"AAAAAHu//3Q=")</f>
        <v>#REF!</v>
      </c>
      <c r="DN44" t="e">
        <f>AND('5to. Secre.'!#REF!,"AAAAAHu//3U=")</f>
        <v>#REF!</v>
      </c>
      <c r="DO44" t="e">
        <f>AND('5to. Secre.'!#REF!,"AAAAAHu//3Y=")</f>
        <v>#REF!</v>
      </c>
      <c r="DP44" t="e">
        <f>AND('5to. Secre.'!#REF!,"AAAAAHu//3c=")</f>
        <v>#REF!</v>
      </c>
      <c r="DQ44" t="e">
        <f>AND('5to. Secre.'!#REF!,"AAAAAHu//3g=")</f>
        <v>#REF!</v>
      </c>
      <c r="DR44" t="e">
        <f>AND('5to. Secre.'!#REF!,"AAAAAHu//3k=")</f>
        <v>#REF!</v>
      </c>
      <c r="DS44" t="e">
        <f>AND('5to. Secre.'!#REF!,"AAAAAHu//3o=")</f>
        <v>#REF!</v>
      </c>
      <c r="DT44" t="e">
        <f>AND('5to. Secre.'!#REF!,"AAAAAHu//3s=")</f>
        <v>#REF!</v>
      </c>
      <c r="DU44" t="e">
        <f>AND('5to. Secre.'!#REF!,"AAAAAHu//3w=")</f>
        <v>#REF!</v>
      </c>
      <c r="DV44" t="e">
        <f>AND('5to. Secre.'!#REF!,"AAAAAHu//30=")</f>
        <v>#REF!</v>
      </c>
      <c r="DW44" t="e">
        <f>AND('5to. Secre.'!#REF!,"AAAAAHu//34=")</f>
        <v>#REF!</v>
      </c>
      <c r="DX44" t="e">
        <f>AND('5to. Secre.'!#REF!,"AAAAAHu//38=")</f>
        <v>#REF!</v>
      </c>
      <c r="DY44" t="e">
        <f>AND('5to. Secre.'!#REF!,"AAAAAHu//4A=")</f>
        <v>#REF!</v>
      </c>
      <c r="DZ44" t="e">
        <f>AND('5to. Secre.'!#REF!,"AAAAAHu//4E=")</f>
        <v>#REF!</v>
      </c>
      <c r="EA44" t="e">
        <f>AND('5to. Secre.'!#REF!,"AAAAAHu//4I=")</f>
        <v>#REF!</v>
      </c>
      <c r="EB44" t="e">
        <f>AND('5to. Secre.'!#REF!,"AAAAAHu//4M=")</f>
        <v>#REF!</v>
      </c>
      <c r="EC44" t="e">
        <f>AND('5to. Secre.'!#REF!,"AAAAAHu//4Q=")</f>
        <v>#REF!</v>
      </c>
      <c r="ED44" t="e">
        <f>AND('5to. Secre.'!#REF!,"AAAAAHu//4U=")</f>
        <v>#REF!</v>
      </c>
      <c r="EE44" t="e">
        <f>AND('5to. Secre.'!#REF!,"AAAAAHu//4Y=")</f>
        <v>#REF!</v>
      </c>
      <c r="EF44" t="e">
        <f>AND('5to. Secre.'!#REF!,"AAAAAHu//4c=")</f>
        <v>#REF!</v>
      </c>
      <c r="EG44" t="e">
        <f>AND('5to. Secre.'!#REF!,"AAAAAHu//4g=")</f>
        <v>#REF!</v>
      </c>
      <c r="EH44" t="e">
        <f>AND('5to. Secre.'!#REF!,"AAAAAHu//4k=")</f>
        <v>#REF!</v>
      </c>
      <c r="EI44" t="e">
        <f>IF('5to. Secre.'!#REF!,"AAAAAHu//4o=",0)</f>
        <v>#REF!</v>
      </c>
      <c r="EJ44" t="e">
        <f>AND('5to. Secre.'!#REF!,"AAAAAHu//4s=")</f>
        <v>#REF!</v>
      </c>
      <c r="EK44" t="e">
        <f>AND('5to. Secre.'!#REF!,"AAAAAHu//4w=")</f>
        <v>#REF!</v>
      </c>
      <c r="EL44" t="e">
        <f>AND('5to. Secre.'!#REF!,"AAAAAHu//40=")</f>
        <v>#REF!</v>
      </c>
      <c r="EM44" t="e">
        <f>AND('5to. Secre.'!#REF!,"AAAAAHu//44=")</f>
        <v>#REF!</v>
      </c>
      <c r="EN44" t="e">
        <f>AND('5to. Secre.'!#REF!,"AAAAAHu//48=")</f>
        <v>#REF!</v>
      </c>
      <c r="EO44" t="e">
        <f>AND('5to. Secre.'!#REF!,"AAAAAHu//5A=")</f>
        <v>#REF!</v>
      </c>
      <c r="EP44" t="e">
        <f>AND('5to. Secre.'!#REF!,"AAAAAHu//5E=")</f>
        <v>#REF!</v>
      </c>
      <c r="EQ44" t="e">
        <f>AND('5to. Secre.'!#REF!,"AAAAAHu//5I=")</f>
        <v>#REF!</v>
      </c>
      <c r="ER44" t="e">
        <f>AND('5to. Secre.'!#REF!,"AAAAAHu//5M=")</f>
        <v>#REF!</v>
      </c>
      <c r="ES44" t="e">
        <f>AND('5to. Secre.'!#REF!,"AAAAAHu//5Q=")</f>
        <v>#REF!</v>
      </c>
      <c r="ET44" t="e">
        <f>AND('5to. Secre.'!#REF!,"AAAAAHu//5U=")</f>
        <v>#REF!</v>
      </c>
      <c r="EU44" t="e">
        <f>AND('5to. Secre.'!#REF!,"AAAAAHu//5Y=")</f>
        <v>#REF!</v>
      </c>
      <c r="EV44" t="e">
        <f>AND('5to. Secre.'!#REF!,"AAAAAHu//5c=")</f>
        <v>#REF!</v>
      </c>
      <c r="EW44" t="e">
        <f>AND('5to. Secre.'!#REF!,"AAAAAHu//5g=")</f>
        <v>#REF!</v>
      </c>
      <c r="EX44" t="e">
        <f>AND('5to. Secre.'!#REF!,"AAAAAHu//5k=")</f>
        <v>#REF!</v>
      </c>
      <c r="EY44" t="e">
        <f>AND('5to. Secre.'!#REF!,"AAAAAHu//5o=")</f>
        <v>#REF!</v>
      </c>
      <c r="EZ44" t="e">
        <f>AND('5to. Secre.'!#REF!,"AAAAAHu//5s=")</f>
        <v>#REF!</v>
      </c>
      <c r="FA44" t="e">
        <f>AND('5to. Secre.'!#REF!,"AAAAAHu//5w=")</f>
        <v>#REF!</v>
      </c>
      <c r="FB44" t="e">
        <f>AND('5to. Secre.'!#REF!,"AAAAAHu//50=")</f>
        <v>#REF!</v>
      </c>
      <c r="FC44" t="e">
        <f>AND('5to. Secre.'!#REF!,"AAAAAHu//54=")</f>
        <v>#REF!</v>
      </c>
      <c r="FD44" t="e">
        <f>AND('5to. Secre.'!#REF!,"AAAAAHu//58=")</f>
        <v>#REF!</v>
      </c>
      <c r="FE44" t="e">
        <f>AND('5to. Secre.'!#REF!,"AAAAAHu//6A=")</f>
        <v>#REF!</v>
      </c>
      <c r="FF44" t="e">
        <f>AND('5to. Secre.'!#REF!,"AAAAAHu//6E=")</f>
        <v>#REF!</v>
      </c>
      <c r="FG44" t="e">
        <f>AND('5to. Secre.'!#REF!,"AAAAAHu//6I=")</f>
        <v>#REF!</v>
      </c>
      <c r="FH44" t="e">
        <f>AND('5to. Secre.'!#REF!,"AAAAAHu//6M=")</f>
        <v>#REF!</v>
      </c>
      <c r="FI44" t="e">
        <f>IF('5to. Secre.'!#REF!,"AAAAAHu//6Q=",0)</f>
        <v>#REF!</v>
      </c>
      <c r="FJ44" t="e">
        <f>AND('5to. Secre.'!#REF!,"AAAAAHu//6U=")</f>
        <v>#REF!</v>
      </c>
      <c r="FK44" t="e">
        <f>AND('5to. Secre.'!#REF!,"AAAAAHu//6Y=")</f>
        <v>#REF!</v>
      </c>
      <c r="FL44" t="e">
        <f>AND('5to. Secre.'!#REF!,"AAAAAHu//6c=")</f>
        <v>#REF!</v>
      </c>
      <c r="FM44" t="e">
        <f>AND('5to. Secre.'!#REF!,"AAAAAHu//6g=")</f>
        <v>#REF!</v>
      </c>
      <c r="FN44" t="e">
        <f>AND('5to. Secre.'!#REF!,"AAAAAHu//6k=")</f>
        <v>#REF!</v>
      </c>
      <c r="FO44" t="e">
        <f>AND('5to. Secre.'!#REF!,"AAAAAHu//6o=")</f>
        <v>#REF!</v>
      </c>
      <c r="FP44" t="e">
        <f>AND('5to. Secre.'!#REF!,"AAAAAHu//6s=")</f>
        <v>#REF!</v>
      </c>
      <c r="FQ44" t="e">
        <f>AND('5to. Secre.'!#REF!,"AAAAAHu//6w=")</f>
        <v>#REF!</v>
      </c>
      <c r="FR44" t="e">
        <f>AND('5to. Secre.'!#REF!,"AAAAAHu//60=")</f>
        <v>#REF!</v>
      </c>
      <c r="FS44" t="e">
        <f>AND('5to. Secre.'!#REF!,"AAAAAHu//64=")</f>
        <v>#REF!</v>
      </c>
      <c r="FT44" t="e">
        <f>AND('5to. Secre.'!#REF!,"AAAAAHu//68=")</f>
        <v>#REF!</v>
      </c>
      <c r="FU44" t="e">
        <f>AND('5to. Secre.'!#REF!,"AAAAAHu//7A=")</f>
        <v>#REF!</v>
      </c>
      <c r="FV44" t="e">
        <f>AND('5to. Secre.'!#REF!,"AAAAAHu//7E=")</f>
        <v>#REF!</v>
      </c>
      <c r="FW44" t="e">
        <f>AND('5to. Secre.'!#REF!,"AAAAAHu//7I=")</f>
        <v>#REF!</v>
      </c>
      <c r="FX44" t="e">
        <f>AND('5to. Secre.'!#REF!,"AAAAAHu//7M=")</f>
        <v>#REF!</v>
      </c>
      <c r="FY44" t="e">
        <f>AND('5to. Secre.'!#REF!,"AAAAAHu//7Q=")</f>
        <v>#REF!</v>
      </c>
      <c r="FZ44" t="e">
        <f>AND('5to. Secre.'!#REF!,"AAAAAHu//7U=")</f>
        <v>#REF!</v>
      </c>
      <c r="GA44" t="e">
        <f>AND('5to. Secre.'!#REF!,"AAAAAHu//7Y=")</f>
        <v>#REF!</v>
      </c>
      <c r="GB44" t="e">
        <f>AND('5to. Secre.'!#REF!,"AAAAAHu//7c=")</f>
        <v>#REF!</v>
      </c>
      <c r="GC44" t="e">
        <f>AND('5to. Secre.'!#REF!,"AAAAAHu//7g=")</f>
        <v>#REF!</v>
      </c>
      <c r="GD44" t="e">
        <f>AND('5to. Secre.'!#REF!,"AAAAAHu//7k=")</f>
        <v>#REF!</v>
      </c>
      <c r="GE44" t="e">
        <f>AND('5to. Secre.'!#REF!,"AAAAAHu//7o=")</f>
        <v>#REF!</v>
      </c>
      <c r="GF44" t="e">
        <f>AND('5to. Secre.'!#REF!,"AAAAAHu//7s=")</f>
        <v>#REF!</v>
      </c>
      <c r="GG44" t="e">
        <f>AND('5to. Secre.'!#REF!,"AAAAAHu//7w=")</f>
        <v>#REF!</v>
      </c>
      <c r="GH44" t="e">
        <f>AND('5to. Secre.'!#REF!,"AAAAAHu//70=")</f>
        <v>#REF!</v>
      </c>
      <c r="GI44" t="e">
        <f>IF('5to. Secre.'!#REF!,"AAAAAHu//74=",0)</f>
        <v>#REF!</v>
      </c>
      <c r="GJ44" t="e">
        <f>AND('5to. Secre.'!#REF!,"AAAAAHu//78=")</f>
        <v>#REF!</v>
      </c>
      <c r="GK44" t="e">
        <f>AND('5to. Secre.'!#REF!,"AAAAAHu//8A=")</f>
        <v>#REF!</v>
      </c>
      <c r="GL44" t="e">
        <f>AND('5to. Secre.'!#REF!,"AAAAAHu//8E=")</f>
        <v>#REF!</v>
      </c>
      <c r="GM44" t="e">
        <f>AND('5to. Secre.'!#REF!,"AAAAAHu//8I=")</f>
        <v>#REF!</v>
      </c>
      <c r="GN44" t="e">
        <f>AND('5to. Secre.'!#REF!,"AAAAAHu//8M=")</f>
        <v>#REF!</v>
      </c>
      <c r="GO44" t="e">
        <f>AND('5to. Secre.'!#REF!,"AAAAAHu//8Q=")</f>
        <v>#REF!</v>
      </c>
      <c r="GP44" t="e">
        <f>AND('5to. Secre.'!#REF!,"AAAAAHu//8U=")</f>
        <v>#REF!</v>
      </c>
      <c r="GQ44" t="e">
        <f>AND('5to. Secre.'!#REF!,"AAAAAHu//8Y=")</f>
        <v>#REF!</v>
      </c>
      <c r="GR44" t="e">
        <f>AND('5to. Secre.'!#REF!,"AAAAAHu//8c=")</f>
        <v>#REF!</v>
      </c>
      <c r="GS44" t="e">
        <f>AND('5to. Secre.'!#REF!,"AAAAAHu//8g=")</f>
        <v>#REF!</v>
      </c>
      <c r="GT44" t="e">
        <f>AND('5to. Secre.'!#REF!,"AAAAAHu//8k=")</f>
        <v>#REF!</v>
      </c>
      <c r="GU44" t="e">
        <f>AND('5to. Secre.'!#REF!,"AAAAAHu//8o=")</f>
        <v>#REF!</v>
      </c>
      <c r="GV44" t="e">
        <f>AND('5to. Secre.'!#REF!,"AAAAAHu//8s=")</f>
        <v>#REF!</v>
      </c>
      <c r="GW44" t="e">
        <f>AND('5to. Secre.'!#REF!,"AAAAAHu//8w=")</f>
        <v>#REF!</v>
      </c>
      <c r="GX44" t="e">
        <f>AND('5to. Secre.'!#REF!,"AAAAAHu//80=")</f>
        <v>#REF!</v>
      </c>
      <c r="GY44" t="e">
        <f>AND('5to. Secre.'!#REF!,"AAAAAHu//84=")</f>
        <v>#REF!</v>
      </c>
      <c r="GZ44" t="e">
        <f>AND('5to. Secre.'!#REF!,"AAAAAHu//88=")</f>
        <v>#REF!</v>
      </c>
      <c r="HA44" t="e">
        <f>AND('5to. Secre.'!#REF!,"AAAAAHu//9A=")</f>
        <v>#REF!</v>
      </c>
      <c r="HB44" t="e">
        <f>AND('5to. Secre.'!#REF!,"AAAAAHu//9E=")</f>
        <v>#REF!</v>
      </c>
      <c r="HC44" t="e">
        <f>AND('5to. Secre.'!#REF!,"AAAAAHu//9I=")</f>
        <v>#REF!</v>
      </c>
      <c r="HD44" t="e">
        <f>AND('5to. Secre.'!#REF!,"AAAAAHu//9M=")</f>
        <v>#REF!</v>
      </c>
      <c r="HE44" t="e">
        <f>AND('5to. Secre.'!#REF!,"AAAAAHu//9Q=")</f>
        <v>#REF!</v>
      </c>
      <c r="HF44" t="e">
        <f>AND('5to. Secre.'!#REF!,"AAAAAHu//9U=")</f>
        <v>#REF!</v>
      </c>
      <c r="HG44" t="e">
        <f>AND('5to. Secre.'!#REF!,"AAAAAHu//9Y=")</f>
        <v>#REF!</v>
      </c>
      <c r="HH44" t="e">
        <f>AND('5to. Secre.'!#REF!,"AAAAAHu//9c=")</f>
        <v>#REF!</v>
      </c>
      <c r="HI44" t="e">
        <f>IF('5to. Secre.'!#REF!,"AAAAAHu//9g=",0)</f>
        <v>#REF!</v>
      </c>
      <c r="HJ44" t="e">
        <f>AND('5to. Secre.'!#REF!,"AAAAAHu//9k=")</f>
        <v>#REF!</v>
      </c>
      <c r="HK44" t="e">
        <f>AND('5to. Secre.'!#REF!,"AAAAAHu//9o=")</f>
        <v>#REF!</v>
      </c>
      <c r="HL44" t="e">
        <f>AND('5to. Secre.'!#REF!,"AAAAAHu//9s=")</f>
        <v>#REF!</v>
      </c>
      <c r="HM44" t="e">
        <f>AND('5to. Secre.'!#REF!,"AAAAAHu//9w=")</f>
        <v>#REF!</v>
      </c>
      <c r="HN44" t="e">
        <f>AND('5to. Secre.'!#REF!,"AAAAAHu//90=")</f>
        <v>#REF!</v>
      </c>
      <c r="HO44" t="e">
        <f>AND('5to. Secre.'!#REF!,"AAAAAHu//94=")</f>
        <v>#REF!</v>
      </c>
      <c r="HP44" t="e">
        <f>AND('5to. Secre.'!#REF!,"AAAAAHu//98=")</f>
        <v>#REF!</v>
      </c>
      <c r="HQ44" t="e">
        <f>AND('5to. Secre.'!#REF!,"AAAAAHu//+A=")</f>
        <v>#REF!</v>
      </c>
      <c r="HR44" t="e">
        <f>AND('5to. Secre.'!#REF!,"AAAAAHu//+E=")</f>
        <v>#REF!</v>
      </c>
      <c r="HS44" t="e">
        <f>AND('5to. Secre.'!#REF!,"AAAAAHu//+I=")</f>
        <v>#REF!</v>
      </c>
      <c r="HT44" t="e">
        <f>AND('5to. Secre.'!#REF!,"AAAAAHu//+M=")</f>
        <v>#REF!</v>
      </c>
      <c r="HU44" t="e">
        <f>AND('5to. Secre.'!#REF!,"AAAAAHu//+Q=")</f>
        <v>#REF!</v>
      </c>
      <c r="HV44" t="e">
        <f>AND('5to. Secre.'!#REF!,"AAAAAHu//+U=")</f>
        <v>#REF!</v>
      </c>
      <c r="HW44" t="e">
        <f>AND('5to. Secre.'!#REF!,"AAAAAHu//+Y=")</f>
        <v>#REF!</v>
      </c>
      <c r="HX44" t="e">
        <f>AND('5to. Secre.'!#REF!,"AAAAAHu//+c=")</f>
        <v>#REF!</v>
      </c>
      <c r="HY44" t="e">
        <f>AND('5to. Secre.'!#REF!,"AAAAAHu//+g=")</f>
        <v>#REF!</v>
      </c>
      <c r="HZ44" t="e">
        <f>AND('5to. Secre.'!#REF!,"AAAAAHu//+k=")</f>
        <v>#REF!</v>
      </c>
      <c r="IA44" t="e">
        <f>AND('5to. Secre.'!#REF!,"AAAAAHu//+o=")</f>
        <v>#REF!</v>
      </c>
      <c r="IB44" t="e">
        <f>AND('5to. Secre.'!#REF!,"AAAAAHu//+s=")</f>
        <v>#REF!</v>
      </c>
      <c r="IC44" t="e">
        <f>AND('5to. Secre.'!#REF!,"AAAAAHu//+w=")</f>
        <v>#REF!</v>
      </c>
      <c r="ID44" t="e">
        <f>AND('5to. Secre.'!#REF!,"AAAAAHu//+0=")</f>
        <v>#REF!</v>
      </c>
      <c r="IE44" t="e">
        <f>AND('5to. Secre.'!#REF!,"AAAAAHu//+4=")</f>
        <v>#REF!</v>
      </c>
      <c r="IF44" t="e">
        <f>AND('5to. Secre.'!#REF!,"AAAAAHu//+8=")</f>
        <v>#REF!</v>
      </c>
      <c r="IG44" t="e">
        <f>AND('5to. Secre.'!#REF!,"AAAAAHu///A=")</f>
        <v>#REF!</v>
      </c>
      <c r="IH44" t="e">
        <f>AND('5to. Secre.'!#REF!,"AAAAAHu///E=")</f>
        <v>#REF!</v>
      </c>
      <c r="II44" t="e">
        <f>IF('5to. Secre.'!#REF!,"AAAAAHu///I=",0)</f>
        <v>#REF!</v>
      </c>
      <c r="IJ44" t="e">
        <f>AND('5to. Secre.'!#REF!,"AAAAAHu///M=")</f>
        <v>#REF!</v>
      </c>
      <c r="IK44" t="e">
        <f>AND('5to. Secre.'!#REF!,"AAAAAHu///Q=")</f>
        <v>#REF!</v>
      </c>
      <c r="IL44" t="e">
        <f>AND('5to. Secre.'!#REF!,"AAAAAHu///U=")</f>
        <v>#REF!</v>
      </c>
      <c r="IM44" t="e">
        <f>AND('5to. Secre.'!#REF!,"AAAAAHu///Y=")</f>
        <v>#REF!</v>
      </c>
      <c r="IN44" t="e">
        <f>AND('5to. Secre.'!#REF!,"AAAAAHu///c=")</f>
        <v>#REF!</v>
      </c>
      <c r="IO44" t="e">
        <f>AND('5to. Secre.'!#REF!,"AAAAAHu///g=")</f>
        <v>#REF!</v>
      </c>
      <c r="IP44" t="e">
        <f>AND('5to. Secre.'!#REF!,"AAAAAHu///k=")</f>
        <v>#REF!</v>
      </c>
      <c r="IQ44" t="e">
        <f>AND('5to. Secre.'!#REF!,"AAAAAHu///o=")</f>
        <v>#REF!</v>
      </c>
      <c r="IR44" t="e">
        <f>AND('5to. Secre.'!#REF!,"AAAAAHu///s=")</f>
        <v>#REF!</v>
      </c>
      <c r="IS44" t="e">
        <f>AND('5to. Secre.'!#REF!,"AAAAAHu///w=")</f>
        <v>#REF!</v>
      </c>
      <c r="IT44" t="e">
        <f>AND('5to. Secre.'!#REF!,"AAAAAHu///0=")</f>
        <v>#REF!</v>
      </c>
      <c r="IU44" t="e">
        <f>AND('5to. Secre.'!#REF!,"AAAAAHu///4=")</f>
        <v>#REF!</v>
      </c>
      <c r="IV44" t="e">
        <f>AND('5to. Secre.'!#REF!,"AAAAAHu///8=")</f>
        <v>#REF!</v>
      </c>
    </row>
    <row r="45" spans="1:256">
      <c r="A45" t="e">
        <f>AND('5to. Secre.'!#REF!,"AAAAAC/uvgA=")</f>
        <v>#REF!</v>
      </c>
      <c r="B45" t="e">
        <f>AND('5to. Secre.'!#REF!,"AAAAAC/uvgE=")</f>
        <v>#REF!</v>
      </c>
      <c r="C45" t="e">
        <f>AND('5to. Secre.'!#REF!,"AAAAAC/uvgI=")</f>
        <v>#REF!</v>
      </c>
      <c r="D45" t="e">
        <f>AND('5to. Secre.'!#REF!,"AAAAAC/uvgM=")</f>
        <v>#REF!</v>
      </c>
      <c r="E45" t="e">
        <f>AND('5to. Secre.'!#REF!,"AAAAAC/uvgQ=")</f>
        <v>#REF!</v>
      </c>
      <c r="F45" t="e">
        <f>AND('5to. Secre.'!#REF!,"AAAAAC/uvgU=")</f>
        <v>#REF!</v>
      </c>
      <c r="G45" t="e">
        <f>AND('5to. Secre.'!#REF!,"AAAAAC/uvgY=")</f>
        <v>#REF!</v>
      </c>
      <c r="H45" t="e">
        <f>AND('5to. Secre.'!#REF!,"AAAAAC/uvgc=")</f>
        <v>#REF!</v>
      </c>
      <c r="I45" t="e">
        <f>AND('5to. Secre.'!#REF!,"AAAAAC/uvgg=")</f>
        <v>#REF!</v>
      </c>
      <c r="J45" t="e">
        <f>AND('5to. Secre.'!#REF!,"AAAAAC/uvgk=")</f>
        <v>#REF!</v>
      </c>
      <c r="K45" t="e">
        <f>AND('5to. Secre.'!#REF!,"AAAAAC/uvgo=")</f>
        <v>#REF!</v>
      </c>
      <c r="L45" t="e">
        <f>AND('5to. Secre.'!#REF!,"AAAAAC/uvgs=")</f>
        <v>#REF!</v>
      </c>
      <c r="M45" t="e">
        <f>IF('5to. Secre.'!#REF!,"AAAAAC/uvgw=",0)</f>
        <v>#REF!</v>
      </c>
      <c r="N45" t="e">
        <f>AND('5to. Secre.'!#REF!,"AAAAAC/uvg0=")</f>
        <v>#REF!</v>
      </c>
      <c r="O45" t="e">
        <f>AND('5to. Secre.'!#REF!,"AAAAAC/uvg4=")</f>
        <v>#REF!</v>
      </c>
      <c r="P45" t="e">
        <f>AND('5to. Secre.'!#REF!,"AAAAAC/uvg8=")</f>
        <v>#REF!</v>
      </c>
      <c r="Q45" t="e">
        <f>AND('5to. Secre.'!#REF!,"AAAAAC/uvhA=")</f>
        <v>#REF!</v>
      </c>
      <c r="R45" t="e">
        <f>AND('5to. Secre.'!#REF!,"AAAAAC/uvhE=")</f>
        <v>#REF!</v>
      </c>
      <c r="S45" t="e">
        <f>AND('5to. Secre.'!#REF!,"AAAAAC/uvhI=")</f>
        <v>#REF!</v>
      </c>
      <c r="T45" t="e">
        <f>AND('5to. Secre.'!#REF!,"AAAAAC/uvhM=")</f>
        <v>#REF!</v>
      </c>
      <c r="U45" t="e">
        <f>AND('5to. Secre.'!#REF!,"AAAAAC/uvhQ=")</f>
        <v>#REF!</v>
      </c>
      <c r="V45" t="e">
        <f>AND('5to. Secre.'!#REF!,"AAAAAC/uvhU=")</f>
        <v>#REF!</v>
      </c>
      <c r="W45" t="e">
        <f>AND('5to. Secre.'!#REF!,"AAAAAC/uvhY=")</f>
        <v>#REF!</v>
      </c>
      <c r="X45" t="e">
        <f>AND('5to. Secre.'!#REF!,"AAAAAC/uvhc=")</f>
        <v>#REF!</v>
      </c>
      <c r="Y45" t="e">
        <f>AND('5to. Secre.'!#REF!,"AAAAAC/uvhg=")</f>
        <v>#REF!</v>
      </c>
      <c r="Z45" t="e">
        <f>AND('5to. Secre.'!#REF!,"AAAAAC/uvhk=")</f>
        <v>#REF!</v>
      </c>
      <c r="AA45" t="e">
        <f>AND('5to. Secre.'!#REF!,"AAAAAC/uvho=")</f>
        <v>#REF!</v>
      </c>
      <c r="AB45" t="e">
        <f>AND('5to. Secre.'!#REF!,"AAAAAC/uvhs=")</f>
        <v>#REF!</v>
      </c>
      <c r="AC45" t="e">
        <f>AND('5to. Secre.'!#REF!,"AAAAAC/uvhw=")</f>
        <v>#REF!</v>
      </c>
      <c r="AD45" t="e">
        <f>AND('5to. Secre.'!#REF!,"AAAAAC/uvh0=")</f>
        <v>#REF!</v>
      </c>
      <c r="AE45" t="e">
        <f>AND('5to. Secre.'!#REF!,"AAAAAC/uvh4=")</f>
        <v>#REF!</v>
      </c>
      <c r="AF45" t="e">
        <f>AND('5to. Secre.'!#REF!,"AAAAAC/uvh8=")</f>
        <v>#REF!</v>
      </c>
      <c r="AG45" t="e">
        <f>AND('5to. Secre.'!#REF!,"AAAAAC/uviA=")</f>
        <v>#REF!</v>
      </c>
      <c r="AH45" t="e">
        <f>AND('5to. Secre.'!#REF!,"AAAAAC/uviE=")</f>
        <v>#REF!</v>
      </c>
      <c r="AI45" t="e">
        <f>AND('5to. Secre.'!#REF!,"AAAAAC/uviI=")</f>
        <v>#REF!</v>
      </c>
      <c r="AJ45" t="e">
        <f>AND('5to. Secre.'!#REF!,"AAAAAC/uviM=")</f>
        <v>#REF!</v>
      </c>
      <c r="AK45" t="e">
        <f>AND('5to. Secre.'!#REF!,"AAAAAC/uviQ=")</f>
        <v>#REF!</v>
      </c>
      <c r="AL45" t="e">
        <f>AND('5to. Secre.'!#REF!,"AAAAAC/uviU=")</f>
        <v>#REF!</v>
      </c>
      <c r="AM45" t="e">
        <f>IF('5to. Secre.'!#REF!,"AAAAAC/uviY=",0)</f>
        <v>#REF!</v>
      </c>
      <c r="AN45" t="e">
        <f>AND('5to. Secre.'!#REF!,"AAAAAC/uvic=")</f>
        <v>#REF!</v>
      </c>
      <c r="AO45" t="e">
        <f>AND('5to. Secre.'!#REF!,"AAAAAC/uvig=")</f>
        <v>#REF!</v>
      </c>
      <c r="AP45" t="e">
        <f>AND('5to. Secre.'!#REF!,"AAAAAC/uvik=")</f>
        <v>#REF!</v>
      </c>
      <c r="AQ45" t="e">
        <f>AND('5to. Secre.'!#REF!,"AAAAAC/uvio=")</f>
        <v>#REF!</v>
      </c>
      <c r="AR45" t="e">
        <f>AND('5to. Secre.'!#REF!,"AAAAAC/uvis=")</f>
        <v>#REF!</v>
      </c>
      <c r="AS45" t="e">
        <f>AND('5to. Secre.'!#REF!,"AAAAAC/uviw=")</f>
        <v>#REF!</v>
      </c>
      <c r="AT45" t="e">
        <f>AND('5to. Secre.'!#REF!,"AAAAAC/uvi0=")</f>
        <v>#REF!</v>
      </c>
      <c r="AU45" t="e">
        <f>AND('5to. Secre.'!#REF!,"AAAAAC/uvi4=")</f>
        <v>#REF!</v>
      </c>
      <c r="AV45" t="e">
        <f>AND('5to. Secre.'!#REF!,"AAAAAC/uvi8=")</f>
        <v>#REF!</v>
      </c>
      <c r="AW45" t="e">
        <f>AND('5to. Secre.'!#REF!,"AAAAAC/uvjA=")</f>
        <v>#REF!</v>
      </c>
      <c r="AX45" t="e">
        <f>AND('5to. Secre.'!#REF!,"AAAAAC/uvjE=")</f>
        <v>#REF!</v>
      </c>
      <c r="AY45" t="e">
        <f>AND('5to. Secre.'!#REF!,"AAAAAC/uvjI=")</f>
        <v>#REF!</v>
      </c>
      <c r="AZ45" t="e">
        <f>AND('5to. Secre.'!#REF!,"AAAAAC/uvjM=")</f>
        <v>#REF!</v>
      </c>
      <c r="BA45" t="e">
        <f>AND('5to. Secre.'!#REF!,"AAAAAC/uvjQ=")</f>
        <v>#REF!</v>
      </c>
      <c r="BB45" t="e">
        <f>AND('5to. Secre.'!#REF!,"AAAAAC/uvjU=")</f>
        <v>#REF!</v>
      </c>
      <c r="BC45" t="e">
        <f>AND('5to. Secre.'!#REF!,"AAAAAC/uvjY=")</f>
        <v>#REF!</v>
      </c>
      <c r="BD45" t="e">
        <f>AND('5to. Secre.'!#REF!,"AAAAAC/uvjc=")</f>
        <v>#REF!</v>
      </c>
      <c r="BE45" t="e">
        <f>AND('5to. Secre.'!#REF!,"AAAAAC/uvjg=")</f>
        <v>#REF!</v>
      </c>
      <c r="BF45" t="e">
        <f>AND('5to. Secre.'!#REF!,"AAAAAC/uvjk=")</f>
        <v>#REF!</v>
      </c>
      <c r="BG45" t="e">
        <f>AND('5to. Secre.'!#REF!,"AAAAAC/uvjo=")</f>
        <v>#REF!</v>
      </c>
      <c r="BH45" t="e">
        <f>AND('5to. Secre.'!#REF!,"AAAAAC/uvjs=")</f>
        <v>#REF!</v>
      </c>
      <c r="BI45" t="e">
        <f>AND('5to. Secre.'!#REF!,"AAAAAC/uvjw=")</f>
        <v>#REF!</v>
      </c>
      <c r="BJ45" t="e">
        <f>AND('5to. Secre.'!#REF!,"AAAAAC/uvj0=")</f>
        <v>#REF!</v>
      </c>
      <c r="BK45" t="e">
        <f>AND('5to. Secre.'!#REF!,"AAAAAC/uvj4=")</f>
        <v>#REF!</v>
      </c>
      <c r="BL45" t="e">
        <f>AND('5to. Secre.'!#REF!,"AAAAAC/uvj8=")</f>
        <v>#REF!</v>
      </c>
      <c r="BM45" t="e">
        <f>IF('5to. Secre.'!#REF!,"AAAAAC/uvkA=",0)</f>
        <v>#REF!</v>
      </c>
      <c r="BN45" t="e">
        <f>AND('5to. Secre.'!#REF!,"AAAAAC/uvkE=")</f>
        <v>#REF!</v>
      </c>
      <c r="BO45" t="e">
        <f>AND('5to. Secre.'!#REF!,"AAAAAC/uvkI=")</f>
        <v>#REF!</v>
      </c>
      <c r="BP45" t="e">
        <f>AND('5to. Secre.'!#REF!,"AAAAAC/uvkM=")</f>
        <v>#REF!</v>
      </c>
      <c r="BQ45" t="e">
        <f>AND('5to. Secre.'!#REF!,"AAAAAC/uvkQ=")</f>
        <v>#REF!</v>
      </c>
      <c r="BR45" t="e">
        <f>AND('5to. Secre.'!#REF!,"AAAAAC/uvkU=")</f>
        <v>#REF!</v>
      </c>
      <c r="BS45" t="e">
        <f>AND('5to. Secre.'!#REF!,"AAAAAC/uvkY=")</f>
        <v>#REF!</v>
      </c>
      <c r="BT45" t="e">
        <f>AND('5to. Secre.'!#REF!,"AAAAAC/uvkc=")</f>
        <v>#REF!</v>
      </c>
      <c r="BU45" t="e">
        <f>AND('5to. Secre.'!#REF!,"AAAAAC/uvkg=")</f>
        <v>#REF!</v>
      </c>
      <c r="BV45" t="e">
        <f>AND('5to. Secre.'!#REF!,"AAAAAC/uvkk=")</f>
        <v>#REF!</v>
      </c>
      <c r="BW45" t="e">
        <f>AND('5to. Secre.'!#REF!,"AAAAAC/uvko=")</f>
        <v>#REF!</v>
      </c>
      <c r="BX45" t="e">
        <f>AND('5to. Secre.'!#REF!,"AAAAAC/uvks=")</f>
        <v>#REF!</v>
      </c>
      <c r="BY45" t="e">
        <f>AND('5to. Secre.'!#REF!,"AAAAAC/uvkw=")</f>
        <v>#REF!</v>
      </c>
      <c r="BZ45" t="e">
        <f>AND('5to. Secre.'!#REF!,"AAAAAC/uvk0=")</f>
        <v>#REF!</v>
      </c>
      <c r="CA45" t="e">
        <f>AND('5to. Secre.'!#REF!,"AAAAAC/uvk4=")</f>
        <v>#REF!</v>
      </c>
      <c r="CB45" t="e">
        <f>AND('5to. Secre.'!#REF!,"AAAAAC/uvk8=")</f>
        <v>#REF!</v>
      </c>
      <c r="CC45" t="e">
        <f>AND('5to. Secre.'!#REF!,"AAAAAC/uvlA=")</f>
        <v>#REF!</v>
      </c>
      <c r="CD45" t="e">
        <f>AND('5to. Secre.'!#REF!,"AAAAAC/uvlE=")</f>
        <v>#REF!</v>
      </c>
      <c r="CE45" t="e">
        <f>AND('5to. Secre.'!#REF!,"AAAAAC/uvlI=")</f>
        <v>#REF!</v>
      </c>
      <c r="CF45" t="e">
        <f>AND('5to. Secre.'!#REF!,"AAAAAC/uvlM=")</f>
        <v>#REF!</v>
      </c>
      <c r="CG45" t="e">
        <f>AND('5to. Secre.'!#REF!,"AAAAAC/uvlQ=")</f>
        <v>#REF!</v>
      </c>
      <c r="CH45" t="e">
        <f>AND('5to. Secre.'!#REF!,"AAAAAC/uvlU=")</f>
        <v>#REF!</v>
      </c>
      <c r="CI45" t="e">
        <f>AND('5to. Secre.'!#REF!,"AAAAAC/uvlY=")</f>
        <v>#REF!</v>
      </c>
      <c r="CJ45" t="e">
        <f>AND('5to. Secre.'!#REF!,"AAAAAC/uvlc=")</f>
        <v>#REF!</v>
      </c>
      <c r="CK45" t="e">
        <f>AND('5to. Secre.'!#REF!,"AAAAAC/uvlg=")</f>
        <v>#REF!</v>
      </c>
      <c r="CL45" t="e">
        <f>AND('5to. Secre.'!#REF!,"AAAAAC/uvlk=")</f>
        <v>#REF!</v>
      </c>
      <c r="CM45" t="e">
        <f>IF('5to. Secre.'!#REF!,"AAAAAC/uvlo=",0)</f>
        <v>#REF!</v>
      </c>
      <c r="CN45" t="e">
        <f>AND('5to. Secre.'!#REF!,"AAAAAC/uvls=")</f>
        <v>#REF!</v>
      </c>
      <c r="CO45" t="e">
        <f>AND('5to. Secre.'!#REF!,"AAAAAC/uvlw=")</f>
        <v>#REF!</v>
      </c>
      <c r="CP45" t="e">
        <f>AND('5to. Secre.'!#REF!,"AAAAAC/uvl0=")</f>
        <v>#REF!</v>
      </c>
      <c r="CQ45" t="e">
        <f>AND('5to. Secre.'!#REF!,"AAAAAC/uvl4=")</f>
        <v>#REF!</v>
      </c>
      <c r="CR45" t="e">
        <f>AND('5to. Secre.'!#REF!,"AAAAAC/uvl8=")</f>
        <v>#REF!</v>
      </c>
      <c r="CS45" t="e">
        <f>AND('5to. Secre.'!#REF!,"AAAAAC/uvmA=")</f>
        <v>#REF!</v>
      </c>
      <c r="CT45" t="e">
        <f>AND('5to. Secre.'!#REF!,"AAAAAC/uvmE=")</f>
        <v>#REF!</v>
      </c>
      <c r="CU45" t="e">
        <f>AND('5to. Secre.'!#REF!,"AAAAAC/uvmI=")</f>
        <v>#REF!</v>
      </c>
      <c r="CV45" t="e">
        <f>AND('5to. Secre.'!#REF!,"AAAAAC/uvmM=")</f>
        <v>#REF!</v>
      </c>
      <c r="CW45" t="e">
        <f>AND('5to. Secre.'!#REF!,"AAAAAC/uvmQ=")</f>
        <v>#REF!</v>
      </c>
      <c r="CX45" t="e">
        <f>AND('5to. Secre.'!#REF!,"AAAAAC/uvmU=")</f>
        <v>#REF!</v>
      </c>
      <c r="CY45" t="e">
        <f>AND('5to. Secre.'!#REF!,"AAAAAC/uvmY=")</f>
        <v>#REF!</v>
      </c>
      <c r="CZ45" t="e">
        <f>AND('5to. Secre.'!#REF!,"AAAAAC/uvmc=")</f>
        <v>#REF!</v>
      </c>
      <c r="DA45" t="e">
        <f>AND('5to. Secre.'!#REF!,"AAAAAC/uvmg=")</f>
        <v>#REF!</v>
      </c>
      <c r="DB45" t="e">
        <f>AND('5to. Secre.'!#REF!,"AAAAAC/uvmk=")</f>
        <v>#REF!</v>
      </c>
      <c r="DC45" t="e">
        <f>AND('5to. Secre.'!#REF!,"AAAAAC/uvmo=")</f>
        <v>#REF!</v>
      </c>
      <c r="DD45" t="e">
        <f>AND('5to. Secre.'!#REF!,"AAAAAC/uvms=")</f>
        <v>#REF!</v>
      </c>
      <c r="DE45" t="e">
        <f>AND('5to. Secre.'!#REF!,"AAAAAC/uvmw=")</f>
        <v>#REF!</v>
      </c>
      <c r="DF45" t="e">
        <f>AND('5to. Secre.'!#REF!,"AAAAAC/uvm0=")</f>
        <v>#REF!</v>
      </c>
      <c r="DG45" t="e">
        <f>AND('5to. Secre.'!#REF!,"AAAAAC/uvm4=")</f>
        <v>#REF!</v>
      </c>
      <c r="DH45" t="e">
        <f>AND('5to. Secre.'!#REF!,"AAAAAC/uvm8=")</f>
        <v>#REF!</v>
      </c>
      <c r="DI45" t="e">
        <f>AND('5to. Secre.'!#REF!,"AAAAAC/uvnA=")</f>
        <v>#REF!</v>
      </c>
      <c r="DJ45" t="e">
        <f>AND('5to. Secre.'!#REF!,"AAAAAC/uvnE=")</f>
        <v>#REF!</v>
      </c>
      <c r="DK45" t="e">
        <f>AND('5to. Secre.'!#REF!,"AAAAAC/uvnI=")</f>
        <v>#REF!</v>
      </c>
      <c r="DL45" t="e">
        <f>AND('5to. Secre.'!#REF!,"AAAAAC/uvnM=")</f>
        <v>#REF!</v>
      </c>
      <c r="DM45" t="e">
        <f>IF('5to. Secre.'!#REF!,"AAAAAC/uvnQ=",0)</f>
        <v>#REF!</v>
      </c>
      <c r="DN45" t="e">
        <f>AND('5to. Secre.'!#REF!,"AAAAAC/uvnU=")</f>
        <v>#REF!</v>
      </c>
      <c r="DO45" t="e">
        <f>AND('5to. Secre.'!#REF!,"AAAAAC/uvnY=")</f>
        <v>#REF!</v>
      </c>
      <c r="DP45" t="e">
        <f>AND('5to. Secre.'!#REF!,"AAAAAC/uvnc=")</f>
        <v>#REF!</v>
      </c>
      <c r="DQ45" t="e">
        <f>AND('5to. Secre.'!#REF!,"AAAAAC/uvng=")</f>
        <v>#REF!</v>
      </c>
      <c r="DR45" t="e">
        <f>AND('5to. Secre.'!#REF!,"AAAAAC/uvnk=")</f>
        <v>#REF!</v>
      </c>
      <c r="DS45" t="e">
        <f>AND('5to. Secre.'!#REF!,"AAAAAC/uvno=")</f>
        <v>#REF!</v>
      </c>
      <c r="DT45" t="e">
        <f>AND('5to. Secre.'!#REF!,"AAAAAC/uvns=")</f>
        <v>#REF!</v>
      </c>
      <c r="DU45" t="e">
        <f>AND('5to. Secre.'!#REF!,"AAAAAC/uvnw=")</f>
        <v>#REF!</v>
      </c>
      <c r="DV45" t="e">
        <f>AND('5to. Secre.'!#REF!,"AAAAAC/uvn0=")</f>
        <v>#REF!</v>
      </c>
      <c r="DW45" t="e">
        <f>AND('5to. Secre.'!#REF!,"AAAAAC/uvn4=")</f>
        <v>#REF!</v>
      </c>
      <c r="DX45" t="e">
        <f>AND('5to. Secre.'!#REF!,"AAAAAC/uvn8=")</f>
        <v>#REF!</v>
      </c>
      <c r="DY45" t="e">
        <f>AND('5to. Secre.'!#REF!,"AAAAAC/uvoA=")</f>
        <v>#REF!</v>
      </c>
      <c r="DZ45" t="e">
        <f>AND('5to. Secre.'!#REF!,"AAAAAC/uvoE=")</f>
        <v>#REF!</v>
      </c>
      <c r="EA45" t="e">
        <f>AND('5to. Secre.'!#REF!,"AAAAAC/uvoI=")</f>
        <v>#REF!</v>
      </c>
      <c r="EB45" t="e">
        <f>AND('5to. Secre.'!#REF!,"AAAAAC/uvoM=")</f>
        <v>#REF!</v>
      </c>
      <c r="EC45" t="e">
        <f>AND('5to. Secre.'!#REF!,"AAAAAC/uvoQ=")</f>
        <v>#REF!</v>
      </c>
      <c r="ED45" t="e">
        <f>AND('5to. Secre.'!#REF!,"AAAAAC/uvoU=")</f>
        <v>#REF!</v>
      </c>
      <c r="EE45" t="e">
        <f>AND('5to. Secre.'!#REF!,"AAAAAC/uvoY=")</f>
        <v>#REF!</v>
      </c>
      <c r="EF45" t="e">
        <f>AND('5to. Secre.'!#REF!,"AAAAAC/uvoc=")</f>
        <v>#REF!</v>
      </c>
      <c r="EG45" t="e">
        <f>AND('5to. Secre.'!#REF!,"AAAAAC/uvog=")</f>
        <v>#REF!</v>
      </c>
      <c r="EH45" t="e">
        <f>AND('5to. Secre.'!#REF!,"AAAAAC/uvok=")</f>
        <v>#REF!</v>
      </c>
      <c r="EI45" t="e">
        <f>AND('5to. Secre.'!#REF!,"AAAAAC/uvoo=")</f>
        <v>#REF!</v>
      </c>
      <c r="EJ45" t="e">
        <f>AND('5to. Secre.'!#REF!,"AAAAAC/uvos=")</f>
        <v>#REF!</v>
      </c>
      <c r="EK45" t="e">
        <f>AND('5to. Secre.'!#REF!,"AAAAAC/uvow=")</f>
        <v>#REF!</v>
      </c>
      <c r="EL45" t="e">
        <f>AND('5to. Secre.'!#REF!,"AAAAAC/uvo0=")</f>
        <v>#REF!</v>
      </c>
      <c r="EM45" t="e">
        <f>IF('5to. Secre.'!#REF!,"AAAAAC/uvo4=",0)</f>
        <v>#REF!</v>
      </c>
      <c r="EN45" t="e">
        <f>AND('5to. Secre.'!#REF!,"AAAAAC/uvo8=")</f>
        <v>#REF!</v>
      </c>
      <c r="EO45" t="e">
        <f>AND('5to. Secre.'!#REF!,"AAAAAC/uvpA=")</f>
        <v>#REF!</v>
      </c>
      <c r="EP45" t="e">
        <f>AND('5to. Secre.'!#REF!,"AAAAAC/uvpE=")</f>
        <v>#REF!</v>
      </c>
      <c r="EQ45" t="e">
        <f>AND('5to. Secre.'!#REF!,"AAAAAC/uvpI=")</f>
        <v>#REF!</v>
      </c>
      <c r="ER45" t="e">
        <f>AND('5to. Secre.'!#REF!,"AAAAAC/uvpM=")</f>
        <v>#REF!</v>
      </c>
      <c r="ES45" t="e">
        <f>AND('5to. Secre.'!#REF!,"AAAAAC/uvpQ=")</f>
        <v>#REF!</v>
      </c>
      <c r="ET45" t="e">
        <f>AND('5to. Secre.'!#REF!,"AAAAAC/uvpU=")</f>
        <v>#REF!</v>
      </c>
      <c r="EU45" t="e">
        <f>AND('5to. Secre.'!#REF!,"AAAAAC/uvpY=")</f>
        <v>#REF!</v>
      </c>
      <c r="EV45" t="e">
        <f>AND('5to. Secre.'!#REF!,"AAAAAC/uvpc=")</f>
        <v>#REF!</v>
      </c>
      <c r="EW45" t="e">
        <f>AND('5to. Secre.'!#REF!,"AAAAAC/uvpg=")</f>
        <v>#REF!</v>
      </c>
      <c r="EX45" t="e">
        <f>AND('5to. Secre.'!#REF!,"AAAAAC/uvpk=")</f>
        <v>#REF!</v>
      </c>
      <c r="EY45" t="e">
        <f>AND('5to. Secre.'!#REF!,"AAAAAC/uvpo=")</f>
        <v>#REF!</v>
      </c>
      <c r="EZ45" t="e">
        <f>AND('5to. Secre.'!#REF!,"AAAAAC/uvps=")</f>
        <v>#REF!</v>
      </c>
      <c r="FA45" t="e">
        <f>AND('5to. Secre.'!#REF!,"AAAAAC/uvpw=")</f>
        <v>#REF!</v>
      </c>
      <c r="FB45" t="e">
        <f>AND('5to. Secre.'!#REF!,"AAAAAC/uvp0=")</f>
        <v>#REF!</v>
      </c>
      <c r="FC45" t="e">
        <f>AND('5to. Secre.'!#REF!,"AAAAAC/uvp4=")</f>
        <v>#REF!</v>
      </c>
      <c r="FD45" t="e">
        <f>AND('5to. Secre.'!#REF!,"AAAAAC/uvp8=")</f>
        <v>#REF!</v>
      </c>
      <c r="FE45" t="e">
        <f>AND('5to. Secre.'!#REF!,"AAAAAC/uvqA=")</f>
        <v>#REF!</v>
      </c>
      <c r="FF45" t="e">
        <f>AND('5to. Secre.'!#REF!,"AAAAAC/uvqE=")</f>
        <v>#REF!</v>
      </c>
      <c r="FG45" t="e">
        <f>AND('5to. Secre.'!#REF!,"AAAAAC/uvqI=")</f>
        <v>#REF!</v>
      </c>
      <c r="FH45" t="e">
        <f>AND('5to. Secre.'!#REF!,"AAAAAC/uvqM=")</f>
        <v>#REF!</v>
      </c>
      <c r="FI45" t="e">
        <f>AND('5to. Secre.'!#REF!,"AAAAAC/uvqQ=")</f>
        <v>#REF!</v>
      </c>
      <c r="FJ45" t="e">
        <f>AND('5to. Secre.'!#REF!,"AAAAAC/uvqU=")</f>
        <v>#REF!</v>
      </c>
      <c r="FK45" t="e">
        <f>AND('5to. Secre.'!#REF!,"AAAAAC/uvqY=")</f>
        <v>#REF!</v>
      </c>
      <c r="FL45" t="e">
        <f>AND('5to. Secre.'!#REF!,"AAAAAC/uvqc=")</f>
        <v>#REF!</v>
      </c>
      <c r="FM45" t="e">
        <f>IF('5to. Secre.'!#REF!,"AAAAAC/uvqg=",0)</f>
        <v>#REF!</v>
      </c>
      <c r="FN45" t="e">
        <f>AND('5to. Secre.'!#REF!,"AAAAAC/uvqk=")</f>
        <v>#REF!</v>
      </c>
      <c r="FO45" t="e">
        <f>AND('5to. Secre.'!#REF!,"AAAAAC/uvqo=")</f>
        <v>#REF!</v>
      </c>
      <c r="FP45" t="e">
        <f>AND('5to. Secre.'!#REF!,"AAAAAC/uvqs=")</f>
        <v>#REF!</v>
      </c>
      <c r="FQ45" t="e">
        <f>AND('5to. Secre.'!#REF!,"AAAAAC/uvqw=")</f>
        <v>#REF!</v>
      </c>
      <c r="FR45" t="e">
        <f>AND('5to. Secre.'!#REF!,"AAAAAC/uvq0=")</f>
        <v>#REF!</v>
      </c>
      <c r="FS45" t="e">
        <f>AND('5to. Secre.'!#REF!,"AAAAAC/uvq4=")</f>
        <v>#REF!</v>
      </c>
      <c r="FT45" t="e">
        <f>AND('5to. Secre.'!#REF!,"AAAAAC/uvq8=")</f>
        <v>#REF!</v>
      </c>
      <c r="FU45" t="e">
        <f>AND('5to. Secre.'!#REF!,"AAAAAC/uvrA=")</f>
        <v>#REF!</v>
      </c>
      <c r="FV45" t="e">
        <f>AND('5to. Secre.'!#REF!,"AAAAAC/uvrE=")</f>
        <v>#REF!</v>
      </c>
      <c r="FW45" t="e">
        <f>AND('5to. Secre.'!#REF!,"AAAAAC/uvrI=")</f>
        <v>#REF!</v>
      </c>
      <c r="FX45" t="e">
        <f>AND('5to. Secre.'!#REF!,"AAAAAC/uvrM=")</f>
        <v>#REF!</v>
      </c>
      <c r="FY45" t="e">
        <f>AND('5to. Secre.'!#REF!,"AAAAAC/uvrQ=")</f>
        <v>#REF!</v>
      </c>
      <c r="FZ45" t="e">
        <f>AND('5to. Secre.'!#REF!,"AAAAAC/uvrU=")</f>
        <v>#REF!</v>
      </c>
      <c r="GA45" t="e">
        <f>AND('5to. Secre.'!#REF!,"AAAAAC/uvrY=")</f>
        <v>#REF!</v>
      </c>
      <c r="GB45" t="e">
        <f>AND('5to. Secre.'!#REF!,"AAAAAC/uvrc=")</f>
        <v>#REF!</v>
      </c>
      <c r="GC45" t="e">
        <f>AND('5to. Secre.'!#REF!,"AAAAAC/uvrg=")</f>
        <v>#REF!</v>
      </c>
      <c r="GD45" t="e">
        <f>AND('5to. Secre.'!#REF!,"AAAAAC/uvrk=")</f>
        <v>#REF!</v>
      </c>
      <c r="GE45" t="e">
        <f>AND('5to. Secre.'!#REF!,"AAAAAC/uvro=")</f>
        <v>#REF!</v>
      </c>
      <c r="GF45" t="e">
        <f>AND('5to. Secre.'!#REF!,"AAAAAC/uvrs=")</f>
        <v>#REF!</v>
      </c>
      <c r="GG45" t="e">
        <f>AND('5to. Secre.'!#REF!,"AAAAAC/uvrw=")</f>
        <v>#REF!</v>
      </c>
      <c r="GH45" t="e">
        <f>AND('5to. Secre.'!#REF!,"AAAAAC/uvr0=")</f>
        <v>#REF!</v>
      </c>
      <c r="GI45" t="e">
        <f>AND('5to. Secre.'!#REF!,"AAAAAC/uvr4=")</f>
        <v>#REF!</v>
      </c>
      <c r="GJ45" t="e">
        <f>AND('5to. Secre.'!#REF!,"AAAAAC/uvr8=")</f>
        <v>#REF!</v>
      </c>
      <c r="GK45" t="e">
        <f>AND('5to. Secre.'!#REF!,"AAAAAC/uvsA=")</f>
        <v>#REF!</v>
      </c>
      <c r="GL45" t="e">
        <f>AND('5to. Secre.'!#REF!,"AAAAAC/uvsE=")</f>
        <v>#REF!</v>
      </c>
      <c r="GM45" t="e">
        <f>IF('5to. Secre.'!#REF!,"AAAAAC/uvsI=",0)</f>
        <v>#REF!</v>
      </c>
      <c r="GN45" t="e">
        <f>AND('5to. Secre.'!#REF!,"AAAAAC/uvsM=")</f>
        <v>#REF!</v>
      </c>
      <c r="GO45" t="e">
        <f>AND('5to. Secre.'!#REF!,"AAAAAC/uvsQ=")</f>
        <v>#REF!</v>
      </c>
      <c r="GP45" t="e">
        <f>AND('5to. Secre.'!#REF!,"AAAAAC/uvsU=")</f>
        <v>#REF!</v>
      </c>
      <c r="GQ45" t="e">
        <f>AND('5to. Secre.'!#REF!,"AAAAAC/uvsY=")</f>
        <v>#REF!</v>
      </c>
      <c r="GR45" t="e">
        <f>AND('5to. Secre.'!#REF!,"AAAAAC/uvsc=")</f>
        <v>#REF!</v>
      </c>
      <c r="GS45" t="e">
        <f>AND('5to. Secre.'!#REF!,"AAAAAC/uvsg=")</f>
        <v>#REF!</v>
      </c>
      <c r="GT45" t="e">
        <f>AND('5to. Secre.'!#REF!,"AAAAAC/uvsk=")</f>
        <v>#REF!</v>
      </c>
      <c r="GU45" t="e">
        <f>AND('5to. Secre.'!#REF!,"AAAAAC/uvso=")</f>
        <v>#REF!</v>
      </c>
      <c r="GV45" t="e">
        <f>AND('5to. Secre.'!#REF!,"AAAAAC/uvss=")</f>
        <v>#REF!</v>
      </c>
      <c r="GW45" t="e">
        <f>AND('5to. Secre.'!#REF!,"AAAAAC/uvsw=")</f>
        <v>#REF!</v>
      </c>
      <c r="GX45" t="e">
        <f>AND('5to. Secre.'!#REF!,"AAAAAC/uvs0=")</f>
        <v>#REF!</v>
      </c>
      <c r="GY45" t="e">
        <f>AND('5to. Secre.'!#REF!,"AAAAAC/uvs4=")</f>
        <v>#REF!</v>
      </c>
      <c r="GZ45" t="e">
        <f>AND('5to. Secre.'!#REF!,"AAAAAC/uvs8=")</f>
        <v>#REF!</v>
      </c>
      <c r="HA45" t="e">
        <f>AND('5to. Secre.'!#REF!,"AAAAAC/uvtA=")</f>
        <v>#REF!</v>
      </c>
      <c r="HB45" t="e">
        <f>AND('5to. Secre.'!#REF!,"AAAAAC/uvtE=")</f>
        <v>#REF!</v>
      </c>
      <c r="HC45" t="e">
        <f>AND('5to. Secre.'!#REF!,"AAAAAC/uvtI=")</f>
        <v>#REF!</v>
      </c>
      <c r="HD45" t="e">
        <f>AND('5to. Secre.'!#REF!,"AAAAAC/uvtM=")</f>
        <v>#REF!</v>
      </c>
      <c r="HE45" t="e">
        <f>AND('5to. Secre.'!#REF!,"AAAAAC/uvtQ=")</f>
        <v>#REF!</v>
      </c>
      <c r="HF45" t="e">
        <f>AND('5to. Secre.'!#REF!,"AAAAAC/uvtU=")</f>
        <v>#REF!</v>
      </c>
      <c r="HG45" t="e">
        <f>AND('5to. Secre.'!#REF!,"AAAAAC/uvtY=")</f>
        <v>#REF!</v>
      </c>
      <c r="HH45" t="e">
        <f>AND('5to. Secre.'!#REF!,"AAAAAC/uvtc=")</f>
        <v>#REF!</v>
      </c>
      <c r="HI45" t="e">
        <f>AND('5to. Secre.'!#REF!,"AAAAAC/uvtg=")</f>
        <v>#REF!</v>
      </c>
      <c r="HJ45" t="e">
        <f>AND('5to. Secre.'!#REF!,"AAAAAC/uvtk=")</f>
        <v>#REF!</v>
      </c>
      <c r="HK45" t="e">
        <f>AND('5to. Secre.'!#REF!,"AAAAAC/uvto=")</f>
        <v>#REF!</v>
      </c>
      <c r="HL45" t="e">
        <f>AND('5to. Secre.'!#REF!,"AAAAAC/uvts=")</f>
        <v>#REF!</v>
      </c>
      <c r="HM45" t="e">
        <f>IF('5to. Secre.'!#REF!,"AAAAAC/uvtw=",0)</f>
        <v>#REF!</v>
      </c>
      <c r="HN45" t="e">
        <f>AND('5to. Secre.'!#REF!,"AAAAAC/uvt0=")</f>
        <v>#REF!</v>
      </c>
      <c r="HO45" t="e">
        <f>AND('5to. Secre.'!#REF!,"AAAAAC/uvt4=")</f>
        <v>#REF!</v>
      </c>
      <c r="HP45" t="e">
        <f>AND('5to. Secre.'!#REF!,"AAAAAC/uvt8=")</f>
        <v>#REF!</v>
      </c>
      <c r="HQ45" t="e">
        <f>AND('5to. Secre.'!#REF!,"AAAAAC/uvuA=")</f>
        <v>#REF!</v>
      </c>
      <c r="HR45" t="e">
        <f>AND('5to. Secre.'!#REF!,"AAAAAC/uvuE=")</f>
        <v>#REF!</v>
      </c>
      <c r="HS45" t="e">
        <f>AND('5to. Secre.'!#REF!,"AAAAAC/uvuI=")</f>
        <v>#REF!</v>
      </c>
      <c r="HT45" t="e">
        <f>AND('5to. Secre.'!#REF!,"AAAAAC/uvuM=")</f>
        <v>#REF!</v>
      </c>
      <c r="HU45" t="e">
        <f>AND('5to. Secre.'!#REF!,"AAAAAC/uvuQ=")</f>
        <v>#REF!</v>
      </c>
      <c r="HV45" t="e">
        <f>AND('5to. Secre.'!#REF!,"AAAAAC/uvuU=")</f>
        <v>#REF!</v>
      </c>
      <c r="HW45" t="e">
        <f>AND('5to. Secre.'!#REF!,"AAAAAC/uvuY=")</f>
        <v>#REF!</v>
      </c>
      <c r="HX45" t="e">
        <f>AND('5to. Secre.'!#REF!,"AAAAAC/uvuc=")</f>
        <v>#REF!</v>
      </c>
      <c r="HY45" t="e">
        <f>AND('5to. Secre.'!#REF!,"AAAAAC/uvug=")</f>
        <v>#REF!</v>
      </c>
      <c r="HZ45" t="e">
        <f>AND('5to. Secre.'!#REF!,"AAAAAC/uvuk=")</f>
        <v>#REF!</v>
      </c>
      <c r="IA45" t="e">
        <f>AND('5to. Secre.'!#REF!,"AAAAAC/uvuo=")</f>
        <v>#REF!</v>
      </c>
      <c r="IB45" t="e">
        <f>AND('5to. Secre.'!#REF!,"AAAAAC/uvus=")</f>
        <v>#REF!</v>
      </c>
      <c r="IC45" t="e">
        <f>AND('5to. Secre.'!#REF!,"AAAAAC/uvuw=")</f>
        <v>#REF!</v>
      </c>
      <c r="ID45" t="e">
        <f>AND('5to. Secre.'!#REF!,"AAAAAC/uvu0=")</f>
        <v>#REF!</v>
      </c>
      <c r="IE45" t="e">
        <f>AND('5to. Secre.'!#REF!,"AAAAAC/uvu4=")</f>
        <v>#REF!</v>
      </c>
      <c r="IF45" t="e">
        <f>AND('5to. Secre.'!#REF!,"AAAAAC/uvu8=")</f>
        <v>#REF!</v>
      </c>
      <c r="IG45" t="e">
        <f>AND('5to. Secre.'!#REF!,"AAAAAC/uvvA=")</f>
        <v>#REF!</v>
      </c>
      <c r="IH45" t="e">
        <f>AND('5to. Secre.'!#REF!,"AAAAAC/uvvE=")</f>
        <v>#REF!</v>
      </c>
      <c r="II45" t="e">
        <f>AND('5to. Secre.'!#REF!,"AAAAAC/uvvI=")</f>
        <v>#REF!</v>
      </c>
      <c r="IJ45" t="e">
        <f>AND('5to. Secre.'!#REF!,"AAAAAC/uvvM=")</f>
        <v>#REF!</v>
      </c>
      <c r="IK45" t="e">
        <f>AND('5to. Secre.'!#REF!,"AAAAAC/uvvQ=")</f>
        <v>#REF!</v>
      </c>
      <c r="IL45" t="e">
        <f>AND('5to. Secre.'!#REF!,"AAAAAC/uvvU=")</f>
        <v>#REF!</v>
      </c>
      <c r="IM45" t="e">
        <f>IF('5to. Secre.'!#REF!,"AAAAAC/uvvY=",0)</f>
        <v>#REF!</v>
      </c>
      <c r="IN45" t="e">
        <f>AND('5to. Secre.'!#REF!,"AAAAAC/uvvc=")</f>
        <v>#REF!</v>
      </c>
      <c r="IO45" t="e">
        <f>AND('5to. Secre.'!#REF!,"AAAAAC/uvvg=")</f>
        <v>#REF!</v>
      </c>
      <c r="IP45" t="e">
        <f>AND('5to. Secre.'!#REF!,"AAAAAC/uvvk=")</f>
        <v>#REF!</v>
      </c>
      <c r="IQ45" t="e">
        <f>AND('5to. Secre.'!#REF!,"AAAAAC/uvvo=")</f>
        <v>#REF!</v>
      </c>
      <c r="IR45" t="e">
        <f>AND('5to. Secre.'!#REF!,"AAAAAC/uvvs=")</f>
        <v>#REF!</v>
      </c>
      <c r="IS45" t="e">
        <f>AND('5to. Secre.'!#REF!,"AAAAAC/uvvw=")</f>
        <v>#REF!</v>
      </c>
      <c r="IT45" t="e">
        <f>AND('5to. Secre.'!#REF!,"AAAAAC/uvv0=")</f>
        <v>#REF!</v>
      </c>
      <c r="IU45" t="e">
        <f>AND('5to. Secre.'!#REF!,"AAAAAC/uvv4=")</f>
        <v>#REF!</v>
      </c>
      <c r="IV45" t="e">
        <f>AND('5to. Secre.'!#REF!,"AAAAAC/uvv8=")</f>
        <v>#REF!</v>
      </c>
    </row>
    <row r="46" spans="1:256">
      <c r="A46" t="e">
        <f>AND('5to. Secre.'!#REF!,"AAAAAG/e7wA=")</f>
        <v>#REF!</v>
      </c>
      <c r="B46" t="e">
        <f>AND('5to. Secre.'!#REF!,"AAAAAG/e7wE=")</f>
        <v>#REF!</v>
      </c>
      <c r="C46" t="e">
        <f>AND('5to. Secre.'!#REF!,"AAAAAG/e7wI=")</f>
        <v>#REF!</v>
      </c>
      <c r="D46" t="e">
        <f>AND('5to. Secre.'!#REF!,"AAAAAG/e7wM=")</f>
        <v>#REF!</v>
      </c>
      <c r="E46" t="e">
        <f>AND('5to. Secre.'!#REF!,"AAAAAG/e7wQ=")</f>
        <v>#REF!</v>
      </c>
      <c r="F46" t="e">
        <f>AND('5to. Secre.'!#REF!,"AAAAAG/e7wU=")</f>
        <v>#REF!</v>
      </c>
      <c r="G46" t="e">
        <f>AND('5to. Secre.'!#REF!,"AAAAAG/e7wY=")</f>
        <v>#REF!</v>
      </c>
      <c r="H46" t="e">
        <f>AND('5to. Secre.'!#REF!,"AAAAAG/e7wc=")</f>
        <v>#REF!</v>
      </c>
      <c r="I46" t="e">
        <f>AND('5to. Secre.'!#REF!,"AAAAAG/e7wg=")</f>
        <v>#REF!</v>
      </c>
      <c r="J46" t="e">
        <f>AND('5to. Secre.'!#REF!,"AAAAAG/e7wk=")</f>
        <v>#REF!</v>
      </c>
      <c r="K46" t="e">
        <f>AND('5to. Secre.'!#REF!,"AAAAAG/e7wo=")</f>
        <v>#REF!</v>
      </c>
      <c r="L46" t="e">
        <f>AND('5to. Secre.'!#REF!,"AAAAAG/e7ws=")</f>
        <v>#REF!</v>
      </c>
      <c r="M46" t="e">
        <f>AND('5to. Secre.'!#REF!,"AAAAAG/e7ww=")</f>
        <v>#REF!</v>
      </c>
      <c r="N46" t="e">
        <f>AND('5to. Secre.'!#REF!,"AAAAAG/e7w0=")</f>
        <v>#REF!</v>
      </c>
      <c r="O46" t="e">
        <f>AND('5to. Secre.'!#REF!,"AAAAAG/e7w4=")</f>
        <v>#REF!</v>
      </c>
      <c r="P46" t="e">
        <f>AND('5to. Secre.'!#REF!,"AAAAAG/e7w8=")</f>
        <v>#REF!</v>
      </c>
      <c r="Q46" t="e">
        <f>IF('5to. Secre.'!#REF!,"AAAAAG/e7xA=",0)</f>
        <v>#REF!</v>
      </c>
      <c r="R46" t="e">
        <f>AND('5to. Secre.'!#REF!,"AAAAAG/e7xE=")</f>
        <v>#REF!</v>
      </c>
      <c r="S46" t="e">
        <f>AND('5to. Secre.'!#REF!,"AAAAAG/e7xI=")</f>
        <v>#REF!</v>
      </c>
      <c r="T46" t="e">
        <f>AND('5to. Secre.'!#REF!,"AAAAAG/e7xM=")</f>
        <v>#REF!</v>
      </c>
      <c r="U46" t="e">
        <f>AND('5to. Secre.'!#REF!,"AAAAAG/e7xQ=")</f>
        <v>#REF!</v>
      </c>
      <c r="V46" t="e">
        <f>AND('5to. Secre.'!#REF!,"AAAAAG/e7xU=")</f>
        <v>#REF!</v>
      </c>
      <c r="W46" t="e">
        <f>AND('5to. Secre.'!#REF!,"AAAAAG/e7xY=")</f>
        <v>#REF!</v>
      </c>
      <c r="X46" t="e">
        <f>AND('5to. Secre.'!#REF!,"AAAAAG/e7xc=")</f>
        <v>#REF!</v>
      </c>
      <c r="Y46" t="e">
        <f>AND('5to. Secre.'!#REF!,"AAAAAG/e7xg=")</f>
        <v>#REF!</v>
      </c>
      <c r="Z46" t="e">
        <f>AND('5to. Secre.'!#REF!,"AAAAAG/e7xk=")</f>
        <v>#REF!</v>
      </c>
      <c r="AA46" t="e">
        <f>AND('5to. Secre.'!#REF!,"AAAAAG/e7xo=")</f>
        <v>#REF!</v>
      </c>
      <c r="AB46" t="e">
        <f>AND('5to. Secre.'!#REF!,"AAAAAG/e7xs=")</f>
        <v>#REF!</v>
      </c>
      <c r="AC46" t="e">
        <f>AND('5to. Secre.'!#REF!,"AAAAAG/e7xw=")</f>
        <v>#REF!</v>
      </c>
      <c r="AD46" t="e">
        <f>AND('5to. Secre.'!#REF!,"AAAAAG/e7x0=")</f>
        <v>#REF!</v>
      </c>
      <c r="AE46" t="e">
        <f>AND('5to. Secre.'!#REF!,"AAAAAG/e7x4=")</f>
        <v>#REF!</v>
      </c>
      <c r="AF46" t="e">
        <f>AND('5to. Secre.'!#REF!,"AAAAAG/e7x8=")</f>
        <v>#REF!</v>
      </c>
      <c r="AG46" t="e">
        <f>AND('5to. Secre.'!#REF!,"AAAAAG/e7yA=")</f>
        <v>#REF!</v>
      </c>
      <c r="AH46" t="e">
        <f>AND('5to. Secre.'!#REF!,"AAAAAG/e7yE=")</f>
        <v>#REF!</v>
      </c>
      <c r="AI46" t="e">
        <f>AND('5to. Secre.'!#REF!,"AAAAAG/e7yI=")</f>
        <v>#REF!</v>
      </c>
      <c r="AJ46" t="e">
        <f>AND('5to. Secre.'!#REF!,"AAAAAG/e7yM=")</f>
        <v>#REF!</v>
      </c>
      <c r="AK46" t="e">
        <f>AND('5to. Secre.'!#REF!,"AAAAAG/e7yQ=")</f>
        <v>#REF!</v>
      </c>
      <c r="AL46" t="e">
        <f>AND('5to. Secre.'!#REF!,"AAAAAG/e7yU=")</f>
        <v>#REF!</v>
      </c>
      <c r="AM46" t="e">
        <f>AND('5to. Secre.'!#REF!,"AAAAAG/e7yY=")</f>
        <v>#REF!</v>
      </c>
      <c r="AN46" t="e">
        <f>AND('5to. Secre.'!#REF!,"AAAAAG/e7yc=")</f>
        <v>#REF!</v>
      </c>
      <c r="AO46" t="e">
        <f>AND('5to. Secre.'!#REF!,"AAAAAG/e7yg=")</f>
        <v>#REF!</v>
      </c>
      <c r="AP46" t="e">
        <f>AND('5to. Secre.'!#REF!,"AAAAAG/e7yk=")</f>
        <v>#REF!</v>
      </c>
      <c r="AQ46" t="e">
        <f>IF('5to. Secre.'!#REF!,"AAAAAG/e7yo=",0)</f>
        <v>#REF!</v>
      </c>
      <c r="AR46" t="e">
        <f>AND('5to. Secre.'!#REF!,"AAAAAG/e7ys=")</f>
        <v>#REF!</v>
      </c>
      <c r="AS46" t="e">
        <f>AND('5to. Secre.'!#REF!,"AAAAAG/e7yw=")</f>
        <v>#REF!</v>
      </c>
      <c r="AT46" t="e">
        <f>AND('5to. Secre.'!#REF!,"AAAAAG/e7y0=")</f>
        <v>#REF!</v>
      </c>
      <c r="AU46" t="e">
        <f>AND('5to. Secre.'!#REF!,"AAAAAG/e7y4=")</f>
        <v>#REF!</v>
      </c>
      <c r="AV46" t="e">
        <f>AND('5to. Secre.'!#REF!,"AAAAAG/e7y8=")</f>
        <v>#REF!</v>
      </c>
      <c r="AW46" t="e">
        <f>AND('5to. Secre.'!#REF!,"AAAAAG/e7zA=")</f>
        <v>#REF!</v>
      </c>
      <c r="AX46" t="e">
        <f>AND('5to. Secre.'!#REF!,"AAAAAG/e7zE=")</f>
        <v>#REF!</v>
      </c>
      <c r="AY46" t="e">
        <f>AND('5to. Secre.'!#REF!,"AAAAAG/e7zI=")</f>
        <v>#REF!</v>
      </c>
      <c r="AZ46" t="e">
        <f>AND('5to. Secre.'!#REF!,"AAAAAG/e7zM=")</f>
        <v>#REF!</v>
      </c>
      <c r="BA46" t="e">
        <f>AND('5to. Secre.'!#REF!,"AAAAAG/e7zQ=")</f>
        <v>#REF!</v>
      </c>
      <c r="BB46" t="e">
        <f>AND('5to. Secre.'!#REF!,"AAAAAG/e7zU=")</f>
        <v>#REF!</v>
      </c>
      <c r="BC46" t="e">
        <f>AND('5to. Secre.'!#REF!,"AAAAAG/e7zY=")</f>
        <v>#REF!</v>
      </c>
      <c r="BD46" t="e">
        <f>AND('5to. Secre.'!#REF!,"AAAAAG/e7zc=")</f>
        <v>#REF!</v>
      </c>
      <c r="BE46" t="e">
        <f>AND('5to. Secre.'!#REF!,"AAAAAG/e7zg=")</f>
        <v>#REF!</v>
      </c>
      <c r="BF46" t="e">
        <f>AND('5to. Secre.'!#REF!,"AAAAAG/e7zk=")</f>
        <v>#REF!</v>
      </c>
      <c r="BG46" t="e">
        <f>AND('5to. Secre.'!#REF!,"AAAAAG/e7zo=")</f>
        <v>#REF!</v>
      </c>
      <c r="BH46" t="e">
        <f>AND('5to. Secre.'!#REF!,"AAAAAG/e7zs=")</f>
        <v>#REF!</v>
      </c>
      <c r="BI46" t="e">
        <f>AND('5to. Secre.'!#REF!,"AAAAAG/e7zw=")</f>
        <v>#REF!</v>
      </c>
      <c r="BJ46" t="e">
        <f>AND('5to. Secre.'!#REF!,"AAAAAG/e7z0=")</f>
        <v>#REF!</v>
      </c>
      <c r="BK46" t="e">
        <f>AND('5to. Secre.'!#REF!,"AAAAAG/e7z4=")</f>
        <v>#REF!</v>
      </c>
      <c r="BL46" t="e">
        <f>AND('5to. Secre.'!#REF!,"AAAAAG/e7z8=")</f>
        <v>#REF!</v>
      </c>
      <c r="BM46" t="e">
        <f>AND('5to. Secre.'!#REF!,"AAAAAG/e70A=")</f>
        <v>#REF!</v>
      </c>
      <c r="BN46" t="e">
        <f>AND('5to. Secre.'!#REF!,"AAAAAG/e70E=")</f>
        <v>#REF!</v>
      </c>
      <c r="BO46" t="e">
        <f>AND('5to. Secre.'!#REF!,"AAAAAG/e70I=")</f>
        <v>#REF!</v>
      </c>
      <c r="BP46" t="e">
        <f>AND('5to. Secre.'!#REF!,"AAAAAG/e70M=")</f>
        <v>#REF!</v>
      </c>
      <c r="BQ46" t="e">
        <f>IF('5to. Secre.'!#REF!,"AAAAAG/e70Q=",0)</f>
        <v>#REF!</v>
      </c>
      <c r="BR46" t="e">
        <f>AND('5to. Secre.'!#REF!,"AAAAAG/e70U=")</f>
        <v>#REF!</v>
      </c>
      <c r="BS46" t="e">
        <f>AND('5to. Secre.'!#REF!,"AAAAAG/e70Y=")</f>
        <v>#REF!</v>
      </c>
      <c r="BT46" t="e">
        <f>AND('5to. Secre.'!#REF!,"AAAAAG/e70c=")</f>
        <v>#REF!</v>
      </c>
      <c r="BU46" t="e">
        <f>AND('5to. Secre.'!#REF!,"AAAAAG/e70g=")</f>
        <v>#REF!</v>
      </c>
      <c r="BV46" t="e">
        <f>AND('5to. Secre.'!#REF!,"AAAAAG/e70k=")</f>
        <v>#REF!</v>
      </c>
      <c r="BW46" t="e">
        <f>AND('5to. Secre.'!#REF!,"AAAAAG/e70o=")</f>
        <v>#REF!</v>
      </c>
      <c r="BX46" t="e">
        <f>AND('5to. Secre.'!#REF!,"AAAAAG/e70s=")</f>
        <v>#REF!</v>
      </c>
      <c r="BY46" t="e">
        <f>AND('5to. Secre.'!#REF!,"AAAAAG/e70w=")</f>
        <v>#REF!</v>
      </c>
      <c r="BZ46" t="e">
        <f>AND('5to. Secre.'!#REF!,"AAAAAG/e700=")</f>
        <v>#REF!</v>
      </c>
      <c r="CA46" t="e">
        <f>AND('5to. Secre.'!#REF!,"AAAAAG/e704=")</f>
        <v>#REF!</v>
      </c>
      <c r="CB46" t="e">
        <f>AND('5to. Secre.'!#REF!,"AAAAAG/e708=")</f>
        <v>#REF!</v>
      </c>
      <c r="CC46" t="e">
        <f>AND('5to. Secre.'!#REF!,"AAAAAG/e71A=")</f>
        <v>#REF!</v>
      </c>
      <c r="CD46" t="e">
        <f>AND('5to. Secre.'!#REF!,"AAAAAG/e71E=")</f>
        <v>#REF!</v>
      </c>
      <c r="CE46" t="e">
        <f>AND('5to. Secre.'!#REF!,"AAAAAG/e71I=")</f>
        <v>#REF!</v>
      </c>
      <c r="CF46" t="e">
        <f>AND('5to. Secre.'!#REF!,"AAAAAG/e71M=")</f>
        <v>#REF!</v>
      </c>
      <c r="CG46" t="e">
        <f>AND('5to. Secre.'!#REF!,"AAAAAG/e71Q=")</f>
        <v>#REF!</v>
      </c>
      <c r="CH46" t="e">
        <f>AND('5to. Secre.'!#REF!,"AAAAAG/e71U=")</f>
        <v>#REF!</v>
      </c>
      <c r="CI46" t="e">
        <f>AND('5to. Secre.'!#REF!,"AAAAAG/e71Y=")</f>
        <v>#REF!</v>
      </c>
      <c r="CJ46" t="e">
        <f>AND('5to. Secre.'!#REF!,"AAAAAG/e71c=")</f>
        <v>#REF!</v>
      </c>
      <c r="CK46" t="e">
        <f>AND('5to. Secre.'!#REF!,"AAAAAG/e71g=")</f>
        <v>#REF!</v>
      </c>
      <c r="CL46" t="e">
        <f>AND('5to. Secre.'!#REF!,"AAAAAG/e71k=")</f>
        <v>#REF!</v>
      </c>
      <c r="CM46" t="e">
        <f>AND('5to. Secre.'!#REF!,"AAAAAG/e71o=")</f>
        <v>#REF!</v>
      </c>
      <c r="CN46" t="e">
        <f>AND('5to. Secre.'!#REF!,"AAAAAG/e71s=")</f>
        <v>#REF!</v>
      </c>
      <c r="CO46" t="e">
        <f>AND('5to. Secre.'!#REF!,"AAAAAG/e71w=")</f>
        <v>#REF!</v>
      </c>
      <c r="CP46" t="e">
        <f>AND('5to. Secre.'!#REF!,"AAAAAG/e710=")</f>
        <v>#REF!</v>
      </c>
      <c r="CQ46" t="e">
        <f>IF('5to. Secre.'!#REF!,"AAAAAG/e714=",0)</f>
        <v>#REF!</v>
      </c>
      <c r="CR46" t="e">
        <f>AND('5to. Secre.'!#REF!,"AAAAAG/e718=")</f>
        <v>#REF!</v>
      </c>
      <c r="CS46" t="e">
        <f>AND('5to. Secre.'!#REF!,"AAAAAG/e72A=")</f>
        <v>#REF!</v>
      </c>
      <c r="CT46" t="e">
        <f>AND('5to. Secre.'!#REF!,"AAAAAG/e72E=")</f>
        <v>#REF!</v>
      </c>
      <c r="CU46" t="e">
        <f>AND('5to. Secre.'!#REF!,"AAAAAG/e72I=")</f>
        <v>#REF!</v>
      </c>
      <c r="CV46" t="e">
        <f>AND('5to. Secre.'!#REF!,"AAAAAG/e72M=")</f>
        <v>#REF!</v>
      </c>
      <c r="CW46" t="e">
        <f>AND('5to. Secre.'!#REF!,"AAAAAG/e72Q=")</f>
        <v>#REF!</v>
      </c>
      <c r="CX46" t="e">
        <f>AND('5to. Secre.'!#REF!,"AAAAAG/e72U=")</f>
        <v>#REF!</v>
      </c>
      <c r="CY46" t="e">
        <f>AND('5to. Secre.'!#REF!,"AAAAAG/e72Y=")</f>
        <v>#REF!</v>
      </c>
      <c r="CZ46" t="e">
        <f>AND('5to. Secre.'!#REF!,"AAAAAG/e72c=")</f>
        <v>#REF!</v>
      </c>
      <c r="DA46" t="e">
        <f>AND('5to. Secre.'!#REF!,"AAAAAG/e72g=")</f>
        <v>#REF!</v>
      </c>
      <c r="DB46" t="e">
        <f>AND('5to. Secre.'!#REF!,"AAAAAG/e72k=")</f>
        <v>#REF!</v>
      </c>
      <c r="DC46" t="e">
        <f>AND('5to. Secre.'!#REF!,"AAAAAG/e72o=")</f>
        <v>#REF!</v>
      </c>
      <c r="DD46" t="e">
        <f>AND('5to. Secre.'!#REF!,"AAAAAG/e72s=")</f>
        <v>#REF!</v>
      </c>
      <c r="DE46" t="e">
        <f>AND('5to. Secre.'!#REF!,"AAAAAG/e72w=")</f>
        <v>#REF!</v>
      </c>
      <c r="DF46" t="e">
        <f>AND('5to. Secre.'!#REF!,"AAAAAG/e720=")</f>
        <v>#REF!</v>
      </c>
      <c r="DG46" t="e">
        <f>AND('5to. Secre.'!#REF!,"AAAAAG/e724=")</f>
        <v>#REF!</v>
      </c>
      <c r="DH46" t="e">
        <f>AND('5to. Secre.'!#REF!,"AAAAAG/e728=")</f>
        <v>#REF!</v>
      </c>
      <c r="DI46" t="e">
        <f>AND('5to. Secre.'!#REF!,"AAAAAG/e73A=")</f>
        <v>#REF!</v>
      </c>
      <c r="DJ46" t="e">
        <f>AND('5to. Secre.'!#REF!,"AAAAAG/e73E=")</f>
        <v>#REF!</v>
      </c>
      <c r="DK46" t="e">
        <f>AND('5to. Secre.'!#REF!,"AAAAAG/e73I=")</f>
        <v>#REF!</v>
      </c>
      <c r="DL46" t="e">
        <f>AND('5to. Secre.'!#REF!,"AAAAAG/e73M=")</f>
        <v>#REF!</v>
      </c>
      <c r="DM46" t="e">
        <f>AND('5to. Secre.'!#REF!,"AAAAAG/e73Q=")</f>
        <v>#REF!</v>
      </c>
      <c r="DN46" t="e">
        <f>AND('5to. Secre.'!#REF!,"AAAAAG/e73U=")</f>
        <v>#REF!</v>
      </c>
      <c r="DO46" t="e">
        <f>AND('5to. Secre.'!#REF!,"AAAAAG/e73Y=")</f>
        <v>#REF!</v>
      </c>
      <c r="DP46" t="e">
        <f>AND('5to. Secre.'!#REF!,"AAAAAG/e73c=")</f>
        <v>#REF!</v>
      </c>
      <c r="DQ46" t="e">
        <f>IF('5to. Secre.'!#REF!,"AAAAAG/e73g=",0)</f>
        <v>#REF!</v>
      </c>
      <c r="DR46" t="e">
        <f>AND('5to. Secre.'!#REF!,"AAAAAG/e73k=")</f>
        <v>#REF!</v>
      </c>
      <c r="DS46" t="e">
        <f>AND('5to. Secre.'!#REF!,"AAAAAG/e73o=")</f>
        <v>#REF!</v>
      </c>
      <c r="DT46" t="e">
        <f>AND('5to. Secre.'!#REF!,"AAAAAG/e73s=")</f>
        <v>#REF!</v>
      </c>
      <c r="DU46" t="e">
        <f>AND('5to. Secre.'!#REF!,"AAAAAG/e73w=")</f>
        <v>#REF!</v>
      </c>
      <c r="DV46" t="e">
        <f>AND('5to. Secre.'!#REF!,"AAAAAG/e730=")</f>
        <v>#REF!</v>
      </c>
      <c r="DW46" t="e">
        <f>AND('5to. Secre.'!#REF!,"AAAAAG/e734=")</f>
        <v>#REF!</v>
      </c>
      <c r="DX46" t="e">
        <f>AND('5to. Secre.'!#REF!,"AAAAAG/e738=")</f>
        <v>#REF!</v>
      </c>
      <c r="DY46" t="e">
        <f>AND('5to. Secre.'!#REF!,"AAAAAG/e74A=")</f>
        <v>#REF!</v>
      </c>
      <c r="DZ46" t="e">
        <f>AND('5to. Secre.'!#REF!,"AAAAAG/e74E=")</f>
        <v>#REF!</v>
      </c>
      <c r="EA46" t="e">
        <f>AND('5to. Secre.'!#REF!,"AAAAAG/e74I=")</f>
        <v>#REF!</v>
      </c>
      <c r="EB46" t="e">
        <f>AND('5to. Secre.'!#REF!,"AAAAAG/e74M=")</f>
        <v>#REF!</v>
      </c>
      <c r="EC46" t="e">
        <f>AND('5to. Secre.'!#REF!,"AAAAAG/e74Q=")</f>
        <v>#REF!</v>
      </c>
      <c r="ED46" t="e">
        <f>AND('5to. Secre.'!#REF!,"AAAAAG/e74U=")</f>
        <v>#REF!</v>
      </c>
      <c r="EE46" t="e">
        <f>AND('5to. Secre.'!#REF!,"AAAAAG/e74Y=")</f>
        <v>#REF!</v>
      </c>
      <c r="EF46" t="e">
        <f>AND('5to. Secre.'!#REF!,"AAAAAG/e74c=")</f>
        <v>#REF!</v>
      </c>
      <c r="EG46" t="e">
        <f>AND('5to. Secre.'!#REF!,"AAAAAG/e74g=")</f>
        <v>#REF!</v>
      </c>
      <c r="EH46" t="e">
        <f>AND('5to. Secre.'!#REF!,"AAAAAG/e74k=")</f>
        <v>#REF!</v>
      </c>
      <c r="EI46" t="e">
        <f>AND('5to. Secre.'!#REF!,"AAAAAG/e74o=")</f>
        <v>#REF!</v>
      </c>
      <c r="EJ46" t="e">
        <f>AND('5to. Secre.'!#REF!,"AAAAAG/e74s=")</f>
        <v>#REF!</v>
      </c>
      <c r="EK46" t="e">
        <f>AND('5to. Secre.'!#REF!,"AAAAAG/e74w=")</f>
        <v>#REF!</v>
      </c>
      <c r="EL46" t="e">
        <f>AND('5to. Secre.'!#REF!,"AAAAAG/e740=")</f>
        <v>#REF!</v>
      </c>
      <c r="EM46" t="e">
        <f>AND('5to. Secre.'!#REF!,"AAAAAG/e744=")</f>
        <v>#REF!</v>
      </c>
      <c r="EN46" t="e">
        <f>AND('5to. Secre.'!#REF!,"AAAAAG/e748=")</f>
        <v>#REF!</v>
      </c>
      <c r="EO46" t="e">
        <f>AND('5to. Secre.'!#REF!,"AAAAAG/e75A=")</f>
        <v>#REF!</v>
      </c>
      <c r="EP46" t="e">
        <f>AND('5to. Secre.'!#REF!,"AAAAAG/e75E=")</f>
        <v>#REF!</v>
      </c>
      <c r="EQ46" t="e">
        <f>IF('5to. Secre.'!#REF!,"AAAAAG/e75I=",0)</f>
        <v>#REF!</v>
      </c>
      <c r="ER46" t="e">
        <f>AND('5to. Secre.'!#REF!,"AAAAAG/e75M=")</f>
        <v>#REF!</v>
      </c>
      <c r="ES46" t="e">
        <f>AND('5to. Secre.'!#REF!,"AAAAAG/e75Q=")</f>
        <v>#REF!</v>
      </c>
      <c r="ET46" t="e">
        <f>AND('5to. Secre.'!#REF!,"AAAAAG/e75U=")</f>
        <v>#REF!</v>
      </c>
      <c r="EU46" t="e">
        <f>AND('5to. Secre.'!#REF!,"AAAAAG/e75Y=")</f>
        <v>#REF!</v>
      </c>
      <c r="EV46" t="e">
        <f>AND('5to. Secre.'!#REF!,"AAAAAG/e75c=")</f>
        <v>#REF!</v>
      </c>
      <c r="EW46" t="e">
        <f>AND('5to. Secre.'!#REF!,"AAAAAG/e75g=")</f>
        <v>#REF!</v>
      </c>
      <c r="EX46" t="e">
        <f>AND('5to. Secre.'!#REF!,"AAAAAG/e75k=")</f>
        <v>#REF!</v>
      </c>
      <c r="EY46" t="e">
        <f>AND('5to. Secre.'!#REF!,"AAAAAG/e75o=")</f>
        <v>#REF!</v>
      </c>
      <c r="EZ46" t="e">
        <f>AND('5to. Secre.'!#REF!,"AAAAAG/e75s=")</f>
        <v>#REF!</v>
      </c>
      <c r="FA46" t="e">
        <f>AND('5to. Secre.'!#REF!,"AAAAAG/e75w=")</f>
        <v>#REF!</v>
      </c>
      <c r="FB46" t="e">
        <f>AND('5to. Secre.'!#REF!,"AAAAAG/e750=")</f>
        <v>#REF!</v>
      </c>
      <c r="FC46" t="e">
        <f>AND('5to. Secre.'!#REF!,"AAAAAG/e754=")</f>
        <v>#REF!</v>
      </c>
      <c r="FD46" t="e">
        <f>AND('5to. Secre.'!#REF!,"AAAAAG/e758=")</f>
        <v>#REF!</v>
      </c>
      <c r="FE46" t="e">
        <f>AND('5to. Secre.'!#REF!,"AAAAAG/e76A=")</f>
        <v>#REF!</v>
      </c>
      <c r="FF46" t="e">
        <f>AND('5to. Secre.'!#REF!,"AAAAAG/e76E=")</f>
        <v>#REF!</v>
      </c>
      <c r="FG46" t="e">
        <f>AND('5to. Secre.'!#REF!,"AAAAAG/e76I=")</f>
        <v>#REF!</v>
      </c>
      <c r="FH46" t="e">
        <f>AND('5to. Secre.'!#REF!,"AAAAAG/e76M=")</f>
        <v>#REF!</v>
      </c>
      <c r="FI46" t="e">
        <f>AND('5to. Secre.'!#REF!,"AAAAAG/e76Q=")</f>
        <v>#REF!</v>
      </c>
      <c r="FJ46" t="e">
        <f>AND('5to. Secre.'!#REF!,"AAAAAG/e76U=")</f>
        <v>#REF!</v>
      </c>
      <c r="FK46" t="e">
        <f>AND('5to. Secre.'!#REF!,"AAAAAG/e76Y=")</f>
        <v>#REF!</v>
      </c>
      <c r="FL46" t="e">
        <f>AND('5to. Secre.'!#REF!,"AAAAAG/e76c=")</f>
        <v>#REF!</v>
      </c>
      <c r="FM46" t="e">
        <f>AND('5to. Secre.'!#REF!,"AAAAAG/e76g=")</f>
        <v>#REF!</v>
      </c>
      <c r="FN46" t="e">
        <f>AND('5to. Secre.'!#REF!,"AAAAAG/e76k=")</f>
        <v>#REF!</v>
      </c>
      <c r="FO46" t="e">
        <f>AND('5to. Secre.'!#REF!,"AAAAAG/e76o=")</f>
        <v>#REF!</v>
      </c>
      <c r="FP46" t="e">
        <f>AND('5to. Secre.'!#REF!,"AAAAAG/e76s=")</f>
        <v>#REF!</v>
      </c>
      <c r="FQ46" t="e">
        <f>IF('5to. Secre.'!#REF!,"AAAAAG/e76w=",0)</f>
        <v>#REF!</v>
      </c>
      <c r="FR46" t="e">
        <f>AND('5to. Secre.'!#REF!,"AAAAAG/e760=")</f>
        <v>#REF!</v>
      </c>
      <c r="FS46" t="e">
        <f>AND('5to. Secre.'!#REF!,"AAAAAG/e764=")</f>
        <v>#REF!</v>
      </c>
      <c r="FT46" t="e">
        <f>AND('5to. Secre.'!#REF!,"AAAAAG/e768=")</f>
        <v>#REF!</v>
      </c>
      <c r="FU46" t="e">
        <f>AND('5to. Secre.'!#REF!,"AAAAAG/e77A=")</f>
        <v>#REF!</v>
      </c>
      <c r="FV46" t="e">
        <f>AND('5to. Secre.'!#REF!,"AAAAAG/e77E=")</f>
        <v>#REF!</v>
      </c>
      <c r="FW46" t="e">
        <f>AND('5to. Secre.'!#REF!,"AAAAAG/e77I=")</f>
        <v>#REF!</v>
      </c>
      <c r="FX46" t="e">
        <f>AND('5to. Secre.'!#REF!,"AAAAAG/e77M=")</f>
        <v>#REF!</v>
      </c>
      <c r="FY46" t="e">
        <f>AND('5to. Secre.'!#REF!,"AAAAAG/e77Q=")</f>
        <v>#REF!</v>
      </c>
      <c r="FZ46" t="e">
        <f>AND('5to. Secre.'!#REF!,"AAAAAG/e77U=")</f>
        <v>#REF!</v>
      </c>
      <c r="GA46" t="e">
        <f>AND('5to. Secre.'!#REF!,"AAAAAG/e77Y=")</f>
        <v>#REF!</v>
      </c>
      <c r="GB46" t="e">
        <f>AND('5to. Secre.'!#REF!,"AAAAAG/e77c=")</f>
        <v>#REF!</v>
      </c>
      <c r="GC46" t="e">
        <f>AND('5to. Secre.'!#REF!,"AAAAAG/e77g=")</f>
        <v>#REF!</v>
      </c>
      <c r="GD46" t="e">
        <f>AND('5to. Secre.'!#REF!,"AAAAAG/e77k=")</f>
        <v>#REF!</v>
      </c>
      <c r="GE46" t="e">
        <f>AND('5to. Secre.'!#REF!,"AAAAAG/e77o=")</f>
        <v>#REF!</v>
      </c>
      <c r="GF46" t="e">
        <f>AND('5to. Secre.'!#REF!,"AAAAAG/e77s=")</f>
        <v>#REF!</v>
      </c>
      <c r="GG46" t="e">
        <f>AND('5to. Secre.'!#REF!,"AAAAAG/e77w=")</f>
        <v>#REF!</v>
      </c>
      <c r="GH46" t="e">
        <f>AND('5to. Secre.'!#REF!,"AAAAAG/e770=")</f>
        <v>#REF!</v>
      </c>
      <c r="GI46" t="e">
        <f>AND('5to. Secre.'!#REF!,"AAAAAG/e774=")</f>
        <v>#REF!</v>
      </c>
      <c r="GJ46" t="e">
        <f>AND('5to. Secre.'!#REF!,"AAAAAG/e778=")</f>
        <v>#REF!</v>
      </c>
      <c r="GK46" t="e">
        <f>AND('5to. Secre.'!#REF!,"AAAAAG/e78A=")</f>
        <v>#REF!</v>
      </c>
      <c r="GL46" t="e">
        <f>AND('5to. Secre.'!#REF!,"AAAAAG/e78E=")</f>
        <v>#REF!</v>
      </c>
      <c r="GM46" t="e">
        <f>AND('5to. Secre.'!#REF!,"AAAAAG/e78I=")</f>
        <v>#REF!</v>
      </c>
      <c r="GN46" t="e">
        <f>AND('5to. Secre.'!#REF!,"AAAAAG/e78M=")</f>
        <v>#REF!</v>
      </c>
      <c r="GO46" t="e">
        <f>AND('5to. Secre.'!#REF!,"AAAAAG/e78Q=")</f>
        <v>#REF!</v>
      </c>
      <c r="GP46" t="e">
        <f>AND('5to. Secre.'!#REF!,"AAAAAG/e78U=")</f>
        <v>#REF!</v>
      </c>
      <c r="GQ46" t="e">
        <f>IF('5to. Secre.'!#REF!,"AAAAAG/e78Y=",0)</f>
        <v>#REF!</v>
      </c>
      <c r="GR46" t="e">
        <f>AND('5to. Secre.'!#REF!,"AAAAAG/e78c=")</f>
        <v>#REF!</v>
      </c>
      <c r="GS46" t="e">
        <f>AND('5to. Secre.'!#REF!,"AAAAAG/e78g=")</f>
        <v>#REF!</v>
      </c>
      <c r="GT46" t="e">
        <f>AND('5to. Secre.'!#REF!,"AAAAAG/e78k=")</f>
        <v>#REF!</v>
      </c>
      <c r="GU46" t="e">
        <f>AND('5to. Secre.'!#REF!,"AAAAAG/e78o=")</f>
        <v>#REF!</v>
      </c>
      <c r="GV46" t="e">
        <f>AND('5to. Secre.'!#REF!,"AAAAAG/e78s=")</f>
        <v>#REF!</v>
      </c>
      <c r="GW46" t="e">
        <f>AND('5to. Secre.'!#REF!,"AAAAAG/e78w=")</f>
        <v>#REF!</v>
      </c>
      <c r="GX46" t="e">
        <f>AND('5to. Secre.'!#REF!,"AAAAAG/e780=")</f>
        <v>#REF!</v>
      </c>
      <c r="GY46" t="e">
        <f>AND('5to. Secre.'!#REF!,"AAAAAG/e784=")</f>
        <v>#REF!</v>
      </c>
      <c r="GZ46" t="e">
        <f>AND('5to. Secre.'!#REF!,"AAAAAG/e788=")</f>
        <v>#REF!</v>
      </c>
      <c r="HA46" t="e">
        <f>AND('5to. Secre.'!#REF!,"AAAAAG/e79A=")</f>
        <v>#REF!</v>
      </c>
      <c r="HB46" t="e">
        <f>AND('5to. Secre.'!#REF!,"AAAAAG/e79E=")</f>
        <v>#REF!</v>
      </c>
      <c r="HC46" t="e">
        <f>AND('5to. Secre.'!#REF!,"AAAAAG/e79I=")</f>
        <v>#REF!</v>
      </c>
      <c r="HD46" t="e">
        <f>AND('5to. Secre.'!#REF!,"AAAAAG/e79M=")</f>
        <v>#REF!</v>
      </c>
      <c r="HE46" t="e">
        <f>AND('5to. Secre.'!#REF!,"AAAAAG/e79Q=")</f>
        <v>#REF!</v>
      </c>
      <c r="HF46" t="e">
        <f>AND('5to. Secre.'!#REF!,"AAAAAG/e79U=")</f>
        <v>#REF!</v>
      </c>
      <c r="HG46" t="e">
        <f>AND('5to. Secre.'!#REF!,"AAAAAG/e79Y=")</f>
        <v>#REF!</v>
      </c>
      <c r="HH46" t="e">
        <f>AND('5to. Secre.'!#REF!,"AAAAAG/e79c=")</f>
        <v>#REF!</v>
      </c>
      <c r="HI46" t="e">
        <f>AND('5to. Secre.'!#REF!,"AAAAAG/e79g=")</f>
        <v>#REF!</v>
      </c>
      <c r="HJ46" t="e">
        <f>AND('5to. Secre.'!#REF!,"AAAAAG/e79k=")</f>
        <v>#REF!</v>
      </c>
      <c r="HK46" t="e">
        <f>AND('5to. Secre.'!#REF!,"AAAAAG/e79o=")</f>
        <v>#REF!</v>
      </c>
      <c r="HL46" t="e">
        <f>AND('5to. Secre.'!#REF!,"AAAAAG/e79s=")</f>
        <v>#REF!</v>
      </c>
      <c r="HM46" t="e">
        <f>AND('5to. Secre.'!#REF!,"AAAAAG/e79w=")</f>
        <v>#REF!</v>
      </c>
      <c r="HN46" t="e">
        <f>AND('5to. Secre.'!#REF!,"AAAAAG/e790=")</f>
        <v>#REF!</v>
      </c>
      <c r="HO46" t="e">
        <f>AND('5to. Secre.'!#REF!,"AAAAAG/e794=")</f>
        <v>#REF!</v>
      </c>
      <c r="HP46" t="e">
        <f>AND('5to. Secre.'!#REF!,"AAAAAG/e798=")</f>
        <v>#REF!</v>
      </c>
      <c r="HQ46" t="e">
        <f>IF('5to. Secre.'!#REF!,"AAAAAG/e7+A=",0)</f>
        <v>#REF!</v>
      </c>
      <c r="HR46" t="e">
        <f>AND('5to. Secre.'!#REF!,"AAAAAG/e7+E=")</f>
        <v>#REF!</v>
      </c>
      <c r="HS46" t="e">
        <f>AND('5to. Secre.'!#REF!,"AAAAAG/e7+I=")</f>
        <v>#REF!</v>
      </c>
      <c r="HT46" t="e">
        <f>AND('5to. Secre.'!#REF!,"AAAAAG/e7+M=")</f>
        <v>#REF!</v>
      </c>
      <c r="HU46" t="e">
        <f>AND('5to. Secre.'!#REF!,"AAAAAG/e7+Q=")</f>
        <v>#REF!</v>
      </c>
      <c r="HV46" t="e">
        <f>AND('5to. Secre.'!#REF!,"AAAAAG/e7+U=")</f>
        <v>#REF!</v>
      </c>
      <c r="HW46" t="e">
        <f>AND('5to. Secre.'!#REF!,"AAAAAG/e7+Y=")</f>
        <v>#REF!</v>
      </c>
      <c r="HX46" t="e">
        <f>AND('5to. Secre.'!#REF!,"AAAAAG/e7+c=")</f>
        <v>#REF!</v>
      </c>
      <c r="HY46" t="e">
        <f>AND('5to. Secre.'!#REF!,"AAAAAG/e7+g=")</f>
        <v>#REF!</v>
      </c>
      <c r="HZ46" t="e">
        <f>AND('5to. Secre.'!#REF!,"AAAAAG/e7+k=")</f>
        <v>#REF!</v>
      </c>
      <c r="IA46" t="e">
        <f>AND('5to. Secre.'!#REF!,"AAAAAG/e7+o=")</f>
        <v>#REF!</v>
      </c>
      <c r="IB46" t="e">
        <f>AND('5to. Secre.'!#REF!,"AAAAAG/e7+s=")</f>
        <v>#REF!</v>
      </c>
      <c r="IC46" t="e">
        <f>AND('5to. Secre.'!#REF!,"AAAAAG/e7+w=")</f>
        <v>#REF!</v>
      </c>
      <c r="ID46" t="e">
        <f>AND('5to. Secre.'!#REF!,"AAAAAG/e7+0=")</f>
        <v>#REF!</v>
      </c>
      <c r="IE46" t="e">
        <f>AND('5to. Secre.'!#REF!,"AAAAAG/e7+4=")</f>
        <v>#REF!</v>
      </c>
      <c r="IF46" t="e">
        <f>AND('5to. Secre.'!#REF!,"AAAAAG/e7+8=")</f>
        <v>#REF!</v>
      </c>
      <c r="IG46" t="e">
        <f>AND('5to. Secre.'!#REF!,"AAAAAG/e7/A=")</f>
        <v>#REF!</v>
      </c>
      <c r="IH46" t="e">
        <f>AND('5to. Secre.'!#REF!,"AAAAAG/e7/E=")</f>
        <v>#REF!</v>
      </c>
      <c r="II46" t="e">
        <f>AND('5to. Secre.'!#REF!,"AAAAAG/e7/I=")</f>
        <v>#REF!</v>
      </c>
      <c r="IJ46" t="e">
        <f>AND('5to. Secre.'!#REF!,"AAAAAG/e7/M=")</f>
        <v>#REF!</v>
      </c>
      <c r="IK46" t="e">
        <f>AND('5to. Secre.'!#REF!,"AAAAAG/e7/Q=")</f>
        <v>#REF!</v>
      </c>
      <c r="IL46" t="e">
        <f>AND('5to. Secre.'!#REF!,"AAAAAG/e7/U=")</f>
        <v>#REF!</v>
      </c>
      <c r="IM46" t="e">
        <f>AND('5to. Secre.'!#REF!,"AAAAAG/e7/Y=")</f>
        <v>#REF!</v>
      </c>
      <c r="IN46" t="e">
        <f>AND('5to. Secre.'!#REF!,"AAAAAG/e7/c=")</f>
        <v>#REF!</v>
      </c>
      <c r="IO46" t="e">
        <f>AND('5to. Secre.'!#REF!,"AAAAAG/e7/g=")</f>
        <v>#REF!</v>
      </c>
      <c r="IP46" t="e">
        <f>AND('5to. Secre.'!#REF!,"AAAAAG/e7/k=")</f>
        <v>#REF!</v>
      </c>
      <c r="IQ46" t="e">
        <f>IF('5to. Secre.'!#REF!,"AAAAAG/e7/o=",0)</f>
        <v>#REF!</v>
      </c>
      <c r="IR46" t="e">
        <f>AND('5to. Secre.'!#REF!,"AAAAAG/e7/s=")</f>
        <v>#REF!</v>
      </c>
      <c r="IS46" t="e">
        <f>AND('5to. Secre.'!#REF!,"AAAAAG/e7/w=")</f>
        <v>#REF!</v>
      </c>
      <c r="IT46" t="e">
        <f>AND('5to. Secre.'!#REF!,"AAAAAG/e7/0=")</f>
        <v>#REF!</v>
      </c>
      <c r="IU46" t="e">
        <f>AND('5to. Secre.'!#REF!,"AAAAAG/e7/4=")</f>
        <v>#REF!</v>
      </c>
      <c r="IV46" t="e">
        <f>AND('5to. Secre.'!#REF!,"AAAAAG/e7/8=")</f>
        <v>#REF!</v>
      </c>
    </row>
    <row r="47" spans="1:256">
      <c r="A47" t="e">
        <f>AND('5to. Secre.'!#REF!,"AAAAAG/+7QA=")</f>
        <v>#REF!</v>
      </c>
      <c r="B47" t="e">
        <f>AND('5to. Secre.'!#REF!,"AAAAAG/+7QE=")</f>
        <v>#REF!</v>
      </c>
      <c r="C47" t="e">
        <f>AND('5to. Secre.'!#REF!,"AAAAAG/+7QI=")</f>
        <v>#REF!</v>
      </c>
      <c r="D47" t="e">
        <f>AND('5to. Secre.'!#REF!,"AAAAAG/+7QM=")</f>
        <v>#REF!</v>
      </c>
      <c r="E47" t="e">
        <f>AND('5to. Secre.'!#REF!,"AAAAAG/+7QQ=")</f>
        <v>#REF!</v>
      </c>
      <c r="F47" t="e">
        <f>AND('5to. Secre.'!#REF!,"AAAAAG/+7QU=")</f>
        <v>#REF!</v>
      </c>
      <c r="G47" t="e">
        <f>AND('5to. Secre.'!#REF!,"AAAAAG/+7QY=")</f>
        <v>#REF!</v>
      </c>
      <c r="H47" t="e">
        <f>AND('5to. Secre.'!#REF!,"AAAAAG/+7Qc=")</f>
        <v>#REF!</v>
      </c>
      <c r="I47" t="e">
        <f>AND('5to. Secre.'!#REF!,"AAAAAG/+7Qg=")</f>
        <v>#REF!</v>
      </c>
      <c r="J47" t="e">
        <f>AND('5to. Secre.'!#REF!,"AAAAAG/+7Qk=")</f>
        <v>#REF!</v>
      </c>
      <c r="K47" t="e">
        <f>AND('5to. Secre.'!#REF!,"AAAAAG/+7Qo=")</f>
        <v>#REF!</v>
      </c>
      <c r="L47" t="e">
        <f>AND('5to. Secre.'!#REF!,"AAAAAG/+7Qs=")</f>
        <v>#REF!</v>
      </c>
      <c r="M47" t="e">
        <f>AND('5to. Secre.'!#REF!,"AAAAAG/+7Qw=")</f>
        <v>#REF!</v>
      </c>
      <c r="N47" t="e">
        <f>AND('5to. Secre.'!#REF!,"AAAAAG/+7Q0=")</f>
        <v>#REF!</v>
      </c>
      <c r="O47" t="e">
        <f>AND('5to. Secre.'!#REF!,"AAAAAG/+7Q4=")</f>
        <v>#REF!</v>
      </c>
      <c r="P47" t="e">
        <f>AND('5to. Secre.'!#REF!,"AAAAAG/+7Q8=")</f>
        <v>#REF!</v>
      </c>
      <c r="Q47" t="e">
        <f>AND('5to. Secre.'!#REF!,"AAAAAG/+7RA=")</f>
        <v>#REF!</v>
      </c>
      <c r="R47" t="e">
        <f>AND('5to. Secre.'!#REF!,"AAAAAG/+7RE=")</f>
        <v>#REF!</v>
      </c>
      <c r="S47" t="e">
        <f>AND('5to. Secre.'!#REF!,"AAAAAG/+7RI=")</f>
        <v>#REF!</v>
      </c>
      <c r="T47" t="e">
        <f>AND('5to. Secre.'!#REF!,"AAAAAG/+7RM=")</f>
        <v>#REF!</v>
      </c>
      <c r="U47" t="e">
        <f>IF('5to. Secre.'!#REF!,"AAAAAG/+7RQ=",0)</f>
        <v>#REF!</v>
      </c>
      <c r="V47" t="e">
        <f>AND('5to. Secre.'!#REF!,"AAAAAG/+7RU=")</f>
        <v>#REF!</v>
      </c>
      <c r="W47" t="e">
        <f>AND('5to. Secre.'!#REF!,"AAAAAG/+7RY=")</f>
        <v>#REF!</v>
      </c>
      <c r="X47" t="e">
        <f>AND('5to. Secre.'!#REF!,"AAAAAG/+7Rc=")</f>
        <v>#REF!</v>
      </c>
      <c r="Y47" t="e">
        <f>AND('5to. Secre.'!#REF!,"AAAAAG/+7Rg=")</f>
        <v>#REF!</v>
      </c>
      <c r="Z47" t="e">
        <f>AND('5to. Secre.'!#REF!,"AAAAAG/+7Rk=")</f>
        <v>#REF!</v>
      </c>
      <c r="AA47" t="e">
        <f>AND('5to. Secre.'!#REF!,"AAAAAG/+7Ro=")</f>
        <v>#REF!</v>
      </c>
      <c r="AB47" t="e">
        <f>AND('5to. Secre.'!#REF!,"AAAAAG/+7Rs=")</f>
        <v>#REF!</v>
      </c>
      <c r="AC47" t="e">
        <f>AND('5to. Secre.'!#REF!,"AAAAAG/+7Rw=")</f>
        <v>#REF!</v>
      </c>
      <c r="AD47" t="e">
        <f>AND('5to. Secre.'!#REF!,"AAAAAG/+7R0=")</f>
        <v>#REF!</v>
      </c>
      <c r="AE47" t="e">
        <f>AND('5to. Secre.'!#REF!,"AAAAAG/+7R4=")</f>
        <v>#REF!</v>
      </c>
      <c r="AF47" t="e">
        <f>AND('5to. Secre.'!#REF!,"AAAAAG/+7R8=")</f>
        <v>#REF!</v>
      </c>
      <c r="AG47" t="e">
        <f>AND('5to. Secre.'!#REF!,"AAAAAG/+7SA=")</f>
        <v>#REF!</v>
      </c>
      <c r="AH47" t="e">
        <f>AND('5to. Secre.'!#REF!,"AAAAAG/+7SE=")</f>
        <v>#REF!</v>
      </c>
      <c r="AI47" t="e">
        <f>AND('5to. Secre.'!#REF!,"AAAAAG/+7SI=")</f>
        <v>#REF!</v>
      </c>
      <c r="AJ47" t="e">
        <f>AND('5to. Secre.'!#REF!,"AAAAAG/+7SM=")</f>
        <v>#REF!</v>
      </c>
      <c r="AK47" t="e">
        <f>AND('5to. Secre.'!#REF!,"AAAAAG/+7SQ=")</f>
        <v>#REF!</v>
      </c>
      <c r="AL47" t="e">
        <f>AND('5to. Secre.'!#REF!,"AAAAAG/+7SU=")</f>
        <v>#REF!</v>
      </c>
      <c r="AM47" t="e">
        <f>AND('5to. Secre.'!#REF!,"AAAAAG/+7SY=")</f>
        <v>#REF!</v>
      </c>
      <c r="AN47" t="e">
        <f>AND('5to. Secre.'!#REF!,"AAAAAG/+7Sc=")</f>
        <v>#REF!</v>
      </c>
      <c r="AO47" t="e">
        <f>AND('5to. Secre.'!#REF!,"AAAAAG/+7Sg=")</f>
        <v>#REF!</v>
      </c>
      <c r="AP47" t="e">
        <f>AND('5to. Secre.'!#REF!,"AAAAAG/+7Sk=")</f>
        <v>#REF!</v>
      </c>
      <c r="AQ47" t="e">
        <f>AND('5to. Secre.'!#REF!,"AAAAAG/+7So=")</f>
        <v>#REF!</v>
      </c>
      <c r="AR47" t="e">
        <f>AND('5to. Secre.'!#REF!,"AAAAAG/+7Ss=")</f>
        <v>#REF!</v>
      </c>
      <c r="AS47" t="e">
        <f>AND('5to. Secre.'!#REF!,"AAAAAG/+7Sw=")</f>
        <v>#REF!</v>
      </c>
      <c r="AT47" t="e">
        <f>AND('5to. Secre.'!#REF!,"AAAAAG/+7S0=")</f>
        <v>#REF!</v>
      </c>
      <c r="AU47" t="e">
        <f>IF('5to. Secre.'!#REF!,"AAAAAG/+7S4=",0)</f>
        <v>#REF!</v>
      </c>
      <c r="AV47" t="e">
        <f>AND('5to. Secre.'!#REF!,"AAAAAG/+7S8=")</f>
        <v>#REF!</v>
      </c>
      <c r="AW47" t="e">
        <f>AND('5to. Secre.'!#REF!,"AAAAAG/+7TA=")</f>
        <v>#REF!</v>
      </c>
      <c r="AX47" t="e">
        <f>AND('5to. Secre.'!#REF!,"AAAAAG/+7TE=")</f>
        <v>#REF!</v>
      </c>
      <c r="AY47" t="e">
        <f>AND('5to. Secre.'!#REF!,"AAAAAG/+7TI=")</f>
        <v>#REF!</v>
      </c>
      <c r="AZ47" t="e">
        <f>AND('5to. Secre.'!#REF!,"AAAAAG/+7TM=")</f>
        <v>#REF!</v>
      </c>
      <c r="BA47" t="e">
        <f>AND('5to. Secre.'!#REF!,"AAAAAG/+7TQ=")</f>
        <v>#REF!</v>
      </c>
      <c r="BB47" t="e">
        <f>AND('5to. Secre.'!#REF!,"AAAAAG/+7TU=")</f>
        <v>#REF!</v>
      </c>
      <c r="BC47" t="e">
        <f>AND('5to. Secre.'!#REF!,"AAAAAG/+7TY=")</f>
        <v>#REF!</v>
      </c>
      <c r="BD47" t="e">
        <f>AND('5to. Secre.'!#REF!,"AAAAAG/+7Tc=")</f>
        <v>#REF!</v>
      </c>
      <c r="BE47" t="e">
        <f>AND('5to. Secre.'!#REF!,"AAAAAG/+7Tg=")</f>
        <v>#REF!</v>
      </c>
      <c r="BF47" t="e">
        <f>AND('5to. Secre.'!#REF!,"AAAAAG/+7Tk=")</f>
        <v>#REF!</v>
      </c>
      <c r="BG47" t="e">
        <f>AND('5to. Secre.'!#REF!,"AAAAAG/+7To=")</f>
        <v>#REF!</v>
      </c>
      <c r="BH47" t="e">
        <f>AND('5to. Secre.'!#REF!,"AAAAAG/+7Ts=")</f>
        <v>#REF!</v>
      </c>
      <c r="BI47" t="e">
        <f>AND('5to. Secre.'!#REF!,"AAAAAG/+7Tw=")</f>
        <v>#REF!</v>
      </c>
      <c r="BJ47" t="e">
        <f>AND('5to. Secre.'!#REF!,"AAAAAG/+7T0=")</f>
        <v>#REF!</v>
      </c>
      <c r="BK47" t="e">
        <f>AND('5to. Secre.'!#REF!,"AAAAAG/+7T4=")</f>
        <v>#REF!</v>
      </c>
      <c r="BL47" t="e">
        <f>AND('5to. Secre.'!#REF!,"AAAAAG/+7T8=")</f>
        <v>#REF!</v>
      </c>
      <c r="BM47" t="e">
        <f>AND('5to. Secre.'!#REF!,"AAAAAG/+7UA=")</f>
        <v>#REF!</v>
      </c>
      <c r="BN47" t="e">
        <f>AND('5to. Secre.'!#REF!,"AAAAAG/+7UE=")</f>
        <v>#REF!</v>
      </c>
      <c r="BO47" t="e">
        <f>AND('5to. Secre.'!#REF!,"AAAAAG/+7UI=")</f>
        <v>#REF!</v>
      </c>
      <c r="BP47" t="e">
        <f>AND('5to. Secre.'!#REF!,"AAAAAG/+7UM=")</f>
        <v>#REF!</v>
      </c>
      <c r="BQ47" t="e">
        <f>AND('5to. Secre.'!#REF!,"AAAAAG/+7UQ=")</f>
        <v>#REF!</v>
      </c>
      <c r="BR47" t="e">
        <f>AND('5to. Secre.'!#REF!,"AAAAAG/+7UU=")</f>
        <v>#REF!</v>
      </c>
      <c r="BS47" t="e">
        <f>AND('5to. Secre.'!#REF!,"AAAAAG/+7UY=")</f>
        <v>#REF!</v>
      </c>
      <c r="BT47" t="e">
        <f>AND('5to. Secre.'!#REF!,"AAAAAG/+7Uc=")</f>
        <v>#REF!</v>
      </c>
      <c r="BU47" t="e">
        <f>IF('5to. Secre.'!#REF!,"AAAAAG/+7Ug=",0)</f>
        <v>#REF!</v>
      </c>
      <c r="BV47" t="e">
        <f>AND('5to. Secre.'!#REF!,"AAAAAG/+7Uk=")</f>
        <v>#REF!</v>
      </c>
      <c r="BW47" t="e">
        <f>AND('5to. Secre.'!#REF!,"AAAAAG/+7Uo=")</f>
        <v>#REF!</v>
      </c>
      <c r="BX47" t="e">
        <f>AND('5to. Secre.'!#REF!,"AAAAAG/+7Us=")</f>
        <v>#REF!</v>
      </c>
      <c r="BY47" t="e">
        <f>AND('5to. Secre.'!#REF!,"AAAAAG/+7Uw=")</f>
        <v>#REF!</v>
      </c>
      <c r="BZ47" t="e">
        <f>AND('5to. Secre.'!#REF!,"AAAAAG/+7U0=")</f>
        <v>#REF!</v>
      </c>
      <c r="CA47" t="e">
        <f>AND('5to. Secre.'!#REF!,"AAAAAG/+7U4=")</f>
        <v>#REF!</v>
      </c>
      <c r="CB47" t="e">
        <f>AND('5to. Secre.'!#REF!,"AAAAAG/+7U8=")</f>
        <v>#REF!</v>
      </c>
      <c r="CC47" t="e">
        <f>AND('5to. Secre.'!#REF!,"AAAAAG/+7VA=")</f>
        <v>#REF!</v>
      </c>
      <c r="CD47" t="e">
        <f>AND('5to. Secre.'!#REF!,"AAAAAG/+7VE=")</f>
        <v>#REF!</v>
      </c>
      <c r="CE47" t="e">
        <f>AND('5to. Secre.'!#REF!,"AAAAAG/+7VI=")</f>
        <v>#REF!</v>
      </c>
      <c r="CF47" t="e">
        <f>AND('5to. Secre.'!#REF!,"AAAAAG/+7VM=")</f>
        <v>#REF!</v>
      </c>
      <c r="CG47" t="e">
        <f>AND('5to. Secre.'!#REF!,"AAAAAG/+7VQ=")</f>
        <v>#REF!</v>
      </c>
      <c r="CH47" t="e">
        <f>AND('5to. Secre.'!#REF!,"AAAAAG/+7VU=")</f>
        <v>#REF!</v>
      </c>
      <c r="CI47" t="e">
        <f>AND('5to. Secre.'!#REF!,"AAAAAG/+7VY=")</f>
        <v>#REF!</v>
      </c>
      <c r="CJ47" t="e">
        <f>AND('5to. Secre.'!#REF!,"AAAAAG/+7Vc=")</f>
        <v>#REF!</v>
      </c>
      <c r="CK47" t="e">
        <f>AND('5to. Secre.'!#REF!,"AAAAAG/+7Vg=")</f>
        <v>#REF!</v>
      </c>
      <c r="CL47" t="e">
        <f>AND('5to. Secre.'!#REF!,"AAAAAG/+7Vk=")</f>
        <v>#REF!</v>
      </c>
      <c r="CM47" t="e">
        <f>AND('5to. Secre.'!#REF!,"AAAAAG/+7Vo=")</f>
        <v>#REF!</v>
      </c>
      <c r="CN47" t="e">
        <f>AND('5to. Secre.'!#REF!,"AAAAAG/+7Vs=")</f>
        <v>#REF!</v>
      </c>
      <c r="CO47" t="e">
        <f>AND('5to. Secre.'!#REF!,"AAAAAG/+7Vw=")</f>
        <v>#REF!</v>
      </c>
      <c r="CP47" t="e">
        <f>AND('5to. Secre.'!#REF!,"AAAAAG/+7V0=")</f>
        <v>#REF!</v>
      </c>
      <c r="CQ47" t="e">
        <f>AND('5to. Secre.'!#REF!,"AAAAAG/+7V4=")</f>
        <v>#REF!</v>
      </c>
      <c r="CR47" t="e">
        <f>AND('5to. Secre.'!#REF!,"AAAAAG/+7V8=")</f>
        <v>#REF!</v>
      </c>
      <c r="CS47" t="e">
        <f>AND('5to. Secre.'!#REF!,"AAAAAG/+7WA=")</f>
        <v>#REF!</v>
      </c>
      <c r="CT47" t="e">
        <f>AND('5to. Secre.'!#REF!,"AAAAAG/+7WE=")</f>
        <v>#REF!</v>
      </c>
      <c r="CU47" t="e">
        <f>IF('5to. Secre.'!#REF!,"AAAAAG/+7WI=",0)</f>
        <v>#REF!</v>
      </c>
      <c r="CV47" t="e">
        <f>AND('5to. Secre.'!#REF!,"AAAAAG/+7WM=")</f>
        <v>#REF!</v>
      </c>
      <c r="CW47" t="e">
        <f>AND('5to. Secre.'!#REF!,"AAAAAG/+7WQ=")</f>
        <v>#REF!</v>
      </c>
      <c r="CX47" t="e">
        <f>AND('5to. Secre.'!#REF!,"AAAAAG/+7WU=")</f>
        <v>#REF!</v>
      </c>
      <c r="CY47" t="e">
        <f>AND('5to. Secre.'!#REF!,"AAAAAG/+7WY=")</f>
        <v>#REF!</v>
      </c>
      <c r="CZ47" t="e">
        <f>AND('5to. Secre.'!#REF!,"AAAAAG/+7Wc=")</f>
        <v>#REF!</v>
      </c>
      <c r="DA47" t="e">
        <f>AND('5to. Secre.'!#REF!,"AAAAAG/+7Wg=")</f>
        <v>#REF!</v>
      </c>
      <c r="DB47" t="e">
        <f>AND('5to. Secre.'!#REF!,"AAAAAG/+7Wk=")</f>
        <v>#REF!</v>
      </c>
      <c r="DC47" t="e">
        <f>AND('5to. Secre.'!#REF!,"AAAAAG/+7Wo=")</f>
        <v>#REF!</v>
      </c>
      <c r="DD47" t="e">
        <f>AND('5to. Secre.'!#REF!,"AAAAAG/+7Ws=")</f>
        <v>#REF!</v>
      </c>
      <c r="DE47" t="e">
        <f>AND('5to. Secre.'!#REF!,"AAAAAG/+7Ww=")</f>
        <v>#REF!</v>
      </c>
      <c r="DF47" t="e">
        <f>AND('5to. Secre.'!#REF!,"AAAAAG/+7W0=")</f>
        <v>#REF!</v>
      </c>
      <c r="DG47" t="e">
        <f>AND('5to. Secre.'!#REF!,"AAAAAG/+7W4=")</f>
        <v>#REF!</v>
      </c>
      <c r="DH47" t="e">
        <f>AND('5to. Secre.'!#REF!,"AAAAAG/+7W8=")</f>
        <v>#REF!</v>
      </c>
      <c r="DI47" t="e">
        <f>AND('5to. Secre.'!#REF!,"AAAAAG/+7XA=")</f>
        <v>#REF!</v>
      </c>
      <c r="DJ47" t="e">
        <f>AND('5to. Secre.'!#REF!,"AAAAAG/+7XE=")</f>
        <v>#REF!</v>
      </c>
      <c r="DK47" t="e">
        <f>AND('5to. Secre.'!#REF!,"AAAAAG/+7XI=")</f>
        <v>#REF!</v>
      </c>
      <c r="DL47" t="e">
        <f>AND('5to. Secre.'!#REF!,"AAAAAG/+7XM=")</f>
        <v>#REF!</v>
      </c>
      <c r="DM47" t="e">
        <f>AND('5to. Secre.'!#REF!,"AAAAAG/+7XQ=")</f>
        <v>#REF!</v>
      </c>
      <c r="DN47" t="e">
        <f>AND('5to. Secre.'!#REF!,"AAAAAG/+7XU=")</f>
        <v>#REF!</v>
      </c>
      <c r="DO47" t="e">
        <f>AND('5to. Secre.'!#REF!,"AAAAAG/+7XY=")</f>
        <v>#REF!</v>
      </c>
      <c r="DP47" t="e">
        <f>AND('5to. Secre.'!#REF!,"AAAAAG/+7Xc=")</f>
        <v>#REF!</v>
      </c>
      <c r="DQ47" t="e">
        <f>AND('5to. Secre.'!#REF!,"AAAAAG/+7Xg=")</f>
        <v>#REF!</v>
      </c>
      <c r="DR47" t="e">
        <f>AND('5to. Secre.'!#REF!,"AAAAAG/+7Xk=")</f>
        <v>#REF!</v>
      </c>
      <c r="DS47" t="e">
        <f>AND('5to. Secre.'!#REF!,"AAAAAG/+7Xo=")</f>
        <v>#REF!</v>
      </c>
      <c r="DT47" t="e">
        <f>AND('5to. Secre.'!#REF!,"AAAAAG/+7Xs=")</f>
        <v>#REF!</v>
      </c>
      <c r="DU47" t="e">
        <f>IF('5to. Secre.'!#REF!,"AAAAAG/+7Xw=",0)</f>
        <v>#REF!</v>
      </c>
      <c r="DV47" t="e">
        <f>AND('5to. Secre.'!#REF!,"AAAAAG/+7X0=")</f>
        <v>#REF!</v>
      </c>
      <c r="DW47" t="e">
        <f>AND('5to. Secre.'!#REF!,"AAAAAG/+7X4=")</f>
        <v>#REF!</v>
      </c>
      <c r="DX47" t="e">
        <f>AND('5to. Secre.'!#REF!,"AAAAAG/+7X8=")</f>
        <v>#REF!</v>
      </c>
      <c r="DY47" t="e">
        <f>AND('5to. Secre.'!#REF!,"AAAAAG/+7YA=")</f>
        <v>#REF!</v>
      </c>
      <c r="DZ47" t="e">
        <f>AND('5to. Secre.'!#REF!,"AAAAAG/+7YE=")</f>
        <v>#REF!</v>
      </c>
      <c r="EA47" t="e">
        <f>AND('5to. Secre.'!#REF!,"AAAAAG/+7YI=")</f>
        <v>#REF!</v>
      </c>
      <c r="EB47" t="e">
        <f>AND('5to. Secre.'!#REF!,"AAAAAG/+7YM=")</f>
        <v>#REF!</v>
      </c>
      <c r="EC47" t="e">
        <f>AND('5to. Secre.'!#REF!,"AAAAAG/+7YQ=")</f>
        <v>#REF!</v>
      </c>
      <c r="ED47" t="e">
        <f>AND('5to. Secre.'!#REF!,"AAAAAG/+7YU=")</f>
        <v>#REF!</v>
      </c>
      <c r="EE47" t="e">
        <f>AND('5to. Secre.'!#REF!,"AAAAAG/+7YY=")</f>
        <v>#REF!</v>
      </c>
      <c r="EF47" t="e">
        <f>AND('5to. Secre.'!#REF!,"AAAAAG/+7Yc=")</f>
        <v>#REF!</v>
      </c>
      <c r="EG47" t="e">
        <f>AND('5to. Secre.'!#REF!,"AAAAAG/+7Yg=")</f>
        <v>#REF!</v>
      </c>
      <c r="EH47" t="e">
        <f>AND('5to. Secre.'!#REF!,"AAAAAG/+7Yk=")</f>
        <v>#REF!</v>
      </c>
      <c r="EI47" t="e">
        <f>AND('5to. Secre.'!#REF!,"AAAAAG/+7Yo=")</f>
        <v>#REF!</v>
      </c>
      <c r="EJ47" t="e">
        <f>AND('5to. Secre.'!#REF!,"AAAAAG/+7Ys=")</f>
        <v>#REF!</v>
      </c>
      <c r="EK47" t="e">
        <f>AND('5to. Secre.'!#REF!,"AAAAAG/+7Yw=")</f>
        <v>#REF!</v>
      </c>
      <c r="EL47" t="e">
        <f>AND('5to. Secre.'!#REF!,"AAAAAG/+7Y0=")</f>
        <v>#REF!</v>
      </c>
      <c r="EM47" t="e">
        <f>AND('5to. Secre.'!#REF!,"AAAAAG/+7Y4=")</f>
        <v>#REF!</v>
      </c>
      <c r="EN47" t="e">
        <f>AND('5to. Secre.'!#REF!,"AAAAAG/+7Y8=")</f>
        <v>#REF!</v>
      </c>
      <c r="EO47" t="e">
        <f>AND('5to. Secre.'!#REF!,"AAAAAG/+7ZA=")</f>
        <v>#REF!</v>
      </c>
      <c r="EP47" t="e">
        <f>AND('5to. Secre.'!#REF!,"AAAAAG/+7ZE=")</f>
        <v>#REF!</v>
      </c>
      <c r="EQ47" t="e">
        <f>AND('5to. Secre.'!#REF!,"AAAAAG/+7ZI=")</f>
        <v>#REF!</v>
      </c>
      <c r="ER47" t="e">
        <f>AND('5to. Secre.'!#REF!,"AAAAAG/+7ZM=")</f>
        <v>#REF!</v>
      </c>
      <c r="ES47" t="e">
        <f>AND('5to. Secre.'!#REF!,"AAAAAG/+7ZQ=")</f>
        <v>#REF!</v>
      </c>
      <c r="ET47" t="e">
        <f>AND('5to. Secre.'!#REF!,"AAAAAG/+7ZU=")</f>
        <v>#REF!</v>
      </c>
      <c r="EU47" t="e">
        <f>IF('5to. Secre.'!#REF!,"AAAAAG/+7ZY=",0)</f>
        <v>#REF!</v>
      </c>
      <c r="EV47" t="e">
        <f>AND('5to. Secre.'!#REF!,"AAAAAG/+7Zc=")</f>
        <v>#REF!</v>
      </c>
      <c r="EW47" t="e">
        <f>AND('5to. Secre.'!#REF!,"AAAAAG/+7Zg=")</f>
        <v>#REF!</v>
      </c>
      <c r="EX47" t="e">
        <f>AND('5to. Secre.'!#REF!,"AAAAAG/+7Zk=")</f>
        <v>#REF!</v>
      </c>
      <c r="EY47" t="e">
        <f>AND('5to. Secre.'!#REF!,"AAAAAG/+7Zo=")</f>
        <v>#REF!</v>
      </c>
      <c r="EZ47" t="e">
        <f>AND('5to. Secre.'!#REF!,"AAAAAG/+7Zs=")</f>
        <v>#REF!</v>
      </c>
      <c r="FA47" t="e">
        <f>AND('5to. Secre.'!#REF!,"AAAAAG/+7Zw=")</f>
        <v>#REF!</v>
      </c>
      <c r="FB47" t="e">
        <f>AND('5to. Secre.'!#REF!,"AAAAAG/+7Z0=")</f>
        <v>#REF!</v>
      </c>
      <c r="FC47" t="e">
        <f>AND('5to. Secre.'!#REF!,"AAAAAG/+7Z4=")</f>
        <v>#REF!</v>
      </c>
      <c r="FD47" t="e">
        <f>AND('5to. Secre.'!#REF!,"AAAAAG/+7Z8=")</f>
        <v>#REF!</v>
      </c>
      <c r="FE47" t="e">
        <f>AND('5to. Secre.'!#REF!,"AAAAAG/+7aA=")</f>
        <v>#REF!</v>
      </c>
      <c r="FF47" t="e">
        <f>AND('5to. Secre.'!#REF!,"AAAAAG/+7aE=")</f>
        <v>#REF!</v>
      </c>
      <c r="FG47" t="e">
        <f>AND('5to. Secre.'!#REF!,"AAAAAG/+7aI=")</f>
        <v>#REF!</v>
      </c>
      <c r="FH47" t="e">
        <f>AND('5to. Secre.'!#REF!,"AAAAAG/+7aM=")</f>
        <v>#REF!</v>
      </c>
      <c r="FI47" t="e">
        <f>AND('5to. Secre.'!#REF!,"AAAAAG/+7aQ=")</f>
        <v>#REF!</v>
      </c>
      <c r="FJ47" t="e">
        <f>AND('5to. Secre.'!#REF!,"AAAAAG/+7aU=")</f>
        <v>#REF!</v>
      </c>
      <c r="FK47" t="e">
        <f>AND('5to. Secre.'!#REF!,"AAAAAG/+7aY=")</f>
        <v>#REF!</v>
      </c>
      <c r="FL47" t="e">
        <f>AND('5to. Secre.'!#REF!,"AAAAAG/+7ac=")</f>
        <v>#REF!</v>
      </c>
      <c r="FM47" t="e">
        <f>AND('5to. Secre.'!#REF!,"AAAAAG/+7ag=")</f>
        <v>#REF!</v>
      </c>
      <c r="FN47" t="e">
        <f>AND('5to. Secre.'!#REF!,"AAAAAG/+7ak=")</f>
        <v>#REF!</v>
      </c>
      <c r="FO47" t="e">
        <f>AND('5to. Secre.'!#REF!,"AAAAAG/+7ao=")</f>
        <v>#REF!</v>
      </c>
      <c r="FP47" t="e">
        <f>AND('5to. Secre.'!#REF!,"AAAAAG/+7as=")</f>
        <v>#REF!</v>
      </c>
      <c r="FQ47" t="e">
        <f>AND('5to. Secre.'!#REF!,"AAAAAG/+7aw=")</f>
        <v>#REF!</v>
      </c>
      <c r="FR47" t="e">
        <f>AND('5to. Secre.'!#REF!,"AAAAAG/+7a0=")</f>
        <v>#REF!</v>
      </c>
      <c r="FS47" t="e">
        <f>AND('5to. Secre.'!#REF!,"AAAAAG/+7a4=")</f>
        <v>#REF!</v>
      </c>
      <c r="FT47" t="e">
        <f>AND('5to. Secre.'!#REF!,"AAAAAG/+7a8=")</f>
        <v>#REF!</v>
      </c>
      <c r="FU47" t="e">
        <f>IF('5to. Secre.'!#REF!,"AAAAAG/+7bA=",0)</f>
        <v>#REF!</v>
      </c>
      <c r="FV47" t="e">
        <f>AND('5to. Secre.'!#REF!,"AAAAAG/+7bE=")</f>
        <v>#REF!</v>
      </c>
      <c r="FW47" t="e">
        <f>AND('5to. Secre.'!#REF!,"AAAAAG/+7bI=")</f>
        <v>#REF!</v>
      </c>
      <c r="FX47" t="e">
        <f>AND('5to. Secre.'!#REF!,"AAAAAG/+7bM=")</f>
        <v>#REF!</v>
      </c>
      <c r="FY47" t="e">
        <f>AND('5to. Secre.'!#REF!,"AAAAAG/+7bQ=")</f>
        <v>#REF!</v>
      </c>
      <c r="FZ47" t="e">
        <f>AND('5to. Secre.'!#REF!,"AAAAAG/+7bU=")</f>
        <v>#REF!</v>
      </c>
      <c r="GA47" t="e">
        <f>AND('5to. Secre.'!#REF!,"AAAAAG/+7bY=")</f>
        <v>#REF!</v>
      </c>
      <c r="GB47" t="e">
        <f>AND('5to. Secre.'!#REF!,"AAAAAG/+7bc=")</f>
        <v>#REF!</v>
      </c>
      <c r="GC47" t="e">
        <f>AND('5to. Secre.'!#REF!,"AAAAAG/+7bg=")</f>
        <v>#REF!</v>
      </c>
      <c r="GD47" t="e">
        <f>AND('5to. Secre.'!#REF!,"AAAAAG/+7bk=")</f>
        <v>#REF!</v>
      </c>
      <c r="GE47" t="e">
        <f>AND('5to. Secre.'!#REF!,"AAAAAG/+7bo=")</f>
        <v>#REF!</v>
      </c>
      <c r="GF47" t="e">
        <f>AND('5to. Secre.'!#REF!,"AAAAAG/+7bs=")</f>
        <v>#REF!</v>
      </c>
      <c r="GG47" t="e">
        <f>AND('5to. Secre.'!#REF!,"AAAAAG/+7bw=")</f>
        <v>#REF!</v>
      </c>
      <c r="GH47" t="e">
        <f>AND('5to. Secre.'!#REF!,"AAAAAG/+7b0=")</f>
        <v>#REF!</v>
      </c>
      <c r="GI47" t="e">
        <f>AND('5to. Secre.'!#REF!,"AAAAAG/+7b4=")</f>
        <v>#REF!</v>
      </c>
      <c r="GJ47" t="e">
        <f>AND('5to. Secre.'!#REF!,"AAAAAG/+7b8=")</f>
        <v>#REF!</v>
      </c>
      <c r="GK47" t="e">
        <f>AND('5to. Secre.'!#REF!,"AAAAAG/+7cA=")</f>
        <v>#REF!</v>
      </c>
      <c r="GL47" t="e">
        <f>AND('5to. Secre.'!#REF!,"AAAAAG/+7cE=")</f>
        <v>#REF!</v>
      </c>
      <c r="GM47" t="e">
        <f>AND('5to. Secre.'!#REF!,"AAAAAG/+7cI=")</f>
        <v>#REF!</v>
      </c>
      <c r="GN47" t="e">
        <f>AND('5to. Secre.'!#REF!,"AAAAAG/+7cM=")</f>
        <v>#REF!</v>
      </c>
      <c r="GO47" t="e">
        <f>AND('5to. Secre.'!#REF!,"AAAAAG/+7cQ=")</f>
        <v>#REF!</v>
      </c>
      <c r="GP47" t="e">
        <f>AND('5to. Secre.'!#REF!,"AAAAAG/+7cU=")</f>
        <v>#REF!</v>
      </c>
      <c r="GQ47" t="e">
        <f>AND('5to. Secre.'!#REF!,"AAAAAG/+7cY=")</f>
        <v>#REF!</v>
      </c>
      <c r="GR47" t="e">
        <f>AND('5to. Secre.'!#REF!,"AAAAAG/+7cc=")</f>
        <v>#REF!</v>
      </c>
      <c r="GS47" t="e">
        <f>AND('5to. Secre.'!#REF!,"AAAAAG/+7cg=")</f>
        <v>#REF!</v>
      </c>
      <c r="GT47" t="e">
        <f>AND('5to. Secre.'!#REF!,"AAAAAG/+7ck=")</f>
        <v>#REF!</v>
      </c>
      <c r="GU47" t="e">
        <f>IF('5to. Secre.'!#REF!,"AAAAAG/+7co=",0)</f>
        <v>#REF!</v>
      </c>
      <c r="GV47" t="e">
        <f>AND('5to. Secre.'!#REF!,"AAAAAG/+7cs=")</f>
        <v>#REF!</v>
      </c>
      <c r="GW47" t="e">
        <f>AND('5to. Secre.'!#REF!,"AAAAAG/+7cw=")</f>
        <v>#REF!</v>
      </c>
      <c r="GX47" t="e">
        <f>AND('5to. Secre.'!#REF!,"AAAAAG/+7c0=")</f>
        <v>#REF!</v>
      </c>
      <c r="GY47" t="e">
        <f>AND('5to. Secre.'!#REF!,"AAAAAG/+7c4=")</f>
        <v>#REF!</v>
      </c>
      <c r="GZ47" t="e">
        <f>AND('5to. Secre.'!#REF!,"AAAAAG/+7c8=")</f>
        <v>#REF!</v>
      </c>
      <c r="HA47" t="e">
        <f>AND('5to. Secre.'!#REF!,"AAAAAG/+7dA=")</f>
        <v>#REF!</v>
      </c>
      <c r="HB47" t="e">
        <f>AND('5to. Secre.'!#REF!,"AAAAAG/+7dE=")</f>
        <v>#REF!</v>
      </c>
      <c r="HC47" t="e">
        <f>AND('5to. Secre.'!#REF!,"AAAAAG/+7dI=")</f>
        <v>#REF!</v>
      </c>
      <c r="HD47" t="e">
        <f>AND('5to. Secre.'!#REF!,"AAAAAG/+7dM=")</f>
        <v>#REF!</v>
      </c>
      <c r="HE47" t="e">
        <f>AND('5to. Secre.'!#REF!,"AAAAAG/+7dQ=")</f>
        <v>#REF!</v>
      </c>
      <c r="HF47" t="e">
        <f>AND('5to. Secre.'!#REF!,"AAAAAG/+7dU=")</f>
        <v>#REF!</v>
      </c>
      <c r="HG47" t="e">
        <f>AND('5to. Secre.'!#REF!,"AAAAAG/+7dY=")</f>
        <v>#REF!</v>
      </c>
      <c r="HH47" t="e">
        <f>AND('5to. Secre.'!#REF!,"AAAAAG/+7dc=")</f>
        <v>#REF!</v>
      </c>
      <c r="HI47" t="e">
        <f>AND('5to. Secre.'!#REF!,"AAAAAG/+7dg=")</f>
        <v>#REF!</v>
      </c>
      <c r="HJ47" t="e">
        <f>AND('5to. Secre.'!#REF!,"AAAAAG/+7dk=")</f>
        <v>#REF!</v>
      </c>
      <c r="HK47" t="e">
        <f>AND('5to. Secre.'!#REF!,"AAAAAG/+7do=")</f>
        <v>#REF!</v>
      </c>
      <c r="HL47" t="e">
        <f>AND('5to. Secre.'!#REF!,"AAAAAG/+7ds=")</f>
        <v>#REF!</v>
      </c>
      <c r="HM47" t="e">
        <f>AND('5to. Secre.'!#REF!,"AAAAAG/+7dw=")</f>
        <v>#REF!</v>
      </c>
      <c r="HN47" t="e">
        <f>AND('5to. Secre.'!#REF!,"AAAAAG/+7d0=")</f>
        <v>#REF!</v>
      </c>
      <c r="HO47" t="e">
        <f>AND('5to. Secre.'!#REF!,"AAAAAG/+7d4=")</f>
        <v>#REF!</v>
      </c>
      <c r="HP47" t="e">
        <f>AND('5to. Secre.'!#REF!,"AAAAAG/+7d8=")</f>
        <v>#REF!</v>
      </c>
      <c r="HQ47" t="e">
        <f>AND('5to. Secre.'!#REF!,"AAAAAG/+7eA=")</f>
        <v>#REF!</v>
      </c>
      <c r="HR47" t="e">
        <f>AND('5to. Secre.'!#REF!,"AAAAAG/+7eE=")</f>
        <v>#REF!</v>
      </c>
      <c r="HS47" t="e">
        <f>AND('5to. Secre.'!#REF!,"AAAAAG/+7eI=")</f>
        <v>#REF!</v>
      </c>
      <c r="HT47" t="e">
        <f>AND('5to. Secre.'!#REF!,"AAAAAG/+7eM=")</f>
        <v>#REF!</v>
      </c>
      <c r="HU47" t="e">
        <f>IF('5to. Secre.'!#REF!,"AAAAAG/+7eQ=",0)</f>
        <v>#REF!</v>
      </c>
      <c r="HV47" t="e">
        <f>AND('5to. Secre.'!#REF!,"AAAAAG/+7eU=")</f>
        <v>#REF!</v>
      </c>
      <c r="HW47" t="e">
        <f>AND('5to. Secre.'!#REF!,"AAAAAG/+7eY=")</f>
        <v>#REF!</v>
      </c>
      <c r="HX47" t="e">
        <f>AND('5to. Secre.'!#REF!,"AAAAAG/+7ec=")</f>
        <v>#REF!</v>
      </c>
      <c r="HY47" t="e">
        <f>AND('5to. Secre.'!#REF!,"AAAAAG/+7eg=")</f>
        <v>#REF!</v>
      </c>
      <c r="HZ47" t="e">
        <f>AND('5to. Secre.'!#REF!,"AAAAAG/+7ek=")</f>
        <v>#REF!</v>
      </c>
      <c r="IA47" t="e">
        <f>AND('5to. Secre.'!#REF!,"AAAAAG/+7eo=")</f>
        <v>#REF!</v>
      </c>
      <c r="IB47" t="e">
        <f>AND('5to. Secre.'!#REF!,"AAAAAG/+7es=")</f>
        <v>#REF!</v>
      </c>
      <c r="IC47" t="e">
        <f>AND('5to. Secre.'!#REF!,"AAAAAG/+7ew=")</f>
        <v>#REF!</v>
      </c>
      <c r="ID47" t="e">
        <f>AND('5to. Secre.'!#REF!,"AAAAAG/+7e0=")</f>
        <v>#REF!</v>
      </c>
      <c r="IE47" t="e">
        <f>AND('5to. Secre.'!#REF!,"AAAAAG/+7e4=")</f>
        <v>#REF!</v>
      </c>
      <c r="IF47" t="e">
        <f>AND('5to. Secre.'!#REF!,"AAAAAG/+7e8=")</f>
        <v>#REF!</v>
      </c>
      <c r="IG47" t="e">
        <f>AND('5to. Secre.'!#REF!,"AAAAAG/+7fA=")</f>
        <v>#REF!</v>
      </c>
      <c r="IH47" t="e">
        <f>AND('5to. Secre.'!#REF!,"AAAAAG/+7fE=")</f>
        <v>#REF!</v>
      </c>
      <c r="II47" t="e">
        <f>AND('5to. Secre.'!#REF!,"AAAAAG/+7fI=")</f>
        <v>#REF!</v>
      </c>
      <c r="IJ47" t="e">
        <f>AND('5to. Secre.'!#REF!,"AAAAAG/+7fM=")</f>
        <v>#REF!</v>
      </c>
      <c r="IK47" t="e">
        <f>AND('5to. Secre.'!#REF!,"AAAAAG/+7fQ=")</f>
        <v>#REF!</v>
      </c>
      <c r="IL47" t="e">
        <f>AND('5to. Secre.'!#REF!,"AAAAAG/+7fU=")</f>
        <v>#REF!</v>
      </c>
      <c r="IM47" t="e">
        <f>AND('5to. Secre.'!#REF!,"AAAAAG/+7fY=")</f>
        <v>#REF!</v>
      </c>
      <c r="IN47" t="e">
        <f>AND('5to. Secre.'!#REF!,"AAAAAG/+7fc=")</f>
        <v>#REF!</v>
      </c>
      <c r="IO47" t="e">
        <f>AND('5to. Secre.'!#REF!,"AAAAAG/+7fg=")</f>
        <v>#REF!</v>
      </c>
      <c r="IP47" t="e">
        <f>AND('5to. Secre.'!#REF!,"AAAAAG/+7fk=")</f>
        <v>#REF!</v>
      </c>
      <c r="IQ47" t="e">
        <f>AND('5to. Secre.'!#REF!,"AAAAAG/+7fo=")</f>
        <v>#REF!</v>
      </c>
      <c r="IR47" t="e">
        <f>AND('5to. Secre.'!#REF!,"AAAAAG/+7fs=")</f>
        <v>#REF!</v>
      </c>
      <c r="IS47" t="e">
        <f>AND('5to. Secre.'!#REF!,"AAAAAG/+7fw=")</f>
        <v>#REF!</v>
      </c>
      <c r="IT47" t="e">
        <f>AND('5to. Secre.'!#REF!,"AAAAAG/+7f0=")</f>
        <v>#REF!</v>
      </c>
      <c r="IU47" t="e">
        <f>IF('5to. Secre.'!#REF!,"AAAAAG/+7f4=",0)</f>
        <v>#REF!</v>
      </c>
      <c r="IV47" t="e">
        <f>AND('5to. Secre.'!#REF!,"AAAAAG/+7f8=")</f>
        <v>#REF!</v>
      </c>
    </row>
    <row r="48" spans="1:256">
      <c r="A48" t="e">
        <f>AND('5to. Secre.'!#REF!,"AAAAAD7//wA=")</f>
        <v>#REF!</v>
      </c>
      <c r="B48" t="e">
        <f>AND('5to. Secre.'!#REF!,"AAAAAD7//wE=")</f>
        <v>#REF!</v>
      </c>
      <c r="C48" t="e">
        <f>AND('5to. Secre.'!#REF!,"AAAAAD7//wI=")</f>
        <v>#REF!</v>
      </c>
      <c r="D48" t="e">
        <f>AND('5to. Secre.'!#REF!,"AAAAAD7//wM=")</f>
        <v>#REF!</v>
      </c>
      <c r="E48" t="e">
        <f>AND('5to. Secre.'!#REF!,"AAAAAD7//wQ=")</f>
        <v>#REF!</v>
      </c>
      <c r="F48" t="e">
        <f>AND('5to. Secre.'!#REF!,"AAAAAD7//wU=")</f>
        <v>#REF!</v>
      </c>
      <c r="G48" t="e">
        <f>AND('5to. Secre.'!#REF!,"AAAAAD7//wY=")</f>
        <v>#REF!</v>
      </c>
      <c r="H48" t="e">
        <f>AND('5to. Secre.'!#REF!,"AAAAAD7//wc=")</f>
        <v>#REF!</v>
      </c>
      <c r="I48" t="e">
        <f>AND('5to. Secre.'!#REF!,"AAAAAD7//wg=")</f>
        <v>#REF!</v>
      </c>
      <c r="J48" t="e">
        <f>AND('5to. Secre.'!#REF!,"AAAAAD7//wk=")</f>
        <v>#REF!</v>
      </c>
      <c r="K48" t="e">
        <f>AND('5to. Secre.'!#REF!,"AAAAAD7//wo=")</f>
        <v>#REF!</v>
      </c>
      <c r="L48" t="e">
        <f>AND('5to. Secre.'!#REF!,"AAAAAD7//ws=")</f>
        <v>#REF!</v>
      </c>
      <c r="M48" t="e">
        <f>AND('5to. Secre.'!#REF!,"AAAAAD7//ww=")</f>
        <v>#REF!</v>
      </c>
      <c r="N48" t="e">
        <f>AND('5to. Secre.'!#REF!,"AAAAAD7//w0=")</f>
        <v>#REF!</v>
      </c>
      <c r="O48" t="e">
        <f>AND('5to. Secre.'!#REF!,"AAAAAD7//w4=")</f>
        <v>#REF!</v>
      </c>
      <c r="P48" t="e">
        <f>AND('5to. Secre.'!#REF!,"AAAAAD7//w8=")</f>
        <v>#REF!</v>
      </c>
      <c r="Q48" t="e">
        <f>AND('5to. Secre.'!#REF!,"AAAAAD7//xA=")</f>
        <v>#REF!</v>
      </c>
      <c r="R48" t="e">
        <f>AND('5to. Secre.'!#REF!,"AAAAAD7//xE=")</f>
        <v>#REF!</v>
      </c>
      <c r="S48" t="e">
        <f>AND('5to. Secre.'!#REF!,"AAAAAD7//xI=")</f>
        <v>#REF!</v>
      </c>
      <c r="T48" t="e">
        <f>AND('5to. Secre.'!#REF!,"AAAAAD7//xM=")</f>
        <v>#REF!</v>
      </c>
      <c r="U48" t="e">
        <f>AND('5to. Secre.'!#REF!,"AAAAAD7//xQ=")</f>
        <v>#REF!</v>
      </c>
      <c r="V48" t="e">
        <f>AND('5to. Secre.'!#REF!,"AAAAAD7//xU=")</f>
        <v>#REF!</v>
      </c>
      <c r="W48" t="e">
        <f>AND('5to. Secre.'!#REF!,"AAAAAD7//xY=")</f>
        <v>#REF!</v>
      </c>
      <c r="X48" t="e">
        <f>AND('5to. Secre.'!#REF!,"AAAAAD7//xc=")</f>
        <v>#REF!</v>
      </c>
      <c r="Y48" t="e">
        <f>IF('5to. Secre.'!#REF!,"AAAAAD7//xg=",0)</f>
        <v>#REF!</v>
      </c>
      <c r="Z48" t="e">
        <f>AND('5to. Secre.'!#REF!,"AAAAAD7//xk=")</f>
        <v>#REF!</v>
      </c>
      <c r="AA48" t="e">
        <f>AND('5to. Secre.'!#REF!,"AAAAAD7//xo=")</f>
        <v>#REF!</v>
      </c>
      <c r="AB48" t="e">
        <f>AND('5to. Secre.'!#REF!,"AAAAAD7//xs=")</f>
        <v>#REF!</v>
      </c>
      <c r="AC48" t="e">
        <f>AND('5to. Secre.'!#REF!,"AAAAAD7//xw=")</f>
        <v>#REF!</v>
      </c>
      <c r="AD48" t="e">
        <f>AND('5to. Secre.'!#REF!,"AAAAAD7//x0=")</f>
        <v>#REF!</v>
      </c>
      <c r="AE48" t="e">
        <f>AND('5to. Secre.'!#REF!,"AAAAAD7//x4=")</f>
        <v>#REF!</v>
      </c>
      <c r="AF48" t="e">
        <f>AND('5to. Secre.'!#REF!,"AAAAAD7//x8=")</f>
        <v>#REF!</v>
      </c>
      <c r="AG48" t="e">
        <f>AND('5to. Secre.'!#REF!,"AAAAAD7//yA=")</f>
        <v>#REF!</v>
      </c>
      <c r="AH48" t="e">
        <f>AND('5to. Secre.'!#REF!,"AAAAAD7//yE=")</f>
        <v>#REF!</v>
      </c>
      <c r="AI48" t="e">
        <f>AND('5to. Secre.'!#REF!,"AAAAAD7//yI=")</f>
        <v>#REF!</v>
      </c>
      <c r="AJ48" t="e">
        <f>AND('5to. Secre.'!#REF!,"AAAAAD7//yM=")</f>
        <v>#REF!</v>
      </c>
      <c r="AK48" t="e">
        <f>AND('5to. Secre.'!#REF!,"AAAAAD7//yQ=")</f>
        <v>#REF!</v>
      </c>
      <c r="AL48" t="e">
        <f>AND('5to. Secre.'!#REF!,"AAAAAD7//yU=")</f>
        <v>#REF!</v>
      </c>
      <c r="AM48" t="e">
        <f>AND('5to. Secre.'!#REF!,"AAAAAD7//yY=")</f>
        <v>#REF!</v>
      </c>
      <c r="AN48" t="e">
        <f>AND('5to. Secre.'!#REF!,"AAAAAD7//yc=")</f>
        <v>#REF!</v>
      </c>
      <c r="AO48" t="e">
        <f>AND('5to. Secre.'!#REF!,"AAAAAD7//yg=")</f>
        <v>#REF!</v>
      </c>
      <c r="AP48" t="e">
        <f>AND('5to. Secre.'!#REF!,"AAAAAD7//yk=")</f>
        <v>#REF!</v>
      </c>
      <c r="AQ48" t="e">
        <f>AND('5to. Secre.'!#REF!,"AAAAAD7//yo=")</f>
        <v>#REF!</v>
      </c>
      <c r="AR48" t="e">
        <f>AND('5to. Secre.'!#REF!,"AAAAAD7//ys=")</f>
        <v>#REF!</v>
      </c>
      <c r="AS48" t="e">
        <f>AND('5to. Secre.'!#REF!,"AAAAAD7//yw=")</f>
        <v>#REF!</v>
      </c>
      <c r="AT48" t="e">
        <f>AND('5to. Secre.'!#REF!,"AAAAAD7//y0=")</f>
        <v>#REF!</v>
      </c>
      <c r="AU48" t="e">
        <f>AND('5to. Secre.'!#REF!,"AAAAAD7//y4=")</f>
        <v>#REF!</v>
      </c>
      <c r="AV48" t="e">
        <f>AND('5to. Secre.'!#REF!,"AAAAAD7//y8=")</f>
        <v>#REF!</v>
      </c>
      <c r="AW48" t="e">
        <f>AND('5to. Secre.'!#REF!,"AAAAAD7//zA=")</f>
        <v>#REF!</v>
      </c>
      <c r="AX48" t="e">
        <f>AND('5to. Secre.'!#REF!,"AAAAAD7//zE=")</f>
        <v>#REF!</v>
      </c>
      <c r="AY48" t="e">
        <f>IF('5to. Secre.'!#REF!,"AAAAAD7//zI=",0)</f>
        <v>#REF!</v>
      </c>
      <c r="AZ48" t="e">
        <f>AND('5to. Secre.'!#REF!,"AAAAAD7//zM=")</f>
        <v>#REF!</v>
      </c>
      <c r="BA48" t="e">
        <f>AND('5to. Secre.'!#REF!,"AAAAAD7//zQ=")</f>
        <v>#REF!</v>
      </c>
      <c r="BB48" t="e">
        <f>AND('5to. Secre.'!#REF!,"AAAAAD7//zU=")</f>
        <v>#REF!</v>
      </c>
      <c r="BC48" t="e">
        <f>AND('5to. Secre.'!#REF!,"AAAAAD7//zY=")</f>
        <v>#REF!</v>
      </c>
      <c r="BD48" t="e">
        <f>AND('5to. Secre.'!#REF!,"AAAAAD7//zc=")</f>
        <v>#REF!</v>
      </c>
      <c r="BE48" t="e">
        <f>AND('5to. Secre.'!#REF!,"AAAAAD7//zg=")</f>
        <v>#REF!</v>
      </c>
      <c r="BF48" t="e">
        <f>AND('5to. Secre.'!#REF!,"AAAAAD7//zk=")</f>
        <v>#REF!</v>
      </c>
      <c r="BG48" t="e">
        <f>AND('5to. Secre.'!#REF!,"AAAAAD7//zo=")</f>
        <v>#REF!</v>
      </c>
      <c r="BH48" t="e">
        <f>AND('5to. Secre.'!#REF!,"AAAAAD7//zs=")</f>
        <v>#REF!</v>
      </c>
      <c r="BI48" t="e">
        <f>AND('5to. Secre.'!#REF!,"AAAAAD7//zw=")</f>
        <v>#REF!</v>
      </c>
      <c r="BJ48" t="e">
        <f>AND('5to. Secre.'!#REF!,"AAAAAD7//z0=")</f>
        <v>#REF!</v>
      </c>
      <c r="BK48" t="e">
        <f>AND('5to. Secre.'!#REF!,"AAAAAD7//z4=")</f>
        <v>#REF!</v>
      </c>
      <c r="BL48" t="e">
        <f>AND('5to. Secre.'!#REF!,"AAAAAD7//z8=")</f>
        <v>#REF!</v>
      </c>
      <c r="BM48" t="e">
        <f>AND('5to. Secre.'!#REF!,"AAAAAD7//0A=")</f>
        <v>#REF!</v>
      </c>
      <c r="BN48" t="e">
        <f>AND('5to. Secre.'!#REF!,"AAAAAD7//0E=")</f>
        <v>#REF!</v>
      </c>
      <c r="BO48" t="e">
        <f>AND('5to. Secre.'!#REF!,"AAAAAD7//0I=")</f>
        <v>#REF!</v>
      </c>
      <c r="BP48" t="e">
        <f>AND('5to. Secre.'!#REF!,"AAAAAD7//0M=")</f>
        <v>#REF!</v>
      </c>
      <c r="BQ48" t="e">
        <f>AND('5to. Secre.'!#REF!,"AAAAAD7//0Q=")</f>
        <v>#REF!</v>
      </c>
      <c r="BR48" t="e">
        <f>AND('5to. Secre.'!#REF!,"AAAAAD7//0U=")</f>
        <v>#REF!</v>
      </c>
      <c r="BS48" t="e">
        <f>AND('5to. Secre.'!#REF!,"AAAAAD7//0Y=")</f>
        <v>#REF!</v>
      </c>
      <c r="BT48" t="e">
        <f>AND('5to. Secre.'!#REF!,"AAAAAD7//0c=")</f>
        <v>#REF!</v>
      </c>
      <c r="BU48" t="e">
        <f>AND('5to. Secre.'!#REF!,"AAAAAD7//0g=")</f>
        <v>#REF!</v>
      </c>
      <c r="BV48" t="e">
        <f>AND('5to. Secre.'!#REF!,"AAAAAD7//0k=")</f>
        <v>#REF!</v>
      </c>
      <c r="BW48" t="e">
        <f>AND('5to. Secre.'!#REF!,"AAAAAD7//0o=")</f>
        <v>#REF!</v>
      </c>
      <c r="BX48" t="e">
        <f>AND('5to. Secre.'!#REF!,"AAAAAD7//0s=")</f>
        <v>#REF!</v>
      </c>
      <c r="BY48" t="e">
        <f>IF('5to. Secre.'!#REF!,"AAAAAD7//0w=",0)</f>
        <v>#REF!</v>
      </c>
      <c r="BZ48" t="e">
        <f>AND('5to. Secre.'!#REF!,"AAAAAD7//00=")</f>
        <v>#REF!</v>
      </c>
      <c r="CA48" t="e">
        <f>AND('5to. Secre.'!#REF!,"AAAAAD7//04=")</f>
        <v>#REF!</v>
      </c>
      <c r="CB48" t="e">
        <f>AND('5to. Secre.'!#REF!,"AAAAAD7//08=")</f>
        <v>#REF!</v>
      </c>
      <c r="CC48" t="e">
        <f>AND('5to. Secre.'!#REF!,"AAAAAD7//1A=")</f>
        <v>#REF!</v>
      </c>
      <c r="CD48" t="e">
        <f>AND('5to. Secre.'!#REF!,"AAAAAD7//1E=")</f>
        <v>#REF!</v>
      </c>
      <c r="CE48" t="e">
        <f>AND('5to. Secre.'!#REF!,"AAAAAD7//1I=")</f>
        <v>#REF!</v>
      </c>
      <c r="CF48" t="e">
        <f>AND('5to. Secre.'!#REF!,"AAAAAD7//1M=")</f>
        <v>#REF!</v>
      </c>
      <c r="CG48" t="e">
        <f>AND('5to. Secre.'!#REF!,"AAAAAD7//1Q=")</f>
        <v>#REF!</v>
      </c>
      <c r="CH48" t="e">
        <f>AND('5to. Secre.'!#REF!,"AAAAAD7//1U=")</f>
        <v>#REF!</v>
      </c>
      <c r="CI48" t="e">
        <f>AND('5to. Secre.'!#REF!,"AAAAAD7//1Y=")</f>
        <v>#REF!</v>
      </c>
      <c r="CJ48" t="e">
        <f>AND('5to. Secre.'!#REF!,"AAAAAD7//1c=")</f>
        <v>#REF!</v>
      </c>
      <c r="CK48" t="e">
        <f>AND('5to. Secre.'!#REF!,"AAAAAD7//1g=")</f>
        <v>#REF!</v>
      </c>
      <c r="CL48" t="e">
        <f>AND('5to. Secre.'!#REF!,"AAAAAD7//1k=")</f>
        <v>#REF!</v>
      </c>
      <c r="CM48" t="e">
        <f>AND('5to. Secre.'!#REF!,"AAAAAD7//1o=")</f>
        <v>#REF!</v>
      </c>
      <c r="CN48" t="e">
        <f>AND('5to. Secre.'!#REF!,"AAAAAD7//1s=")</f>
        <v>#REF!</v>
      </c>
      <c r="CO48" t="e">
        <f>AND('5to. Secre.'!#REF!,"AAAAAD7//1w=")</f>
        <v>#REF!</v>
      </c>
      <c r="CP48" t="e">
        <f>AND('5to. Secre.'!#REF!,"AAAAAD7//10=")</f>
        <v>#REF!</v>
      </c>
      <c r="CQ48" t="e">
        <f>AND('5to. Secre.'!#REF!,"AAAAAD7//14=")</f>
        <v>#REF!</v>
      </c>
      <c r="CR48" t="e">
        <f>AND('5to. Secre.'!#REF!,"AAAAAD7//18=")</f>
        <v>#REF!</v>
      </c>
      <c r="CS48" t="e">
        <f>AND('5to. Secre.'!#REF!,"AAAAAD7//2A=")</f>
        <v>#REF!</v>
      </c>
      <c r="CT48" t="e">
        <f>AND('5to. Secre.'!#REF!,"AAAAAD7//2E=")</f>
        <v>#REF!</v>
      </c>
      <c r="CU48" t="e">
        <f>AND('5to. Secre.'!#REF!,"AAAAAD7//2I=")</f>
        <v>#REF!</v>
      </c>
      <c r="CV48" t="e">
        <f>AND('5to. Secre.'!#REF!,"AAAAAD7//2M=")</f>
        <v>#REF!</v>
      </c>
      <c r="CW48" t="e">
        <f>AND('5to. Secre.'!#REF!,"AAAAAD7//2Q=")</f>
        <v>#REF!</v>
      </c>
      <c r="CX48" t="e">
        <f>AND('5to. Secre.'!#REF!,"AAAAAD7//2U=")</f>
        <v>#REF!</v>
      </c>
      <c r="CY48" t="e">
        <f>IF('5to. Secre.'!#REF!,"AAAAAD7//2Y=",0)</f>
        <v>#REF!</v>
      </c>
      <c r="CZ48" t="e">
        <f>AND('5to. Secre.'!#REF!,"AAAAAD7//2c=")</f>
        <v>#REF!</v>
      </c>
      <c r="DA48" t="e">
        <f>AND('5to. Secre.'!#REF!,"AAAAAD7//2g=")</f>
        <v>#REF!</v>
      </c>
      <c r="DB48" t="e">
        <f>AND('5to. Secre.'!#REF!,"AAAAAD7//2k=")</f>
        <v>#REF!</v>
      </c>
      <c r="DC48" t="e">
        <f>AND('5to. Secre.'!#REF!,"AAAAAD7//2o=")</f>
        <v>#REF!</v>
      </c>
      <c r="DD48" t="e">
        <f>AND('5to. Secre.'!#REF!,"AAAAAD7//2s=")</f>
        <v>#REF!</v>
      </c>
      <c r="DE48" t="e">
        <f>AND('5to. Secre.'!#REF!,"AAAAAD7//2w=")</f>
        <v>#REF!</v>
      </c>
      <c r="DF48" t="e">
        <f>AND('5to. Secre.'!#REF!,"AAAAAD7//20=")</f>
        <v>#REF!</v>
      </c>
      <c r="DG48" t="e">
        <f>AND('5to. Secre.'!#REF!,"AAAAAD7//24=")</f>
        <v>#REF!</v>
      </c>
      <c r="DH48" t="e">
        <f>AND('5to. Secre.'!#REF!,"AAAAAD7//28=")</f>
        <v>#REF!</v>
      </c>
      <c r="DI48" t="e">
        <f>AND('5to. Secre.'!#REF!,"AAAAAD7//3A=")</f>
        <v>#REF!</v>
      </c>
      <c r="DJ48" t="e">
        <f>AND('5to. Secre.'!#REF!,"AAAAAD7//3E=")</f>
        <v>#REF!</v>
      </c>
      <c r="DK48" t="e">
        <f>AND('5to. Secre.'!#REF!,"AAAAAD7//3I=")</f>
        <v>#REF!</v>
      </c>
      <c r="DL48" t="e">
        <f>AND('5to. Secre.'!#REF!,"AAAAAD7//3M=")</f>
        <v>#REF!</v>
      </c>
      <c r="DM48" t="e">
        <f>AND('5to. Secre.'!#REF!,"AAAAAD7//3Q=")</f>
        <v>#REF!</v>
      </c>
      <c r="DN48" t="e">
        <f>AND('5to. Secre.'!#REF!,"AAAAAD7//3U=")</f>
        <v>#REF!</v>
      </c>
      <c r="DO48" t="e">
        <f>AND('5to. Secre.'!#REF!,"AAAAAD7//3Y=")</f>
        <v>#REF!</v>
      </c>
      <c r="DP48" t="e">
        <f>AND('5to. Secre.'!#REF!,"AAAAAD7//3c=")</f>
        <v>#REF!</v>
      </c>
      <c r="DQ48" t="e">
        <f>AND('5to. Secre.'!#REF!,"AAAAAD7//3g=")</f>
        <v>#REF!</v>
      </c>
      <c r="DR48" t="e">
        <f>AND('5to. Secre.'!#REF!,"AAAAAD7//3k=")</f>
        <v>#REF!</v>
      </c>
      <c r="DS48" t="e">
        <f>AND('5to. Secre.'!#REF!,"AAAAAD7//3o=")</f>
        <v>#REF!</v>
      </c>
      <c r="DT48" t="e">
        <f>AND('5to. Secre.'!#REF!,"AAAAAD7//3s=")</f>
        <v>#REF!</v>
      </c>
      <c r="DU48" t="e">
        <f>AND('5to. Secre.'!#REF!,"AAAAAD7//3w=")</f>
        <v>#REF!</v>
      </c>
      <c r="DV48" t="e">
        <f>AND('5to. Secre.'!#REF!,"AAAAAD7//30=")</f>
        <v>#REF!</v>
      </c>
      <c r="DW48" t="e">
        <f>AND('5to. Secre.'!#REF!,"AAAAAD7//34=")</f>
        <v>#REF!</v>
      </c>
      <c r="DX48" t="e">
        <f>AND('5to. Secre.'!#REF!,"AAAAAD7//38=")</f>
        <v>#REF!</v>
      </c>
      <c r="DY48" t="e">
        <f>IF('5to. Secre.'!#REF!,"AAAAAD7//4A=",0)</f>
        <v>#REF!</v>
      </c>
      <c r="DZ48" t="e">
        <f>AND('5to. Secre.'!#REF!,"AAAAAD7//4E=")</f>
        <v>#REF!</v>
      </c>
      <c r="EA48" t="e">
        <f>AND('5to. Secre.'!#REF!,"AAAAAD7//4I=")</f>
        <v>#REF!</v>
      </c>
      <c r="EB48" t="e">
        <f>AND('5to. Secre.'!#REF!,"AAAAAD7//4M=")</f>
        <v>#REF!</v>
      </c>
      <c r="EC48" t="e">
        <f>AND('5to. Secre.'!#REF!,"AAAAAD7//4Q=")</f>
        <v>#REF!</v>
      </c>
      <c r="ED48" t="e">
        <f>AND('5to. Secre.'!#REF!,"AAAAAD7//4U=")</f>
        <v>#REF!</v>
      </c>
      <c r="EE48" t="e">
        <f>AND('5to. Secre.'!#REF!,"AAAAAD7//4Y=")</f>
        <v>#REF!</v>
      </c>
      <c r="EF48" t="e">
        <f>AND('5to. Secre.'!#REF!,"AAAAAD7//4c=")</f>
        <v>#REF!</v>
      </c>
      <c r="EG48" t="e">
        <f>AND('5to. Secre.'!#REF!,"AAAAAD7//4g=")</f>
        <v>#REF!</v>
      </c>
      <c r="EH48" t="e">
        <f>AND('5to. Secre.'!#REF!,"AAAAAD7//4k=")</f>
        <v>#REF!</v>
      </c>
      <c r="EI48" t="e">
        <f>AND('5to. Secre.'!#REF!,"AAAAAD7//4o=")</f>
        <v>#REF!</v>
      </c>
      <c r="EJ48" t="e">
        <f>AND('5to. Secre.'!#REF!,"AAAAAD7//4s=")</f>
        <v>#REF!</v>
      </c>
      <c r="EK48" t="e">
        <f>AND('5to. Secre.'!#REF!,"AAAAAD7//4w=")</f>
        <v>#REF!</v>
      </c>
      <c r="EL48" t="e">
        <f>AND('5to. Secre.'!#REF!,"AAAAAD7//40=")</f>
        <v>#REF!</v>
      </c>
      <c r="EM48" t="e">
        <f>AND('5to. Secre.'!#REF!,"AAAAAD7//44=")</f>
        <v>#REF!</v>
      </c>
      <c r="EN48" t="e">
        <f>AND('5to. Secre.'!#REF!,"AAAAAD7//48=")</f>
        <v>#REF!</v>
      </c>
      <c r="EO48" t="e">
        <f>AND('5to. Secre.'!#REF!,"AAAAAD7//5A=")</f>
        <v>#REF!</v>
      </c>
      <c r="EP48" t="e">
        <f>AND('5to. Secre.'!#REF!,"AAAAAD7//5E=")</f>
        <v>#REF!</v>
      </c>
      <c r="EQ48" t="e">
        <f>AND('5to. Secre.'!#REF!,"AAAAAD7//5I=")</f>
        <v>#REF!</v>
      </c>
      <c r="ER48" t="e">
        <f>AND('5to. Secre.'!#REF!,"AAAAAD7//5M=")</f>
        <v>#REF!</v>
      </c>
      <c r="ES48" t="e">
        <f>AND('5to. Secre.'!#REF!,"AAAAAD7//5Q=")</f>
        <v>#REF!</v>
      </c>
      <c r="ET48" t="e">
        <f>AND('5to. Secre.'!#REF!,"AAAAAD7//5U=")</f>
        <v>#REF!</v>
      </c>
      <c r="EU48" t="e">
        <f>AND('5to. Secre.'!#REF!,"AAAAAD7//5Y=")</f>
        <v>#REF!</v>
      </c>
      <c r="EV48" t="e">
        <f>AND('5to. Secre.'!#REF!,"AAAAAD7//5c=")</f>
        <v>#REF!</v>
      </c>
      <c r="EW48" t="e">
        <f>AND('5to. Secre.'!#REF!,"AAAAAD7//5g=")</f>
        <v>#REF!</v>
      </c>
      <c r="EX48" t="e">
        <f>AND('5to. Secre.'!#REF!,"AAAAAD7//5k=")</f>
        <v>#REF!</v>
      </c>
      <c r="EY48">
        <f>IF('5to. Secre.'!A:A,"AAAAAD7//5o=",0)</f>
        <v>0</v>
      </c>
      <c r="EZ48">
        <f>IF('5to. Secre.'!B:B,"AAAAAD7//5s=",0)</f>
        <v>0</v>
      </c>
      <c r="FA48">
        <f>IF('5to. Secre.'!C:C,"AAAAAD7//5w=",0)</f>
        <v>0</v>
      </c>
      <c r="FB48">
        <f>IF('5to. Secre.'!D:D,"AAAAAD7//50=",0)</f>
        <v>0</v>
      </c>
      <c r="FC48">
        <f>IF('5to. Secre.'!E:E,"AAAAAD7//54=",0)</f>
        <v>0</v>
      </c>
      <c r="FD48">
        <f>IF('5to. Secre.'!F:F,"AAAAAD7//58=",0)</f>
        <v>0</v>
      </c>
      <c r="FE48">
        <f>IF('5to. Secre.'!G:G,"AAAAAD7//6A=",0)</f>
        <v>0</v>
      </c>
      <c r="FF48">
        <f>IF('5to. Secre.'!H:H,"AAAAAD7//6E=",0)</f>
        <v>0</v>
      </c>
      <c r="FG48">
        <f>IF('5to. Secre.'!I:I,"AAAAAD7//6I=",0)</f>
        <v>0</v>
      </c>
      <c r="FH48">
        <f>IF('5to. Secre.'!J:J,"AAAAAD7//6M=",0)</f>
        <v>0</v>
      </c>
      <c r="FI48">
        <f>IF('5to. Secre.'!K:K,"AAAAAD7//6Q=",0)</f>
        <v>0</v>
      </c>
      <c r="FJ48">
        <f>IF('5to. Secre.'!L:L,"AAAAAD7//6U=",0)</f>
        <v>0</v>
      </c>
      <c r="FK48">
        <f>IF('5to. Secre.'!M:M,"AAAAAD7//6Y=",0)</f>
        <v>0</v>
      </c>
      <c r="FL48">
        <f>IF('5to. Secre.'!N:N,"AAAAAD7//6c=",0)</f>
        <v>0</v>
      </c>
      <c r="FM48">
        <f>IF('5to. Secre.'!O:O,"AAAAAD7//6g=",0)</f>
        <v>0</v>
      </c>
      <c r="FN48">
        <f>IF('5to. Secre.'!P:P,"AAAAAD7//6k=",0)</f>
        <v>0</v>
      </c>
      <c r="FO48">
        <f>IF('5to. Secre.'!Q:Q,"AAAAAD7//6o=",0)</f>
        <v>0</v>
      </c>
      <c r="FP48">
        <f>IF('5to. Secre.'!R:R,"AAAAAD7//6s=",0)</f>
        <v>0</v>
      </c>
      <c r="FQ48">
        <f>IF('5to. Secre.'!S:S,"AAAAAD7//6w=",0)</f>
        <v>0</v>
      </c>
      <c r="FR48">
        <f>IF('5to. Secre.'!T:T,"AAAAAD7//60=",0)</f>
        <v>0</v>
      </c>
      <c r="FS48" t="e">
        <f>IF('5to. Secre.'!#REF!,"AAAAAD7//64=",0)</f>
        <v>#REF!</v>
      </c>
      <c r="FT48" t="e">
        <f>IF('5to. Secre.'!#REF!,"AAAAAD7//68=",0)</f>
        <v>#REF!</v>
      </c>
      <c r="FU48" t="e">
        <f>IF('5to. Secre.'!#REF!,"AAAAAD7//7A=",0)</f>
        <v>#REF!</v>
      </c>
      <c r="FV48" t="e">
        <f>IF('5to. Secre.'!#REF!,"AAAAAD7//7E=",0)</f>
        <v>#REF!</v>
      </c>
      <c r="FW48" t="e">
        <f>IF('5to. Secre.'!#REF!,"AAAAAD7//7I=",0)</f>
        <v>#REF!</v>
      </c>
      <c r="FX48" t="e">
        <f>IF('5to. Bach_B'!#REF!,"AAAAAD7//7M=",0)</f>
        <v>#REF!</v>
      </c>
      <c r="FY48" t="e">
        <f>AND('5to. Bach_B'!#REF!,"AAAAAD7//7Q=")</f>
        <v>#REF!</v>
      </c>
      <c r="FZ48" t="e">
        <f>AND('5to. Bach_B'!#REF!,"AAAAAD7//7U=")</f>
        <v>#REF!</v>
      </c>
      <c r="GA48" t="e">
        <f>AND('5to. Bach_B'!#REF!,"AAAAAD7//7Y=")</f>
        <v>#REF!</v>
      </c>
      <c r="GB48" t="e">
        <f>AND('5to. Bach_B'!#REF!,"AAAAAD7//7c=")</f>
        <v>#REF!</v>
      </c>
      <c r="GC48" t="e">
        <f>AND('5to. Bach_B'!#REF!,"AAAAAD7//7g=")</f>
        <v>#REF!</v>
      </c>
      <c r="GD48" t="e">
        <f>AND('5to. Bach_B'!#REF!,"AAAAAD7//7k=")</f>
        <v>#REF!</v>
      </c>
      <c r="GE48" t="e">
        <f>AND('5to. Bach_B'!#REF!,"AAAAAD7//7o=")</f>
        <v>#REF!</v>
      </c>
      <c r="GF48" t="e">
        <f>AND('5to. Bach_B'!#REF!,"AAAAAD7//7s=")</f>
        <v>#REF!</v>
      </c>
      <c r="GG48" t="e">
        <f>AND('5to. Bach_B'!#REF!,"AAAAAD7//7w=")</f>
        <v>#REF!</v>
      </c>
      <c r="GH48" t="e">
        <f>AND('5to. Bach_B'!#REF!,"AAAAAD7//70=")</f>
        <v>#REF!</v>
      </c>
      <c r="GI48" t="e">
        <f>AND('5to. Bach_B'!#REF!,"AAAAAD7//74=")</f>
        <v>#REF!</v>
      </c>
      <c r="GJ48" t="e">
        <f>AND('5to. Bach_B'!#REF!,"AAAAAD7//78=")</f>
        <v>#REF!</v>
      </c>
      <c r="GK48" t="e">
        <f>AND('5to. Bach_B'!#REF!,"AAAAAD7//8A=")</f>
        <v>#REF!</v>
      </c>
      <c r="GL48" t="e">
        <f>AND('5to. Bach_B'!#REF!,"AAAAAD7//8E=")</f>
        <v>#REF!</v>
      </c>
      <c r="GM48" t="e">
        <f>AND('5to. Bach_B'!#REF!,"AAAAAD7//8I=")</f>
        <v>#REF!</v>
      </c>
      <c r="GN48" t="e">
        <f>AND('5to. Bach_B'!#REF!,"AAAAAD7//8M=")</f>
        <v>#REF!</v>
      </c>
      <c r="GO48" t="e">
        <f>AND('5to. Bach_B'!#REF!,"AAAAAD7//8Q=")</f>
        <v>#REF!</v>
      </c>
      <c r="GP48" t="e">
        <f>AND('5to. Bach_B'!#REF!,"AAAAAD7//8U=")</f>
        <v>#REF!</v>
      </c>
      <c r="GQ48" t="e">
        <f>AND('5to. Bach_B'!#REF!,"AAAAAD7//8Y=")</f>
        <v>#REF!</v>
      </c>
      <c r="GR48" t="e">
        <f>AND('5to. Bach_B'!#REF!,"AAAAAD7//8c=")</f>
        <v>#REF!</v>
      </c>
      <c r="GS48" t="e">
        <f>AND('5to. Bach_B'!#REF!,"AAAAAD7//8g=")</f>
        <v>#REF!</v>
      </c>
      <c r="GT48" t="e">
        <f>AND('5to. Bach_B'!#REF!,"AAAAAD7//8k=")</f>
        <v>#REF!</v>
      </c>
      <c r="GU48" t="e">
        <f>AND('5to. Bach_B'!#REF!,"AAAAAD7//8o=")</f>
        <v>#REF!</v>
      </c>
      <c r="GV48" t="e">
        <f>AND('5to. Bach_B'!#REF!,"AAAAAD7//8s=")</f>
        <v>#REF!</v>
      </c>
      <c r="GW48" t="e">
        <f>AND('5to. Bach_B'!#REF!,"AAAAAD7//8w=")</f>
        <v>#REF!</v>
      </c>
      <c r="GX48" t="e">
        <f>IF('5to. Bach_B'!#REF!,"AAAAAD7//80=",0)</f>
        <v>#REF!</v>
      </c>
      <c r="GY48" t="e">
        <f>AND('5to. Bach_B'!#REF!,"AAAAAD7//84=")</f>
        <v>#REF!</v>
      </c>
      <c r="GZ48" t="e">
        <f>AND('5to. Bach_B'!#REF!,"AAAAAD7//88=")</f>
        <v>#REF!</v>
      </c>
      <c r="HA48" t="e">
        <f>AND('5to. Bach_B'!#REF!,"AAAAAD7//9A=")</f>
        <v>#REF!</v>
      </c>
      <c r="HB48" t="e">
        <f>AND('5to. Bach_B'!#REF!,"AAAAAD7//9E=")</f>
        <v>#REF!</v>
      </c>
      <c r="HC48" t="e">
        <f>AND('5to. Bach_B'!#REF!,"AAAAAD7//9I=")</f>
        <v>#REF!</v>
      </c>
      <c r="HD48" t="e">
        <f>AND('5to. Bach_B'!#REF!,"AAAAAD7//9M=")</f>
        <v>#REF!</v>
      </c>
      <c r="HE48" t="e">
        <f>AND('5to. Bach_B'!#REF!,"AAAAAD7//9Q=")</f>
        <v>#REF!</v>
      </c>
      <c r="HF48" t="e">
        <f>AND('5to. Bach_B'!#REF!,"AAAAAD7//9U=")</f>
        <v>#REF!</v>
      </c>
      <c r="HG48" t="e">
        <f>AND('5to. Bach_B'!#REF!,"AAAAAD7//9Y=")</f>
        <v>#REF!</v>
      </c>
      <c r="HH48" t="e">
        <f>AND('5to. Bach_B'!#REF!,"AAAAAD7//9c=")</f>
        <v>#REF!</v>
      </c>
      <c r="HI48" t="e">
        <f>AND('5to. Bach_B'!#REF!,"AAAAAD7//9g=")</f>
        <v>#REF!</v>
      </c>
      <c r="HJ48" t="e">
        <f>AND('5to. Bach_B'!#REF!,"AAAAAD7//9k=")</f>
        <v>#REF!</v>
      </c>
      <c r="HK48" t="e">
        <f>AND('5to. Bach_B'!#REF!,"AAAAAD7//9o=")</f>
        <v>#REF!</v>
      </c>
      <c r="HL48" t="e">
        <f>AND('5to. Bach_B'!#REF!,"AAAAAD7//9s=")</f>
        <v>#REF!</v>
      </c>
      <c r="HM48" t="e">
        <f>AND('5to. Bach_B'!#REF!,"AAAAAD7//9w=")</f>
        <v>#REF!</v>
      </c>
      <c r="HN48" t="e">
        <f>AND('5to. Bach_B'!#REF!,"AAAAAD7//90=")</f>
        <v>#REF!</v>
      </c>
      <c r="HO48" t="e">
        <f>AND('5to. Bach_B'!#REF!,"AAAAAD7//94=")</f>
        <v>#REF!</v>
      </c>
      <c r="HP48" t="e">
        <f>AND('5to. Bach_B'!#REF!,"AAAAAD7//98=")</f>
        <v>#REF!</v>
      </c>
      <c r="HQ48" t="e">
        <f>AND('5to. Bach_B'!#REF!,"AAAAAD7//+A=")</f>
        <v>#REF!</v>
      </c>
      <c r="HR48" t="e">
        <f>AND('5to. Bach_B'!#REF!,"AAAAAD7//+E=")</f>
        <v>#REF!</v>
      </c>
      <c r="HS48" t="e">
        <f>AND('5to. Bach_B'!#REF!,"AAAAAD7//+I=")</f>
        <v>#REF!</v>
      </c>
      <c r="HT48" t="e">
        <f>AND('5to. Bach_B'!#REF!,"AAAAAD7//+M=")</f>
        <v>#REF!</v>
      </c>
      <c r="HU48" t="e">
        <f>AND('5to. Bach_B'!#REF!,"AAAAAD7//+Q=")</f>
        <v>#REF!</v>
      </c>
      <c r="HV48" t="e">
        <f>AND('5to. Bach_B'!#REF!,"AAAAAD7//+U=")</f>
        <v>#REF!</v>
      </c>
      <c r="HW48" t="e">
        <f>AND('5to. Bach_B'!#REF!,"AAAAAD7//+Y=")</f>
        <v>#REF!</v>
      </c>
      <c r="HX48" t="e">
        <f>IF('5to. Bach_B'!#REF!,"AAAAAD7//+c=",0)</f>
        <v>#REF!</v>
      </c>
      <c r="HY48" t="e">
        <f>AND('5to. Bach_B'!#REF!,"AAAAAD7//+g=")</f>
        <v>#REF!</v>
      </c>
      <c r="HZ48" t="e">
        <f>AND('5to. Bach_B'!#REF!,"AAAAAD7//+k=")</f>
        <v>#REF!</v>
      </c>
      <c r="IA48" t="e">
        <f>AND('5to. Bach_B'!#REF!,"AAAAAD7//+o=")</f>
        <v>#REF!</v>
      </c>
      <c r="IB48" t="e">
        <f>AND('5to. Bach_B'!#REF!,"AAAAAD7//+s=")</f>
        <v>#REF!</v>
      </c>
      <c r="IC48" t="e">
        <f>AND('5to. Bach_B'!#REF!,"AAAAAD7//+w=")</f>
        <v>#REF!</v>
      </c>
      <c r="ID48" t="e">
        <f>AND('5to. Bach_B'!#REF!,"AAAAAD7//+0=")</f>
        <v>#REF!</v>
      </c>
      <c r="IE48" t="e">
        <f>AND('5to. Bach_B'!#REF!,"AAAAAD7//+4=")</f>
        <v>#REF!</v>
      </c>
      <c r="IF48" t="e">
        <f>AND('5to. Bach_B'!#REF!,"AAAAAD7//+8=")</f>
        <v>#REF!</v>
      </c>
      <c r="IG48" t="e">
        <f>AND('5to. Bach_B'!#REF!,"AAAAAD7///A=")</f>
        <v>#REF!</v>
      </c>
      <c r="IH48" t="e">
        <f>AND('5to. Bach_B'!#REF!,"AAAAAD7///E=")</f>
        <v>#REF!</v>
      </c>
      <c r="II48" t="e">
        <f>AND('5to. Bach_B'!#REF!,"AAAAAD7///I=")</f>
        <v>#REF!</v>
      </c>
      <c r="IJ48" t="e">
        <f>AND('5to. Bach_B'!#REF!,"AAAAAD7///M=")</f>
        <v>#REF!</v>
      </c>
      <c r="IK48" t="e">
        <f>AND('5to. Bach_B'!#REF!,"AAAAAD7///Q=")</f>
        <v>#REF!</v>
      </c>
      <c r="IL48" t="e">
        <f>AND('5to. Bach_B'!#REF!,"AAAAAD7///U=")</f>
        <v>#REF!</v>
      </c>
      <c r="IM48" t="e">
        <f>AND('5to. Bach_B'!#REF!,"AAAAAD7///Y=")</f>
        <v>#REF!</v>
      </c>
      <c r="IN48" t="e">
        <f>AND('5to. Bach_B'!#REF!,"AAAAAD7///c=")</f>
        <v>#REF!</v>
      </c>
      <c r="IO48" t="e">
        <f>AND('5to. Bach_B'!#REF!,"AAAAAD7///g=")</f>
        <v>#REF!</v>
      </c>
      <c r="IP48" t="e">
        <f>AND('5to. Bach_B'!#REF!,"AAAAAD7///k=")</f>
        <v>#REF!</v>
      </c>
      <c r="IQ48" t="e">
        <f>AND('5to. Bach_B'!#REF!,"AAAAAD7///o=")</f>
        <v>#REF!</v>
      </c>
      <c r="IR48" t="e">
        <f>AND('5to. Bach_B'!#REF!,"AAAAAD7///s=")</f>
        <v>#REF!</v>
      </c>
      <c r="IS48" t="e">
        <f>AND('5to. Bach_B'!#REF!,"AAAAAD7///w=")</f>
        <v>#REF!</v>
      </c>
      <c r="IT48" t="e">
        <f>AND('5to. Bach_B'!#REF!,"AAAAAD7///0=")</f>
        <v>#REF!</v>
      </c>
      <c r="IU48" t="e">
        <f>AND('5to. Bach_B'!#REF!,"AAAAAD7///4=")</f>
        <v>#REF!</v>
      </c>
      <c r="IV48" t="e">
        <f>AND('5to. Bach_B'!#REF!,"AAAAAD7///8=")</f>
        <v>#REF!</v>
      </c>
    </row>
    <row r="49" spans="1:256">
      <c r="A49" t="e">
        <f>AND('5to. Bach_B'!#REF!,"AAAAAGnC+wA=")</f>
        <v>#REF!</v>
      </c>
      <c r="B49" t="e">
        <f>IF('5to. Bach_B'!#REF!,"AAAAAGnC+wE=",0)</f>
        <v>#REF!</v>
      </c>
      <c r="C49" t="e">
        <f>AND('5to. Bach_B'!#REF!,"AAAAAGnC+wI=")</f>
        <v>#REF!</v>
      </c>
      <c r="D49" t="e">
        <f>AND('5to. Bach_B'!#REF!,"AAAAAGnC+wM=")</f>
        <v>#REF!</v>
      </c>
      <c r="E49" t="e">
        <f>AND('5to. Bach_B'!#REF!,"AAAAAGnC+wQ=")</f>
        <v>#REF!</v>
      </c>
      <c r="F49" t="e">
        <f>AND('5to. Bach_B'!#REF!,"AAAAAGnC+wU=")</f>
        <v>#REF!</v>
      </c>
      <c r="G49" t="e">
        <f>AND('5to. Bach_B'!#REF!,"AAAAAGnC+wY=")</f>
        <v>#REF!</v>
      </c>
      <c r="H49" t="e">
        <f>AND('5to. Bach_B'!#REF!,"AAAAAGnC+wc=")</f>
        <v>#REF!</v>
      </c>
      <c r="I49" t="e">
        <f>AND('5to. Bach_B'!#REF!,"AAAAAGnC+wg=")</f>
        <v>#REF!</v>
      </c>
      <c r="J49" t="e">
        <f>AND('5to. Bach_B'!#REF!,"AAAAAGnC+wk=")</f>
        <v>#REF!</v>
      </c>
      <c r="K49" t="e">
        <f>AND('5to. Bach_B'!#REF!,"AAAAAGnC+wo=")</f>
        <v>#REF!</v>
      </c>
      <c r="L49" t="e">
        <f>AND('5to. Bach_B'!#REF!,"AAAAAGnC+ws=")</f>
        <v>#REF!</v>
      </c>
      <c r="M49" t="e">
        <f>AND('5to. Bach_B'!#REF!,"AAAAAGnC+ww=")</f>
        <v>#REF!</v>
      </c>
      <c r="N49" t="e">
        <f>AND('5to. Bach_B'!#REF!,"AAAAAGnC+w0=")</f>
        <v>#REF!</v>
      </c>
      <c r="O49" t="e">
        <f>AND('5to. Bach_B'!#REF!,"AAAAAGnC+w4=")</f>
        <v>#REF!</v>
      </c>
      <c r="P49" t="e">
        <f>AND('5to. Bach_B'!#REF!,"AAAAAGnC+w8=")</f>
        <v>#REF!</v>
      </c>
      <c r="Q49" t="e">
        <f>AND('5to. Bach_B'!#REF!,"AAAAAGnC+xA=")</f>
        <v>#REF!</v>
      </c>
      <c r="R49" t="e">
        <f>AND('5to. Bach_B'!#REF!,"AAAAAGnC+xE=")</f>
        <v>#REF!</v>
      </c>
      <c r="S49" t="e">
        <f>AND('5to. Bach_B'!#REF!,"AAAAAGnC+xI=")</f>
        <v>#REF!</v>
      </c>
      <c r="T49" t="e">
        <f>AND('5to. Bach_B'!#REF!,"AAAAAGnC+xM=")</f>
        <v>#REF!</v>
      </c>
      <c r="U49" t="e">
        <f>AND('5to. Bach_B'!#REF!,"AAAAAGnC+xQ=")</f>
        <v>#REF!</v>
      </c>
      <c r="V49" t="e">
        <f>AND('5to. Bach_B'!#REF!,"AAAAAGnC+xU=")</f>
        <v>#REF!</v>
      </c>
      <c r="W49" t="e">
        <f>AND('5to. Bach_B'!#REF!,"AAAAAGnC+xY=")</f>
        <v>#REF!</v>
      </c>
      <c r="X49" t="e">
        <f>AND('5to. Bach_B'!#REF!,"AAAAAGnC+xc=")</f>
        <v>#REF!</v>
      </c>
      <c r="Y49" t="e">
        <f>AND('5to. Bach_B'!#REF!,"AAAAAGnC+xg=")</f>
        <v>#REF!</v>
      </c>
      <c r="Z49" t="e">
        <f>AND('5to. Bach_B'!#REF!,"AAAAAGnC+xk=")</f>
        <v>#REF!</v>
      </c>
      <c r="AA49" t="e">
        <f>AND('5to. Bach_B'!#REF!,"AAAAAGnC+xo=")</f>
        <v>#REF!</v>
      </c>
      <c r="AB49">
        <f>IF('5to. Bach_B'!2:2,"AAAAAGnC+xs=",0)</f>
        <v>0</v>
      </c>
      <c r="AC49" t="e">
        <f>AND('5to. Bach_B'!A2,"AAAAAGnC+xw=")</f>
        <v>#VALUE!</v>
      </c>
      <c r="AD49" t="e">
        <f>AND('5to. Bach_B'!B2,"AAAAAGnC+x0=")</f>
        <v>#VALUE!</v>
      </c>
      <c r="AE49" t="e">
        <f>AND('5to. Bach_B'!C2,"AAAAAGnC+x4=")</f>
        <v>#VALUE!</v>
      </c>
      <c r="AF49" t="e">
        <f>AND('5to. Bach_B'!D2,"AAAAAGnC+x8=")</f>
        <v>#VALUE!</v>
      </c>
      <c r="AG49" t="e">
        <f>AND('5to. Bach_B'!E2,"AAAAAGnC+yA=")</f>
        <v>#VALUE!</v>
      </c>
      <c r="AH49" t="e">
        <f>AND('5to. Bach_B'!F2,"AAAAAGnC+yE=")</f>
        <v>#VALUE!</v>
      </c>
      <c r="AI49" t="e">
        <f>AND('5to. Bach_B'!G2,"AAAAAGnC+yI=")</f>
        <v>#VALUE!</v>
      </c>
      <c r="AJ49" t="e">
        <f>AND('5to. Bach_B'!H2,"AAAAAGnC+yM=")</f>
        <v>#VALUE!</v>
      </c>
      <c r="AK49" t="e">
        <f>AND('5to. Bach_B'!I2,"AAAAAGnC+yQ=")</f>
        <v>#VALUE!</v>
      </c>
      <c r="AL49" t="e">
        <f>AND('5to. Bach_B'!J2,"AAAAAGnC+yU=")</f>
        <v>#VALUE!</v>
      </c>
      <c r="AM49" t="e">
        <f>AND('5to. Bach_B'!K2,"AAAAAGnC+yY=")</f>
        <v>#VALUE!</v>
      </c>
      <c r="AN49" t="e">
        <f>AND('5to. Bach_B'!L2,"AAAAAGnC+yc=")</f>
        <v>#VALUE!</v>
      </c>
      <c r="AO49" t="e">
        <f>AND('5to. Bach_B'!M2,"AAAAAGnC+yg=")</f>
        <v>#VALUE!</v>
      </c>
      <c r="AP49" t="e">
        <f>AND('5to. Bach_B'!N2,"AAAAAGnC+yk=")</f>
        <v>#VALUE!</v>
      </c>
      <c r="AQ49" t="e">
        <f>AND('5to. Bach_B'!O2,"AAAAAGnC+yo=")</f>
        <v>#VALUE!</v>
      </c>
      <c r="AR49" t="e">
        <f>AND('5to. Bach_B'!P2,"AAAAAGnC+ys=")</f>
        <v>#VALUE!</v>
      </c>
      <c r="AS49" t="e">
        <f>AND('5to. Bach_B'!Q2,"AAAAAGnC+yw=")</f>
        <v>#VALUE!</v>
      </c>
      <c r="AT49" t="e">
        <f>AND('5to. Bach_B'!R2,"AAAAAGnC+y0=")</f>
        <v>#VALUE!</v>
      </c>
      <c r="AU49" t="e">
        <f>AND('5to. Bach_B'!S2,"AAAAAGnC+y4=")</f>
        <v>#VALUE!</v>
      </c>
      <c r="AV49" t="e">
        <f>AND('5to. Bach_B'!T2,"AAAAAGnC+y8=")</f>
        <v>#VALUE!</v>
      </c>
      <c r="AW49" t="e">
        <f>AND('5to. Bach_B'!#REF!,"AAAAAGnC+zA=")</f>
        <v>#REF!</v>
      </c>
      <c r="AX49" t="e">
        <f>AND('5to. Bach_B'!#REF!,"AAAAAGnC+zE=")</f>
        <v>#REF!</v>
      </c>
      <c r="AY49" t="e">
        <f>AND('5to. Bach_B'!#REF!,"AAAAAGnC+zI=")</f>
        <v>#REF!</v>
      </c>
      <c r="AZ49" t="e">
        <f>AND('5to. Bach_B'!#REF!,"AAAAAGnC+zM=")</f>
        <v>#REF!</v>
      </c>
      <c r="BA49" t="e">
        <f>AND('5to. Bach_B'!#REF!,"AAAAAGnC+zQ=")</f>
        <v>#REF!</v>
      </c>
      <c r="BB49">
        <f>IF('5to. Bach_B'!3:3,"AAAAAGnC+zU=",0)</f>
        <v>0</v>
      </c>
      <c r="BC49" t="e">
        <f>AND('5to. Bach_B'!A3,"AAAAAGnC+zY=")</f>
        <v>#VALUE!</v>
      </c>
      <c r="BD49" t="e">
        <f>AND('5to. Bach_B'!B3,"AAAAAGnC+zc=")</f>
        <v>#VALUE!</v>
      </c>
      <c r="BE49" t="e">
        <f>AND('5to. Bach_B'!C3,"AAAAAGnC+zg=")</f>
        <v>#VALUE!</v>
      </c>
      <c r="BF49" t="e">
        <f>AND('5to. Bach_B'!D3,"AAAAAGnC+zk=")</f>
        <v>#VALUE!</v>
      </c>
      <c r="BG49" t="e">
        <f>AND('5to. Bach_B'!E3,"AAAAAGnC+zo=")</f>
        <v>#VALUE!</v>
      </c>
      <c r="BH49" t="e">
        <f>AND('5to. Bach_B'!F3,"AAAAAGnC+zs=")</f>
        <v>#VALUE!</v>
      </c>
      <c r="BI49" t="e">
        <f>AND('5to. Bach_B'!G3,"AAAAAGnC+zw=")</f>
        <v>#VALUE!</v>
      </c>
      <c r="BJ49" t="e">
        <f>AND('5to. Bach_B'!H3,"AAAAAGnC+z0=")</f>
        <v>#VALUE!</v>
      </c>
      <c r="BK49" t="e">
        <f>AND('5to. Bach_B'!I3,"AAAAAGnC+z4=")</f>
        <v>#VALUE!</v>
      </c>
      <c r="BL49" t="e">
        <f>AND('5to. Bach_B'!J3,"AAAAAGnC+z8=")</f>
        <v>#VALUE!</v>
      </c>
      <c r="BM49" t="e">
        <f>AND('5to. Bach_B'!K3,"AAAAAGnC+0A=")</f>
        <v>#VALUE!</v>
      </c>
      <c r="BN49" t="e">
        <f>AND('5to. Bach_B'!L3,"AAAAAGnC+0E=")</f>
        <v>#VALUE!</v>
      </c>
      <c r="BO49" t="e">
        <f>AND('5to. Bach_B'!M3,"AAAAAGnC+0I=")</f>
        <v>#VALUE!</v>
      </c>
      <c r="BP49" t="e">
        <f>AND('5to. Bach_B'!N3,"AAAAAGnC+0M=")</f>
        <v>#VALUE!</v>
      </c>
      <c r="BQ49" t="e">
        <f>AND('5to. Bach_B'!O3,"AAAAAGnC+0Q=")</f>
        <v>#VALUE!</v>
      </c>
      <c r="BR49" t="e">
        <f>AND('5to. Bach_B'!P3,"AAAAAGnC+0U=")</f>
        <v>#VALUE!</v>
      </c>
      <c r="BS49" t="e">
        <f>AND('5to. Bach_B'!Q3,"AAAAAGnC+0Y=")</f>
        <v>#VALUE!</v>
      </c>
      <c r="BT49" t="e">
        <f>AND('5to. Bach_B'!R3,"AAAAAGnC+0c=")</f>
        <v>#VALUE!</v>
      </c>
      <c r="BU49" t="e">
        <f>AND('5to. Bach_B'!S3,"AAAAAGnC+0g=")</f>
        <v>#VALUE!</v>
      </c>
      <c r="BV49" t="e">
        <f>AND('5to. Bach_B'!T3,"AAAAAGnC+0k=")</f>
        <v>#VALUE!</v>
      </c>
      <c r="BW49" t="e">
        <f>AND('5to. Bach_B'!#REF!,"AAAAAGnC+0o=")</f>
        <v>#REF!</v>
      </c>
      <c r="BX49" t="e">
        <f>AND('5to. Bach_B'!#REF!,"AAAAAGnC+0s=")</f>
        <v>#REF!</v>
      </c>
      <c r="BY49" t="e">
        <f>AND('5to. Bach_B'!#REF!,"AAAAAGnC+0w=")</f>
        <v>#REF!</v>
      </c>
      <c r="BZ49" t="e">
        <f>AND('5to. Bach_B'!#REF!,"AAAAAGnC+00=")</f>
        <v>#REF!</v>
      </c>
      <c r="CA49" t="e">
        <f>AND('5to. Bach_B'!#REF!,"AAAAAGnC+04=")</f>
        <v>#REF!</v>
      </c>
      <c r="CB49">
        <f>IF('5to. Bach_B'!4:4,"AAAAAGnC+08=",0)</f>
        <v>0</v>
      </c>
      <c r="CC49" t="e">
        <f>AND('5to. Bach_B'!A4,"AAAAAGnC+1A=")</f>
        <v>#VALUE!</v>
      </c>
      <c r="CD49" t="e">
        <f>AND('5to. Bach_B'!B4,"AAAAAGnC+1E=")</f>
        <v>#VALUE!</v>
      </c>
      <c r="CE49" t="e">
        <f>AND('5to. Bach_B'!C4,"AAAAAGnC+1I=")</f>
        <v>#VALUE!</v>
      </c>
      <c r="CF49" t="e">
        <f>AND('5to. Bach_B'!D4,"AAAAAGnC+1M=")</f>
        <v>#VALUE!</v>
      </c>
      <c r="CG49" t="e">
        <f>AND('5to. Bach_B'!E4,"AAAAAGnC+1Q=")</f>
        <v>#VALUE!</v>
      </c>
      <c r="CH49" t="e">
        <f>AND('5to. Bach_B'!F4,"AAAAAGnC+1U=")</f>
        <v>#VALUE!</v>
      </c>
      <c r="CI49" t="e">
        <f>AND('5to. Bach_B'!G4,"AAAAAGnC+1Y=")</f>
        <v>#VALUE!</v>
      </c>
      <c r="CJ49" t="e">
        <f>AND('5to. Bach_B'!H4,"AAAAAGnC+1c=")</f>
        <v>#VALUE!</v>
      </c>
      <c r="CK49" t="e">
        <f>AND('5to. Bach_B'!I4,"AAAAAGnC+1g=")</f>
        <v>#VALUE!</v>
      </c>
      <c r="CL49" t="e">
        <f>AND('5to. Bach_B'!J4,"AAAAAGnC+1k=")</f>
        <v>#VALUE!</v>
      </c>
      <c r="CM49" t="e">
        <f>AND('5to. Bach_B'!K4,"AAAAAGnC+1o=")</f>
        <v>#VALUE!</v>
      </c>
      <c r="CN49" t="e">
        <f>AND('5to. Bach_B'!L4,"AAAAAGnC+1s=")</f>
        <v>#VALUE!</v>
      </c>
      <c r="CO49" t="e">
        <f>AND('5to. Bach_B'!M4,"AAAAAGnC+1w=")</f>
        <v>#VALUE!</v>
      </c>
      <c r="CP49" t="e">
        <f>AND('5to. Bach_B'!N4,"AAAAAGnC+10=")</f>
        <v>#VALUE!</v>
      </c>
      <c r="CQ49" t="e">
        <f>AND('5to. Bach_B'!O4,"AAAAAGnC+14=")</f>
        <v>#VALUE!</v>
      </c>
      <c r="CR49" t="e">
        <f>AND('5to. Bach_B'!P4,"AAAAAGnC+18=")</f>
        <v>#VALUE!</v>
      </c>
      <c r="CS49" t="e">
        <f>AND('5to. Bach_B'!Q4,"AAAAAGnC+2A=")</f>
        <v>#VALUE!</v>
      </c>
      <c r="CT49" t="e">
        <f>AND('5to. Bach_B'!R4,"AAAAAGnC+2E=")</f>
        <v>#VALUE!</v>
      </c>
      <c r="CU49" t="e">
        <f>AND('5to. Bach_B'!S4,"AAAAAGnC+2I=")</f>
        <v>#VALUE!</v>
      </c>
      <c r="CV49" t="e">
        <f>AND('5to. Bach_B'!T4,"AAAAAGnC+2M=")</f>
        <v>#VALUE!</v>
      </c>
      <c r="CW49" t="e">
        <f>AND('5to. Bach_B'!#REF!,"AAAAAGnC+2Q=")</f>
        <v>#REF!</v>
      </c>
      <c r="CX49" t="e">
        <f>AND('5to. Bach_B'!#REF!,"AAAAAGnC+2U=")</f>
        <v>#REF!</v>
      </c>
      <c r="CY49" t="e">
        <f>AND('5to. Bach_B'!#REF!,"AAAAAGnC+2Y=")</f>
        <v>#REF!</v>
      </c>
      <c r="CZ49" t="e">
        <f>AND('5to. Bach_B'!#REF!,"AAAAAGnC+2c=")</f>
        <v>#REF!</v>
      </c>
      <c r="DA49" t="e">
        <f>AND('5to. Bach_B'!#REF!,"AAAAAGnC+2g=")</f>
        <v>#REF!</v>
      </c>
      <c r="DB49">
        <f>IF('5to. Bach_B'!5:5,"AAAAAGnC+2k=",0)</f>
        <v>0</v>
      </c>
      <c r="DC49" t="e">
        <f>AND('5to. Bach_B'!A5,"AAAAAGnC+2o=")</f>
        <v>#VALUE!</v>
      </c>
      <c r="DD49" t="e">
        <f>AND('5to. Bach_B'!B5,"AAAAAGnC+2s=")</f>
        <v>#VALUE!</v>
      </c>
      <c r="DE49" t="e">
        <f>AND('5to. Bach_B'!C5,"AAAAAGnC+2w=")</f>
        <v>#VALUE!</v>
      </c>
      <c r="DF49" t="e">
        <f>AND('5to. Bach_B'!D5,"AAAAAGnC+20=")</f>
        <v>#VALUE!</v>
      </c>
      <c r="DG49" t="e">
        <f>AND('5to. Bach_B'!E5,"AAAAAGnC+24=")</f>
        <v>#VALUE!</v>
      </c>
      <c r="DH49" t="e">
        <f>AND('5to. Bach_B'!F5,"AAAAAGnC+28=")</f>
        <v>#VALUE!</v>
      </c>
      <c r="DI49" t="e">
        <f>AND('5to. Bach_B'!G5,"AAAAAGnC+3A=")</f>
        <v>#VALUE!</v>
      </c>
      <c r="DJ49" t="e">
        <f>AND('5to. Bach_B'!H5,"AAAAAGnC+3E=")</f>
        <v>#VALUE!</v>
      </c>
      <c r="DK49" t="e">
        <f>AND('5to. Bach_B'!I5,"AAAAAGnC+3I=")</f>
        <v>#VALUE!</v>
      </c>
      <c r="DL49" t="e">
        <f>AND('5to. Bach_B'!J5,"AAAAAGnC+3M=")</f>
        <v>#VALUE!</v>
      </c>
      <c r="DM49" t="e">
        <f>AND('5to. Bach_B'!K5,"AAAAAGnC+3Q=")</f>
        <v>#VALUE!</v>
      </c>
      <c r="DN49" t="e">
        <f>AND('5to. Bach_B'!L5,"AAAAAGnC+3U=")</f>
        <v>#VALUE!</v>
      </c>
      <c r="DO49" t="e">
        <f>AND('5to. Bach_B'!M5,"AAAAAGnC+3Y=")</f>
        <v>#VALUE!</v>
      </c>
      <c r="DP49" t="e">
        <f>AND('5to. Bach_B'!N5,"AAAAAGnC+3c=")</f>
        <v>#VALUE!</v>
      </c>
      <c r="DQ49" t="e">
        <f>AND('5to. Bach_B'!O5,"AAAAAGnC+3g=")</f>
        <v>#VALUE!</v>
      </c>
      <c r="DR49" t="e">
        <f>AND('5to. Bach_B'!P5,"AAAAAGnC+3k=")</f>
        <v>#VALUE!</v>
      </c>
      <c r="DS49" t="e">
        <f>AND('5to. Bach_B'!Q5,"AAAAAGnC+3o=")</f>
        <v>#VALUE!</v>
      </c>
      <c r="DT49" t="e">
        <f>AND('5to. Bach_B'!R5,"AAAAAGnC+3s=")</f>
        <v>#VALUE!</v>
      </c>
      <c r="DU49" t="e">
        <f>AND('5to. Bach_B'!S5,"AAAAAGnC+3w=")</f>
        <v>#VALUE!</v>
      </c>
      <c r="DV49" t="e">
        <f>AND('5to. Bach_B'!T5,"AAAAAGnC+30=")</f>
        <v>#VALUE!</v>
      </c>
      <c r="DW49" t="e">
        <f>AND('5to. Bach_B'!#REF!,"AAAAAGnC+34=")</f>
        <v>#REF!</v>
      </c>
      <c r="DX49" t="e">
        <f>AND('5to. Bach_B'!#REF!,"AAAAAGnC+38=")</f>
        <v>#REF!</v>
      </c>
      <c r="DY49" t="e">
        <f>AND('5to. Bach_B'!#REF!,"AAAAAGnC+4A=")</f>
        <v>#REF!</v>
      </c>
      <c r="DZ49" t="e">
        <f>AND('5to. Bach_B'!#REF!,"AAAAAGnC+4E=")</f>
        <v>#REF!</v>
      </c>
      <c r="EA49" t="e">
        <f>AND('5to. Bach_B'!#REF!,"AAAAAGnC+4I=")</f>
        <v>#REF!</v>
      </c>
      <c r="EB49">
        <f>IF('5to. Bach_B'!6:6,"AAAAAGnC+4M=",0)</f>
        <v>0</v>
      </c>
      <c r="EC49" t="e">
        <f>AND('5to. Bach_B'!A6,"AAAAAGnC+4Q=")</f>
        <v>#VALUE!</v>
      </c>
      <c r="ED49" t="e">
        <f>AND('5to. Bach_B'!B6,"AAAAAGnC+4U=")</f>
        <v>#VALUE!</v>
      </c>
      <c r="EE49" t="e">
        <f>AND('5to. Bach_B'!C6,"AAAAAGnC+4Y=")</f>
        <v>#VALUE!</v>
      </c>
      <c r="EF49" t="e">
        <f>AND('5to. Bach_B'!D6,"AAAAAGnC+4c=")</f>
        <v>#VALUE!</v>
      </c>
      <c r="EG49" t="e">
        <f>AND('5to. Bach_B'!E6,"AAAAAGnC+4g=")</f>
        <v>#VALUE!</v>
      </c>
      <c r="EH49" t="e">
        <f>AND('5to. Bach_B'!F6,"AAAAAGnC+4k=")</f>
        <v>#VALUE!</v>
      </c>
      <c r="EI49" t="e">
        <f>AND('5to. Bach_B'!G6,"AAAAAGnC+4o=")</f>
        <v>#VALUE!</v>
      </c>
      <c r="EJ49" t="e">
        <f>AND('5to. Bach_B'!H6,"AAAAAGnC+4s=")</f>
        <v>#VALUE!</v>
      </c>
      <c r="EK49" t="e">
        <f>AND('5to. Bach_B'!I6,"AAAAAGnC+4w=")</f>
        <v>#VALUE!</v>
      </c>
      <c r="EL49" t="e">
        <f>AND('5to. Bach_B'!J6,"AAAAAGnC+40=")</f>
        <v>#VALUE!</v>
      </c>
      <c r="EM49" t="e">
        <f>AND('5to. Bach_B'!K6,"AAAAAGnC+44=")</f>
        <v>#VALUE!</v>
      </c>
      <c r="EN49" t="e">
        <f>AND('5to. Bach_B'!L6,"AAAAAGnC+48=")</f>
        <v>#VALUE!</v>
      </c>
      <c r="EO49" t="e">
        <f>AND('5to. Bach_B'!M6,"AAAAAGnC+5A=")</f>
        <v>#VALUE!</v>
      </c>
      <c r="EP49" t="e">
        <f>AND('5to. Bach_B'!N6,"AAAAAGnC+5E=")</f>
        <v>#VALUE!</v>
      </c>
      <c r="EQ49" t="e">
        <f>AND('5to. Bach_B'!O6,"AAAAAGnC+5I=")</f>
        <v>#VALUE!</v>
      </c>
      <c r="ER49" t="e">
        <f>AND('5to. Bach_B'!P6,"AAAAAGnC+5M=")</f>
        <v>#VALUE!</v>
      </c>
      <c r="ES49" t="e">
        <f>AND('5to. Bach_B'!Q6,"AAAAAGnC+5Q=")</f>
        <v>#VALUE!</v>
      </c>
      <c r="ET49" t="e">
        <f>AND('5to. Bach_B'!R6,"AAAAAGnC+5U=")</f>
        <v>#VALUE!</v>
      </c>
      <c r="EU49" t="e">
        <f>AND('5to. Bach_B'!S6,"AAAAAGnC+5Y=")</f>
        <v>#VALUE!</v>
      </c>
      <c r="EV49" t="e">
        <f>AND('5to. Bach_B'!T6,"AAAAAGnC+5c=")</f>
        <v>#VALUE!</v>
      </c>
      <c r="EW49" t="e">
        <f>AND('5to. Bach_B'!#REF!,"AAAAAGnC+5g=")</f>
        <v>#REF!</v>
      </c>
      <c r="EX49" t="e">
        <f>AND('5to. Bach_B'!#REF!,"AAAAAGnC+5k=")</f>
        <v>#REF!</v>
      </c>
      <c r="EY49" t="e">
        <f>AND('5to. Bach_B'!#REF!,"AAAAAGnC+5o=")</f>
        <v>#REF!</v>
      </c>
      <c r="EZ49" t="e">
        <f>AND('5to. Bach_B'!#REF!,"AAAAAGnC+5s=")</f>
        <v>#REF!</v>
      </c>
      <c r="FA49" t="e">
        <f>AND('5to. Bach_B'!#REF!,"AAAAAGnC+5w=")</f>
        <v>#REF!</v>
      </c>
      <c r="FB49">
        <f>IF('5to. Bach_B'!7:7,"AAAAAGnC+50=",0)</f>
        <v>0</v>
      </c>
      <c r="FC49" t="e">
        <f>AND('5to. Bach_B'!A7,"AAAAAGnC+54=")</f>
        <v>#VALUE!</v>
      </c>
      <c r="FD49" t="e">
        <f>AND('5to. Bach_B'!B7,"AAAAAGnC+58=")</f>
        <v>#VALUE!</v>
      </c>
      <c r="FE49" t="e">
        <f>AND('5to. Bach_B'!C7,"AAAAAGnC+6A=")</f>
        <v>#VALUE!</v>
      </c>
      <c r="FF49" t="e">
        <f>AND('5to. Bach_B'!D7,"AAAAAGnC+6E=")</f>
        <v>#VALUE!</v>
      </c>
      <c r="FG49" t="e">
        <f>AND('5to. Bach_B'!E7,"AAAAAGnC+6I=")</f>
        <v>#VALUE!</v>
      </c>
      <c r="FH49" t="e">
        <f>AND('5to. Bach_B'!F7,"AAAAAGnC+6M=")</f>
        <v>#VALUE!</v>
      </c>
      <c r="FI49" t="e">
        <f>AND('5to. Bach_B'!G7,"AAAAAGnC+6Q=")</f>
        <v>#VALUE!</v>
      </c>
      <c r="FJ49" t="e">
        <f>AND('5to. Bach_B'!H7,"AAAAAGnC+6U=")</f>
        <v>#VALUE!</v>
      </c>
      <c r="FK49" t="e">
        <f>AND('5to. Bach_B'!I7,"AAAAAGnC+6Y=")</f>
        <v>#VALUE!</v>
      </c>
      <c r="FL49" t="e">
        <f>AND('5to. Bach_B'!J7,"AAAAAGnC+6c=")</f>
        <v>#VALUE!</v>
      </c>
      <c r="FM49" t="e">
        <f>AND('5to. Bach_B'!K7,"AAAAAGnC+6g=")</f>
        <v>#VALUE!</v>
      </c>
      <c r="FN49" t="e">
        <f>AND('5to. Bach_B'!L7,"AAAAAGnC+6k=")</f>
        <v>#VALUE!</v>
      </c>
      <c r="FO49" t="e">
        <f>AND('5to. Bach_B'!M7,"AAAAAGnC+6o=")</f>
        <v>#VALUE!</v>
      </c>
      <c r="FP49" t="e">
        <f>AND('5to. Bach_B'!N7,"AAAAAGnC+6s=")</f>
        <v>#VALUE!</v>
      </c>
      <c r="FQ49" t="e">
        <f>AND('5to. Bach_B'!O7,"AAAAAGnC+6w=")</f>
        <v>#VALUE!</v>
      </c>
      <c r="FR49" t="e">
        <f>AND('5to. Bach_B'!P7,"AAAAAGnC+60=")</f>
        <v>#VALUE!</v>
      </c>
      <c r="FS49" t="e">
        <f>AND('5to. Bach_B'!Q7,"AAAAAGnC+64=")</f>
        <v>#VALUE!</v>
      </c>
      <c r="FT49" t="e">
        <f>AND('5to. Bach_B'!R7,"AAAAAGnC+68=")</f>
        <v>#VALUE!</v>
      </c>
      <c r="FU49" t="e">
        <f>AND('5to. Bach_B'!S7,"AAAAAGnC+7A=")</f>
        <v>#VALUE!</v>
      </c>
      <c r="FV49" t="e">
        <f>AND('5to. Bach_B'!T7,"AAAAAGnC+7E=")</f>
        <v>#VALUE!</v>
      </c>
      <c r="FW49" t="e">
        <f>AND('5to. Bach_B'!#REF!,"AAAAAGnC+7I=")</f>
        <v>#REF!</v>
      </c>
      <c r="FX49" t="e">
        <f>AND('5to. Bach_B'!#REF!,"AAAAAGnC+7M=")</f>
        <v>#REF!</v>
      </c>
      <c r="FY49" t="e">
        <f>AND('5to. Bach_B'!#REF!,"AAAAAGnC+7Q=")</f>
        <v>#REF!</v>
      </c>
      <c r="FZ49" t="e">
        <f>AND('5to. Bach_B'!#REF!,"AAAAAGnC+7U=")</f>
        <v>#REF!</v>
      </c>
      <c r="GA49" t="e">
        <f>AND('5to. Bach_B'!#REF!,"AAAAAGnC+7Y=")</f>
        <v>#REF!</v>
      </c>
      <c r="GB49">
        <f>IF('5to. Bach_B'!8:8,"AAAAAGnC+7c=",0)</f>
        <v>0</v>
      </c>
      <c r="GC49" t="e">
        <f>AND('5to. Bach_B'!A8,"AAAAAGnC+7g=")</f>
        <v>#VALUE!</v>
      </c>
      <c r="GD49" t="e">
        <f>AND('5to. Bach_B'!B8,"AAAAAGnC+7k=")</f>
        <v>#VALUE!</v>
      </c>
      <c r="GE49" t="e">
        <f>AND('5to. Bach_B'!C8,"AAAAAGnC+7o=")</f>
        <v>#VALUE!</v>
      </c>
      <c r="GF49" t="e">
        <f>AND('5to. Bach_B'!D8,"AAAAAGnC+7s=")</f>
        <v>#VALUE!</v>
      </c>
      <c r="GG49" t="e">
        <f>AND('5to. Bach_B'!E8,"AAAAAGnC+7w=")</f>
        <v>#VALUE!</v>
      </c>
      <c r="GH49" t="e">
        <f>AND('5to. Bach_B'!F8,"AAAAAGnC+70=")</f>
        <v>#VALUE!</v>
      </c>
      <c r="GI49" t="e">
        <f>AND('5to. Bach_B'!G8,"AAAAAGnC+74=")</f>
        <v>#VALUE!</v>
      </c>
      <c r="GJ49" t="e">
        <f>AND('5to. Bach_B'!H8,"AAAAAGnC+78=")</f>
        <v>#VALUE!</v>
      </c>
      <c r="GK49" t="e">
        <f>AND('5to. Bach_B'!I8,"AAAAAGnC+8A=")</f>
        <v>#VALUE!</v>
      </c>
      <c r="GL49" t="e">
        <f>AND('5to. Bach_B'!J8,"AAAAAGnC+8E=")</f>
        <v>#VALUE!</v>
      </c>
      <c r="GM49" t="e">
        <f>AND('5to. Bach_B'!K8,"AAAAAGnC+8I=")</f>
        <v>#VALUE!</v>
      </c>
      <c r="GN49" t="e">
        <f>AND('5to. Bach_B'!L8,"AAAAAGnC+8M=")</f>
        <v>#VALUE!</v>
      </c>
      <c r="GO49" t="e">
        <f>AND('5to. Bach_B'!M8,"AAAAAGnC+8Q=")</f>
        <v>#VALUE!</v>
      </c>
      <c r="GP49" t="e">
        <f>AND('5to. Bach_B'!N8,"AAAAAGnC+8U=")</f>
        <v>#VALUE!</v>
      </c>
      <c r="GQ49" t="e">
        <f>AND('5to. Bach_B'!O8,"AAAAAGnC+8Y=")</f>
        <v>#VALUE!</v>
      </c>
      <c r="GR49" t="e">
        <f>AND('5to. Bach_B'!P8,"AAAAAGnC+8c=")</f>
        <v>#VALUE!</v>
      </c>
      <c r="GS49" t="e">
        <f>AND('5to. Bach_B'!Q8,"AAAAAGnC+8g=")</f>
        <v>#VALUE!</v>
      </c>
      <c r="GT49" t="e">
        <f>AND('5to. Bach_B'!R8,"AAAAAGnC+8k=")</f>
        <v>#VALUE!</v>
      </c>
      <c r="GU49" t="e">
        <f>AND('5to. Bach_B'!S8,"AAAAAGnC+8o=")</f>
        <v>#VALUE!</v>
      </c>
      <c r="GV49" t="e">
        <f>AND('5to. Bach_B'!T8,"AAAAAGnC+8s=")</f>
        <v>#VALUE!</v>
      </c>
      <c r="GW49" t="e">
        <f>AND('5to. Bach_B'!#REF!,"AAAAAGnC+8w=")</f>
        <v>#REF!</v>
      </c>
      <c r="GX49" t="e">
        <f>AND('5to. Bach_B'!#REF!,"AAAAAGnC+80=")</f>
        <v>#REF!</v>
      </c>
      <c r="GY49" t="e">
        <f>AND('5to. Bach_B'!#REF!,"AAAAAGnC+84=")</f>
        <v>#REF!</v>
      </c>
      <c r="GZ49" t="e">
        <f>AND('5to. Bach_B'!#REF!,"AAAAAGnC+88=")</f>
        <v>#REF!</v>
      </c>
      <c r="HA49" t="e">
        <f>AND('5to. Bach_B'!#REF!,"AAAAAGnC+9A=")</f>
        <v>#REF!</v>
      </c>
      <c r="HB49">
        <f>IF('5to. Bach_B'!9:9,"AAAAAGnC+9E=",0)</f>
        <v>0</v>
      </c>
      <c r="HC49" t="e">
        <f>AND('5to. Bach_B'!A9,"AAAAAGnC+9I=")</f>
        <v>#VALUE!</v>
      </c>
      <c r="HD49" t="e">
        <f>AND('5to. Bach_B'!B9,"AAAAAGnC+9M=")</f>
        <v>#VALUE!</v>
      </c>
      <c r="HE49" t="e">
        <f>AND('5to. Bach_B'!C9,"AAAAAGnC+9Q=")</f>
        <v>#VALUE!</v>
      </c>
      <c r="HF49" t="e">
        <f>AND('5to. Bach_B'!D9,"AAAAAGnC+9U=")</f>
        <v>#VALUE!</v>
      </c>
      <c r="HG49" t="e">
        <f>AND('5to. Bach_B'!E9,"AAAAAGnC+9Y=")</f>
        <v>#VALUE!</v>
      </c>
      <c r="HH49" t="e">
        <f>AND('5to. Bach_B'!F9,"AAAAAGnC+9c=")</f>
        <v>#VALUE!</v>
      </c>
      <c r="HI49" t="e">
        <f>AND('5to. Bach_B'!G9,"AAAAAGnC+9g=")</f>
        <v>#VALUE!</v>
      </c>
      <c r="HJ49" t="e">
        <f>AND('5to. Bach_B'!H9,"AAAAAGnC+9k=")</f>
        <v>#VALUE!</v>
      </c>
      <c r="HK49" t="e">
        <f>AND('5to. Bach_B'!I9,"AAAAAGnC+9o=")</f>
        <v>#VALUE!</v>
      </c>
      <c r="HL49" t="e">
        <f>AND('5to. Bach_B'!J9,"AAAAAGnC+9s=")</f>
        <v>#VALUE!</v>
      </c>
      <c r="HM49" t="e">
        <f>AND('5to. Bach_B'!K9,"AAAAAGnC+9w=")</f>
        <v>#VALUE!</v>
      </c>
      <c r="HN49" t="e">
        <f>AND('5to. Bach_B'!L9,"AAAAAGnC+90=")</f>
        <v>#VALUE!</v>
      </c>
      <c r="HO49" t="e">
        <f>AND('5to. Bach_B'!M9,"AAAAAGnC+94=")</f>
        <v>#VALUE!</v>
      </c>
      <c r="HP49" t="e">
        <f>AND('5to. Bach_B'!N9,"AAAAAGnC+98=")</f>
        <v>#VALUE!</v>
      </c>
      <c r="HQ49" t="e">
        <f>AND('5to. Bach_B'!O9,"AAAAAGnC++A=")</f>
        <v>#VALUE!</v>
      </c>
      <c r="HR49" t="e">
        <f>AND('5to. Bach_B'!P9,"AAAAAGnC++E=")</f>
        <v>#VALUE!</v>
      </c>
      <c r="HS49" t="e">
        <f>AND('5to. Bach_B'!Q9,"AAAAAGnC++I=")</f>
        <v>#VALUE!</v>
      </c>
      <c r="HT49" t="e">
        <f>AND('5to. Bach_B'!R9,"AAAAAGnC++M=")</f>
        <v>#VALUE!</v>
      </c>
      <c r="HU49" t="e">
        <f>AND('5to. Bach_B'!S9,"AAAAAGnC++Q=")</f>
        <v>#VALUE!</v>
      </c>
      <c r="HV49" t="e">
        <f>AND('5to. Bach_B'!T9,"AAAAAGnC++U=")</f>
        <v>#VALUE!</v>
      </c>
      <c r="HW49" t="e">
        <f>AND('5to. Bach_B'!#REF!,"AAAAAGnC++Y=")</f>
        <v>#REF!</v>
      </c>
      <c r="HX49" t="e">
        <f>AND('5to. Bach_B'!#REF!,"AAAAAGnC++c=")</f>
        <v>#REF!</v>
      </c>
      <c r="HY49" t="e">
        <f>AND('5to. Bach_B'!#REF!,"AAAAAGnC++g=")</f>
        <v>#REF!</v>
      </c>
      <c r="HZ49" t="e">
        <f>AND('5to. Bach_B'!#REF!,"AAAAAGnC++k=")</f>
        <v>#REF!</v>
      </c>
      <c r="IA49" t="e">
        <f>AND('5to. Bach_B'!#REF!,"AAAAAGnC++o=")</f>
        <v>#REF!</v>
      </c>
      <c r="IB49">
        <f>IF('5to. Bach_B'!10:10,"AAAAAGnC++s=",0)</f>
        <v>0</v>
      </c>
      <c r="IC49" t="e">
        <f>AND('5to. Bach_B'!A10,"AAAAAGnC++w=")</f>
        <v>#VALUE!</v>
      </c>
      <c r="ID49" t="e">
        <f>AND('5to. Bach_B'!B10,"AAAAAGnC++0=")</f>
        <v>#VALUE!</v>
      </c>
      <c r="IE49" t="e">
        <f>AND('5to. Bach_B'!C10,"AAAAAGnC++4=")</f>
        <v>#VALUE!</v>
      </c>
      <c r="IF49" t="e">
        <f>AND('5to. Bach_B'!D10,"AAAAAGnC++8=")</f>
        <v>#VALUE!</v>
      </c>
      <c r="IG49" t="e">
        <f>AND('5to. Bach_B'!E10,"AAAAAGnC+/A=")</f>
        <v>#VALUE!</v>
      </c>
      <c r="IH49" t="e">
        <f>AND('5to. Bach_B'!F10,"AAAAAGnC+/E=")</f>
        <v>#VALUE!</v>
      </c>
      <c r="II49" t="e">
        <f>AND('5to. Bach_B'!G10,"AAAAAGnC+/I=")</f>
        <v>#VALUE!</v>
      </c>
      <c r="IJ49" t="e">
        <f>AND('5to. Bach_B'!H10,"AAAAAGnC+/M=")</f>
        <v>#VALUE!</v>
      </c>
      <c r="IK49" t="e">
        <f>AND('5to. Bach_B'!I10,"AAAAAGnC+/Q=")</f>
        <v>#VALUE!</v>
      </c>
      <c r="IL49" t="e">
        <f>AND('5to. Bach_B'!J10,"AAAAAGnC+/U=")</f>
        <v>#VALUE!</v>
      </c>
      <c r="IM49" t="e">
        <f>AND('5to. Bach_B'!K10,"AAAAAGnC+/Y=")</f>
        <v>#VALUE!</v>
      </c>
      <c r="IN49" t="e">
        <f>AND('5to. Bach_B'!L10,"AAAAAGnC+/c=")</f>
        <v>#VALUE!</v>
      </c>
      <c r="IO49" t="e">
        <f>AND('5to. Bach_B'!M10,"AAAAAGnC+/g=")</f>
        <v>#VALUE!</v>
      </c>
      <c r="IP49" t="e">
        <f>AND('5to. Bach_B'!N10,"AAAAAGnC+/k=")</f>
        <v>#VALUE!</v>
      </c>
      <c r="IQ49" t="e">
        <f>AND('5to. Bach_B'!O10,"AAAAAGnC+/o=")</f>
        <v>#VALUE!</v>
      </c>
      <c r="IR49" t="e">
        <f>AND('5to. Bach_B'!P10,"AAAAAGnC+/s=")</f>
        <v>#VALUE!</v>
      </c>
      <c r="IS49" t="e">
        <f>AND('5to. Bach_B'!Q10,"AAAAAGnC+/w=")</f>
        <v>#VALUE!</v>
      </c>
      <c r="IT49" t="e">
        <f>AND('5to. Bach_B'!R10,"AAAAAGnC+/0=")</f>
        <v>#VALUE!</v>
      </c>
      <c r="IU49" t="e">
        <f>AND('5to. Bach_B'!S10,"AAAAAGnC+/4=")</f>
        <v>#VALUE!</v>
      </c>
      <c r="IV49" t="e">
        <f>AND('5to. Bach_B'!T10,"AAAAAGnC+/8=")</f>
        <v>#VALUE!</v>
      </c>
    </row>
    <row r="50" spans="1:256">
      <c r="A50" t="e">
        <f>AND('5to. Bach_B'!#REF!,"AAAAAD/dzQA=")</f>
        <v>#REF!</v>
      </c>
      <c r="B50" t="e">
        <f>AND('5to. Bach_B'!#REF!,"AAAAAD/dzQE=")</f>
        <v>#REF!</v>
      </c>
      <c r="C50" t="e">
        <f>AND('5to. Bach_B'!#REF!,"AAAAAD/dzQI=")</f>
        <v>#REF!</v>
      </c>
      <c r="D50" t="e">
        <f>AND('5to. Bach_B'!#REF!,"AAAAAD/dzQM=")</f>
        <v>#REF!</v>
      </c>
      <c r="E50" t="e">
        <f>AND('5to. Bach_B'!#REF!,"AAAAAD/dzQQ=")</f>
        <v>#REF!</v>
      </c>
      <c r="F50">
        <f>IF('5to. Bach_B'!11:11,"AAAAAD/dzQU=",0)</f>
        <v>0</v>
      </c>
      <c r="G50" t="e">
        <f>AND('5to. Bach_B'!A11,"AAAAAD/dzQY=")</f>
        <v>#VALUE!</v>
      </c>
      <c r="H50" t="e">
        <f>AND('5to. Bach_B'!B11,"AAAAAD/dzQc=")</f>
        <v>#VALUE!</v>
      </c>
      <c r="I50" t="e">
        <f>AND('5to. Bach_B'!C11,"AAAAAD/dzQg=")</f>
        <v>#VALUE!</v>
      </c>
      <c r="J50" t="e">
        <f>AND('5to. Bach_B'!D11,"AAAAAD/dzQk=")</f>
        <v>#VALUE!</v>
      </c>
      <c r="K50" t="e">
        <f>AND('5to. Bach_B'!E11,"AAAAAD/dzQo=")</f>
        <v>#VALUE!</v>
      </c>
      <c r="L50" t="e">
        <f>AND('5to. Bach_B'!F11,"AAAAAD/dzQs=")</f>
        <v>#VALUE!</v>
      </c>
      <c r="M50" t="e">
        <f>AND('5to. Bach_B'!G11,"AAAAAD/dzQw=")</f>
        <v>#VALUE!</v>
      </c>
      <c r="N50" t="e">
        <f>AND('5to. Bach_B'!H11,"AAAAAD/dzQ0=")</f>
        <v>#VALUE!</v>
      </c>
      <c r="O50" t="e">
        <f>AND('5to. Bach_B'!I11,"AAAAAD/dzQ4=")</f>
        <v>#VALUE!</v>
      </c>
      <c r="P50" t="e">
        <f>AND('5to. Bach_B'!J11,"AAAAAD/dzQ8=")</f>
        <v>#VALUE!</v>
      </c>
      <c r="Q50" t="e">
        <f>AND('5to. Bach_B'!K11,"AAAAAD/dzRA=")</f>
        <v>#VALUE!</v>
      </c>
      <c r="R50" t="e">
        <f>AND('5to. Bach_B'!L11,"AAAAAD/dzRE=")</f>
        <v>#VALUE!</v>
      </c>
      <c r="S50" t="e">
        <f>AND('5to. Bach_B'!M11,"AAAAAD/dzRI=")</f>
        <v>#VALUE!</v>
      </c>
      <c r="T50" t="e">
        <f>AND('5to. Bach_B'!N11,"AAAAAD/dzRM=")</f>
        <v>#VALUE!</v>
      </c>
      <c r="U50" t="e">
        <f>AND('5to. Bach_B'!O11,"AAAAAD/dzRQ=")</f>
        <v>#VALUE!</v>
      </c>
      <c r="V50" t="e">
        <f>AND('5to. Bach_B'!P11,"AAAAAD/dzRU=")</f>
        <v>#VALUE!</v>
      </c>
      <c r="W50" t="e">
        <f>AND('5to. Bach_B'!Q11,"AAAAAD/dzRY=")</f>
        <v>#VALUE!</v>
      </c>
      <c r="X50" t="e">
        <f>AND('5to. Bach_B'!R11,"AAAAAD/dzRc=")</f>
        <v>#VALUE!</v>
      </c>
      <c r="Y50" t="e">
        <f>AND('5to. Bach_B'!S11,"AAAAAD/dzRg=")</f>
        <v>#VALUE!</v>
      </c>
      <c r="Z50" t="e">
        <f>AND('5to. Bach_B'!T11,"AAAAAD/dzRk=")</f>
        <v>#VALUE!</v>
      </c>
      <c r="AA50" t="e">
        <f>AND('5to. Bach_B'!#REF!,"AAAAAD/dzRo=")</f>
        <v>#REF!</v>
      </c>
      <c r="AB50" t="e">
        <f>AND('5to. Bach_B'!#REF!,"AAAAAD/dzRs=")</f>
        <v>#REF!</v>
      </c>
      <c r="AC50" t="e">
        <f>AND('5to. Bach_B'!#REF!,"AAAAAD/dzRw=")</f>
        <v>#REF!</v>
      </c>
      <c r="AD50" t="e">
        <f>AND('5to. Bach_B'!#REF!,"AAAAAD/dzR0=")</f>
        <v>#REF!</v>
      </c>
      <c r="AE50" t="e">
        <f>AND('5to. Bach_B'!#REF!,"AAAAAD/dzR4=")</f>
        <v>#REF!</v>
      </c>
      <c r="AF50">
        <f>IF('5to. Bach_B'!12:12,"AAAAAD/dzR8=",0)</f>
        <v>0</v>
      </c>
      <c r="AG50" t="e">
        <f>AND('5to. Bach_B'!A12,"AAAAAD/dzSA=")</f>
        <v>#VALUE!</v>
      </c>
      <c r="AH50" t="e">
        <f>AND('5to. Bach_B'!B12,"AAAAAD/dzSE=")</f>
        <v>#VALUE!</v>
      </c>
      <c r="AI50" t="e">
        <f>AND('5to. Bach_B'!C12,"AAAAAD/dzSI=")</f>
        <v>#VALUE!</v>
      </c>
      <c r="AJ50" t="e">
        <f>AND('5to. Bach_B'!D12,"AAAAAD/dzSM=")</f>
        <v>#VALUE!</v>
      </c>
      <c r="AK50" t="e">
        <f>AND('5to. Bach_B'!E12,"AAAAAD/dzSQ=")</f>
        <v>#VALUE!</v>
      </c>
      <c r="AL50" t="e">
        <f>AND('5to. Bach_B'!F12,"AAAAAD/dzSU=")</f>
        <v>#VALUE!</v>
      </c>
      <c r="AM50" t="e">
        <f>AND('5to. Bach_B'!G12,"AAAAAD/dzSY=")</f>
        <v>#VALUE!</v>
      </c>
      <c r="AN50" t="e">
        <f>AND('5to. Bach_B'!H12,"AAAAAD/dzSc=")</f>
        <v>#VALUE!</v>
      </c>
      <c r="AO50" t="e">
        <f>AND('5to. Bach_B'!I12,"AAAAAD/dzSg=")</f>
        <v>#VALUE!</v>
      </c>
      <c r="AP50" t="e">
        <f>AND('5to. Bach_B'!J12,"AAAAAD/dzSk=")</f>
        <v>#VALUE!</v>
      </c>
      <c r="AQ50" t="e">
        <f>AND('5to. Bach_B'!K12,"AAAAAD/dzSo=")</f>
        <v>#VALUE!</v>
      </c>
      <c r="AR50" t="e">
        <f>AND('5to. Bach_B'!L12,"AAAAAD/dzSs=")</f>
        <v>#VALUE!</v>
      </c>
      <c r="AS50" t="e">
        <f>AND('5to. Bach_B'!M12,"AAAAAD/dzSw=")</f>
        <v>#VALUE!</v>
      </c>
      <c r="AT50" t="e">
        <f>AND('5to. Bach_B'!N12,"AAAAAD/dzS0=")</f>
        <v>#VALUE!</v>
      </c>
      <c r="AU50" t="e">
        <f>AND('5to. Bach_B'!O12,"AAAAAD/dzS4=")</f>
        <v>#VALUE!</v>
      </c>
      <c r="AV50" t="e">
        <f>AND('5to. Bach_B'!P12,"AAAAAD/dzS8=")</f>
        <v>#VALUE!</v>
      </c>
      <c r="AW50" t="e">
        <f>AND('5to. Bach_B'!Q12,"AAAAAD/dzTA=")</f>
        <v>#VALUE!</v>
      </c>
      <c r="AX50" t="e">
        <f>AND('5to. Bach_B'!R12,"AAAAAD/dzTE=")</f>
        <v>#VALUE!</v>
      </c>
      <c r="AY50" t="e">
        <f>AND('5to. Bach_B'!S12,"AAAAAD/dzTI=")</f>
        <v>#VALUE!</v>
      </c>
      <c r="AZ50" t="e">
        <f>AND('5to. Bach_B'!T12,"AAAAAD/dzTM=")</f>
        <v>#VALUE!</v>
      </c>
      <c r="BA50" t="e">
        <f>AND('5to. Bach_B'!#REF!,"AAAAAD/dzTQ=")</f>
        <v>#REF!</v>
      </c>
      <c r="BB50" t="e">
        <f>AND('5to. Bach_B'!#REF!,"AAAAAD/dzTU=")</f>
        <v>#REF!</v>
      </c>
      <c r="BC50" t="e">
        <f>AND('5to. Bach_B'!#REF!,"AAAAAD/dzTY=")</f>
        <v>#REF!</v>
      </c>
      <c r="BD50" t="e">
        <f>AND('5to. Bach_B'!#REF!,"AAAAAD/dzTc=")</f>
        <v>#REF!</v>
      </c>
      <c r="BE50" t="e">
        <f>AND('5to. Bach_B'!#REF!,"AAAAAD/dzTg=")</f>
        <v>#REF!</v>
      </c>
      <c r="BF50">
        <f>IF('5to. Bach_B'!13:13,"AAAAAD/dzTk=",0)</f>
        <v>0</v>
      </c>
      <c r="BG50" t="e">
        <f>AND('5to. Bach_B'!A13,"AAAAAD/dzTo=")</f>
        <v>#VALUE!</v>
      </c>
      <c r="BH50" t="e">
        <f>AND('5to. Bach_B'!B13,"AAAAAD/dzTs=")</f>
        <v>#VALUE!</v>
      </c>
      <c r="BI50" t="e">
        <f>AND('5to. Bach_B'!C13,"AAAAAD/dzTw=")</f>
        <v>#VALUE!</v>
      </c>
      <c r="BJ50" t="e">
        <f>AND('5to. Bach_B'!D13,"AAAAAD/dzT0=")</f>
        <v>#VALUE!</v>
      </c>
      <c r="BK50" t="e">
        <f>AND('5to. Bach_B'!E13,"AAAAAD/dzT4=")</f>
        <v>#VALUE!</v>
      </c>
      <c r="BL50" t="e">
        <f>AND('5to. Bach_B'!F13,"AAAAAD/dzT8=")</f>
        <v>#VALUE!</v>
      </c>
      <c r="BM50" t="e">
        <f>AND('5to. Bach_B'!G13,"AAAAAD/dzUA=")</f>
        <v>#VALUE!</v>
      </c>
      <c r="BN50" t="e">
        <f>AND('5to. Bach_B'!H13,"AAAAAD/dzUE=")</f>
        <v>#VALUE!</v>
      </c>
      <c r="BO50" t="e">
        <f>AND('5to. Bach_B'!I13,"AAAAAD/dzUI=")</f>
        <v>#VALUE!</v>
      </c>
      <c r="BP50" t="e">
        <f>AND('5to. Bach_B'!J13,"AAAAAD/dzUM=")</f>
        <v>#VALUE!</v>
      </c>
      <c r="BQ50" t="e">
        <f>AND('5to. Bach_B'!K13,"AAAAAD/dzUQ=")</f>
        <v>#VALUE!</v>
      </c>
      <c r="BR50" t="e">
        <f>AND('5to. Bach_B'!L13,"AAAAAD/dzUU=")</f>
        <v>#VALUE!</v>
      </c>
      <c r="BS50" t="e">
        <f>AND('5to. Bach_B'!M13,"AAAAAD/dzUY=")</f>
        <v>#VALUE!</v>
      </c>
      <c r="BT50" t="e">
        <f>AND('5to. Bach_B'!N13,"AAAAAD/dzUc=")</f>
        <v>#VALUE!</v>
      </c>
      <c r="BU50" t="e">
        <f>AND('5to. Bach_B'!O13,"AAAAAD/dzUg=")</f>
        <v>#VALUE!</v>
      </c>
      <c r="BV50" t="e">
        <f>AND('5to. Bach_B'!P13,"AAAAAD/dzUk=")</f>
        <v>#VALUE!</v>
      </c>
      <c r="BW50" t="e">
        <f>AND('5to. Bach_B'!Q13,"AAAAAD/dzUo=")</f>
        <v>#VALUE!</v>
      </c>
      <c r="BX50" t="e">
        <f>AND('5to. Bach_B'!R13,"AAAAAD/dzUs=")</f>
        <v>#VALUE!</v>
      </c>
      <c r="BY50" t="e">
        <f>AND('5to. Bach_B'!S13,"AAAAAD/dzUw=")</f>
        <v>#VALUE!</v>
      </c>
      <c r="BZ50" t="e">
        <f>AND('5to. Bach_B'!T13,"AAAAAD/dzU0=")</f>
        <v>#VALUE!</v>
      </c>
      <c r="CA50" t="e">
        <f>AND('5to. Bach_B'!#REF!,"AAAAAD/dzU4=")</f>
        <v>#REF!</v>
      </c>
      <c r="CB50" t="e">
        <f>AND('5to. Bach_B'!#REF!,"AAAAAD/dzU8=")</f>
        <v>#REF!</v>
      </c>
      <c r="CC50" t="e">
        <f>AND('5to. Bach_B'!#REF!,"AAAAAD/dzVA=")</f>
        <v>#REF!</v>
      </c>
      <c r="CD50" t="e">
        <f>AND('5to. Bach_B'!#REF!,"AAAAAD/dzVE=")</f>
        <v>#REF!</v>
      </c>
      <c r="CE50" t="e">
        <f>AND('5to. Bach_B'!#REF!,"AAAAAD/dzVI=")</f>
        <v>#REF!</v>
      </c>
      <c r="CF50">
        <f>IF('5to. Bach_B'!14:14,"AAAAAD/dzVM=",0)</f>
        <v>0</v>
      </c>
      <c r="CG50" t="e">
        <f>AND('5to. Bach_B'!A14,"AAAAAD/dzVQ=")</f>
        <v>#VALUE!</v>
      </c>
      <c r="CH50" t="e">
        <f>AND('5to. Bach_B'!B14,"AAAAAD/dzVU=")</f>
        <v>#VALUE!</v>
      </c>
      <c r="CI50" t="e">
        <f>AND('5to. Bach_B'!C14,"AAAAAD/dzVY=")</f>
        <v>#VALUE!</v>
      </c>
      <c r="CJ50" t="e">
        <f>AND('5to. Bach_B'!D14,"AAAAAD/dzVc=")</f>
        <v>#VALUE!</v>
      </c>
      <c r="CK50" t="e">
        <f>AND('5to. Bach_B'!E14,"AAAAAD/dzVg=")</f>
        <v>#VALUE!</v>
      </c>
      <c r="CL50" t="e">
        <f>AND('5to. Bach_B'!F14,"AAAAAD/dzVk=")</f>
        <v>#VALUE!</v>
      </c>
      <c r="CM50" t="e">
        <f>AND('5to. Bach_B'!G14,"AAAAAD/dzVo=")</f>
        <v>#VALUE!</v>
      </c>
      <c r="CN50" t="e">
        <f>AND('5to. Bach_B'!H14,"AAAAAD/dzVs=")</f>
        <v>#VALUE!</v>
      </c>
      <c r="CO50" t="e">
        <f>AND('5to. Bach_B'!I14,"AAAAAD/dzVw=")</f>
        <v>#VALUE!</v>
      </c>
      <c r="CP50" t="e">
        <f>AND('5to. Bach_B'!J14,"AAAAAD/dzV0=")</f>
        <v>#VALUE!</v>
      </c>
      <c r="CQ50" t="e">
        <f>AND('5to. Bach_B'!K14,"AAAAAD/dzV4=")</f>
        <v>#VALUE!</v>
      </c>
      <c r="CR50" t="e">
        <f>AND('5to. Bach_B'!L14,"AAAAAD/dzV8=")</f>
        <v>#VALUE!</v>
      </c>
      <c r="CS50" t="e">
        <f>AND('5to. Bach_B'!M14,"AAAAAD/dzWA=")</f>
        <v>#VALUE!</v>
      </c>
      <c r="CT50" t="e">
        <f>AND('5to. Bach_B'!N14,"AAAAAD/dzWE=")</f>
        <v>#VALUE!</v>
      </c>
      <c r="CU50" t="e">
        <f>AND('5to. Bach_B'!O14,"AAAAAD/dzWI=")</f>
        <v>#VALUE!</v>
      </c>
      <c r="CV50" t="e">
        <f>AND('5to. Bach_B'!P14,"AAAAAD/dzWM=")</f>
        <v>#VALUE!</v>
      </c>
      <c r="CW50" t="e">
        <f>AND('5to. Bach_B'!Q14,"AAAAAD/dzWQ=")</f>
        <v>#VALUE!</v>
      </c>
      <c r="CX50" t="e">
        <f>AND('5to. Bach_B'!R14,"AAAAAD/dzWU=")</f>
        <v>#VALUE!</v>
      </c>
      <c r="CY50" t="e">
        <f>AND('5to. Bach_B'!S14,"AAAAAD/dzWY=")</f>
        <v>#VALUE!</v>
      </c>
      <c r="CZ50" t="e">
        <f>AND('5to. Bach_B'!T14,"AAAAAD/dzWc=")</f>
        <v>#VALUE!</v>
      </c>
      <c r="DA50" t="e">
        <f>AND('5to. Bach_B'!#REF!,"AAAAAD/dzWg=")</f>
        <v>#REF!</v>
      </c>
      <c r="DB50" t="e">
        <f>AND('5to. Bach_B'!#REF!,"AAAAAD/dzWk=")</f>
        <v>#REF!</v>
      </c>
      <c r="DC50" t="e">
        <f>AND('5to. Bach_B'!#REF!,"AAAAAD/dzWo=")</f>
        <v>#REF!</v>
      </c>
      <c r="DD50" t="e">
        <f>AND('5to. Bach_B'!#REF!,"AAAAAD/dzWs=")</f>
        <v>#REF!</v>
      </c>
      <c r="DE50" t="e">
        <f>AND('5to. Bach_B'!#REF!,"AAAAAD/dzWw=")</f>
        <v>#REF!</v>
      </c>
      <c r="DF50">
        <f>IF('5to. Bach_B'!15:15,"AAAAAD/dzW0=",0)</f>
        <v>0</v>
      </c>
      <c r="DG50" t="e">
        <f>AND('5to. Bach_B'!A15,"AAAAAD/dzW4=")</f>
        <v>#VALUE!</v>
      </c>
      <c r="DH50" t="e">
        <f>AND('5to. Bach_B'!B15,"AAAAAD/dzW8=")</f>
        <v>#VALUE!</v>
      </c>
      <c r="DI50" t="e">
        <f>AND('5to. Bach_B'!C15,"AAAAAD/dzXA=")</f>
        <v>#VALUE!</v>
      </c>
      <c r="DJ50" t="e">
        <f>AND('5to. Bach_B'!D15,"AAAAAD/dzXE=")</f>
        <v>#VALUE!</v>
      </c>
      <c r="DK50" t="e">
        <f>AND('5to. Bach_B'!E15,"AAAAAD/dzXI=")</f>
        <v>#VALUE!</v>
      </c>
      <c r="DL50" t="e">
        <f>AND('5to. Bach_B'!F15,"AAAAAD/dzXM=")</f>
        <v>#VALUE!</v>
      </c>
      <c r="DM50" t="e">
        <f>AND('5to. Bach_B'!G15,"AAAAAD/dzXQ=")</f>
        <v>#VALUE!</v>
      </c>
      <c r="DN50" t="e">
        <f>AND('5to. Bach_B'!H15,"AAAAAD/dzXU=")</f>
        <v>#VALUE!</v>
      </c>
      <c r="DO50" t="e">
        <f>AND('5to. Bach_B'!I15,"AAAAAD/dzXY=")</f>
        <v>#VALUE!</v>
      </c>
      <c r="DP50" t="e">
        <f>AND('5to. Bach_B'!J15,"AAAAAD/dzXc=")</f>
        <v>#VALUE!</v>
      </c>
      <c r="DQ50" t="e">
        <f>AND('5to. Bach_B'!K15,"AAAAAD/dzXg=")</f>
        <v>#VALUE!</v>
      </c>
      <c r="DR50" t="e">
        <f>AND('5to. Bach_B'!L15,"AAAAAD/dzXk=")</f>
        <v>#VALUE!</v>
      </c>
      <c r="DS50" t="e">
        <f>AND('5to. Bach_B'!M15,"AAAAAD/dzXo=")</f>
        <v>#VALUE!</v>
      </c>
      <c r="DT50" t="e">
        <f>AND('5to. Bach_B'!N15,"AAAAAD/dzXs=")</f>
        <v>#VALUE!</v>
      </c>
      <c r="DU50" t="e">
        <f>AND('5to. Bach_B'!O15,"AAAAAD/dzXw=")</f>
        <v>#VALUE!</v>
      </c>
      <c r="DV50" t="e">
        <f>AND('5to. Bach_B'!P15,"AAAAAD/dzX0=")</f>
        <v>#VALUE!</v>
      </c>
      <c r="DW50" t="e">
        <f>AND('5to. Bach_B'!Q15,"AAAAAD/dzX4=")</f>
        <v>#VALUE!</v>
      </c>
      <c r="DX50" t="e">
        <f>AND('5to. Bach_B'!R15,"AAAAAD/dzX8=")</f>
        <v>#VALUE!</v>
      </c>
      <c r="DY50" t="e">
        <f>AND('5to. Bach_B'!S15,"AAAAAD/dzYA=")</f>
        <v>#VALUE!</v>
      </c>
      <c r="DZ50" t="e">
        <f>AND('5to. Bach_B'!T15,"AAAAAD/dzYE=")</f>
        <v>#VALUE!</v>
      </c>
      <c r="EA50" t="e">
        <f>AND('5to. Bach_B'!#REF!,"AAAAAD/dzYI=")</f>
        <v>#REF!</v>
      </c>
      <c r="EB50" t="e">
        <f>AND('5to. Bach_B'!#REF!,"AAAAAD/dzYM=")</f>
        <v>#REF!</v>
      </c>
      <c r="EC50" t="e">
        <f>AND('5to. Bach_B'!#REF!,"AAAAAD/dzYQ=")</f>
        <v>#REF!</v>
      </c>
      <c r="ED50" t="e">
        <f>AND('5to. Bach_B'!#REF!,"AAAAAD/dzYU=")</f>
        <v>#REF!</v>
      </c>
      <c r="EE50" t="e">
        <f>AND('5to. Bach_B'!#REF!,"AAAAAD/dzYY=")</f>
        <v>#REF!</v>
      </c>
      <c r="EF50">
        <f>IF('5to. Bach_B'!16:16,"AAAAAD/dzYc=",0)</f>
        <v>0</v>
      </c>
      <c r="EG50" t="e">
        <f>AND('5to. Bach_B'!A16,"AAAAAD/dzYg=")</f>
        <v>#VALUE!</v>
      </c>
      <c r="EH50" t="e">
        <f>AND('5to. Bach_B'!B16,"AAAAAD/dzYk=")</f>
        <v>#VALUE!</v>
      </c>
      <c r="EI50" t="e">
        <f>AND('5to. Bach_B'!C16,"AAAAAD/dzYo=")</f>
        <v>#VALUE!</v>
      </c>
      <c r="EJ50" t="e">
        <f>AND('5to. Bach_B'!D16,"AAAAAD/dzYs=")</f>
        <v>#VALUE!</v>
      </c>
      <c r="EK50" t="e">
        <f>AND('5to. Bach_B'!E16,"AAAAAD/dzYw=")</f>
        <v>#VALUE!</v>
      </c>
      <c r="EL50" t="e">
        <f>AND('5to. Bach_B'!F16,"AAAAAD/dzY0=")</f>
        <v>#VALUE!</v>
      </c>
      <c r="EM50" t="e">
        <f>AND('5to. Bach_B'!G16,"AAAAAD/dzY4=")</f>
        <v>#VALUE!</v>
      </c>
      <c r="EN50" t="e">
        <f>AND('5to. Bach_B'!H16,"AAAAAD/dzY8=")</f>
        <v>#VALUE!</v>
      </c>
      <c r="EO50" t="e">
        <f>AND('5to. Bach_B'!I16,"AAAAAD/dzZA=")</f>
        <v>#VALUE!</v>
      </c>
      <c r="EP50" t="e">
        <f>AND('5to. Bach_B'!J16,"AAAAAD/dzZE=")</f>
        <v>#VALUE!</v>
      </c>
      <c r="EQ50" t="e">
        <f>AND('5to. Bach_B'!K16,"AAAAAD/dzZI=")</f>
        <v>#VALUE!</v>
      </c>
      <c r="ER50" t="e">
        <f>AND('5to. Bach_B'!L16,"AAAAAD/dzZM=")</f>
        <v>#VALUE!</v>
      </c>
      <c r="ES50" t="e">
        <f>AND('5to. Bach_B'!M16,"AAAAAD/dzZQ=")</f>
        <v>#VALUE!</v>
      </c>
      <c r="ET50" t="e">
        <f>AND('5to. Bach_B'!N16,"AAAAAD/dzZU=")</f>
        <v>#VALUE!</v>
      </c>
      <c r="EU50" t="e">
        <f>AND('5to. Bach_B'!O16,"AAAAAD/dzZY=")</f>
        <v>#VALUE!</v>
      </c>
      <c r="EV50" t="e">
        <f>AND('5to. Bach_B'!P16,"AAAAAD/dzZc=")</f>
        <v>#VALUE!</v>
      </c>
      <c r="EW50" t="e">
        <f>AND('5to. Bach_B'!Q16,"AAAAAD/dzZg=")</f>
        <v>#VALUE!</v>
      </c>
      <c r="EX50" t="e">
        <f>AND('5to. Bach_B'!R16,"AAAAAD/dzZk=")</f>
        <v>#VALUE!</v>
      </c>
      <c r="EY50" t="e">
        <f>AND('5to. Bach_B'!S16,"AAAAAD/dzZo=")</f>
        <v>#VALUE!</v>
      </c>
      <c r="EZ50" t="e">
        <f>AND('5to. Bach_B'!T16,"AAAAAD/dzZs=")</f>
        <v>#VALUE!</v>
      </c>
      <c r="FA50" t="e">
        <f>AND('5to. Bach_B'!#REF!,"AAAAAD/dzZw=")</f>
        <v>#REF!</v>
      </c>
      <c r="FB50" t="e">
        <f>AND('5to. Bach_B'!#REF!,"AAAAAD/dzZ0=")</f>
        <v>#REF!</v>
      </c>
      <c r="FC50" t="e">
        <f>AND('5to. Bach_B'!#REF!,"AAAAAD/dzZ4=")</f>
        <v>#REF!</v>
      </c>
      <c r="FD50" t="e">
        <f>AND('5to. Bach_B'!#REF!,"AAAAAD/dzZ8=")</f>
        <v>#REF!</v>
      </c>
      <c r="FE50" t="e">
        <f>AND('5to. Bach_B'!#REF!,"AAAAAD/dzaA=")</f>
        <v>#REF!</v>
      </c>
      <c r="FF50">
        <f>IF('5to. Bach_B'!17:17,"AAAAAD/dzaE=",0)</f>
        <v>0</v>
      </c>
      <c r="FG50" t="e">
        <f>AND('5to. Bach_B'!A17,"AAAAAD/dzaI=")</f>
        <v>#VALUE!</v>
      </c>
      <c r="FH50" t="e">
        <f>AND('5to. Bach_B'!B17,"AAAAAD/dzaM=")</f>
        <v>#VALUE!</v>
      </c>
      <c r="FI50" t="e">
        <f>AND('5to. Bach_B'!C17,"AAAAAD/dzaQ=")</f>
        <v>#VALUE!</v>
      </c>
      <c r="FJ50" t="e">
        <f>AND('5to. Bach_B'!D17,"AAAAAD/dzaU=")</f>
        <v>#VALUE!</v>
      </c>
      <c r="FK50" t="e">
        <f>AND('5to. Bach_B'!E17,"AAAAAD/dzaY=")</f>
        <v>#VALUE!</v>
      </c>
      <c r="FL50" t="e">
        <f>AND('5to. Bach_B'!F17,"AAAAAD/dzac=")</f>
        <v>#VALUE!</v>
      </c>
      <c r="FM50" t="e">
        <f>AND('5to. Bach_B'!G17,"AAAAAD/dzag=")</f>
        <v>#VALUE!</v>
      </c>
      <c r="FN50" t="e">
        <f>AND('5to. Bach_B'!H17,"AAAAAD/dzak=")</f>
        <v>#VALUE!</v>
      </c>
      <c r="FO50" t="e">
        <f>AND('5to. Bach_B'!I17,"AAAAAD/dzao=")</f>
        <v>#VALUE!</v>
      </c>
      <c r="FP50" t="e">
        <f>AND('5to. Bach_B'!J17,"AAAAAD/dzas=")</f>
        <v>#VALUE!</v>
      </c>
      <c r="FQ50" t="e">
        <f>AND('5to. Bach_B'!K17,"AAAAAD/dzaw=")</f>
        <v>#VALUE!</v>
      </c>
      <c r="FR50" t="e">
        <f>AND('5to. Bach_B'!L17,"AAAAAD/dza0=")</f>
        <v>#VALUE!</v>
      </c>
      <c r="FS50" t="e">
        <f>AND('5to. Bach_B'!M17,"AAAAAD/dza4=")</f>
        <v>#VALUE!</v>
      </c>
      <c r="FT50" t="e">
        <f>AND('5to. Bach_B'!N17,"AAAAAD/dza8=")</f>
        <v>#VALUE!</v>
      </c>
      <c r="FU50" t="e">
        <f>AND('5to. Bach_B'!O17,"AAAAAD/dzbA=")</f>
        <v>#VALUE!</v>
      </c>
      <c r="FV50" t="e">
        <f>AND('5to. Bach_B'!P17,"AAAAAD/dzbE=")</f>
        <v>#VALUE!</v>
      </c>
      <c r="FW50" t="e">
        <f>AND('5to. Bach_B'!Q17,"AAAAAD/dzbI=")</f>
        <v>#VALUE!</v>
      </c>
      <c r="FX50" t="e">
        <f>AND('5to. Bach_B'!R17,"AAAAAD/dzbM=")</f>
        <v>#VALUE!</v>
      </c>
      <c r="FY50" t="e">
        <f>AND('5to. Bach_B'!S17,"AAAAAD/dzbQ=")</f>
        <v>#VALUE!</v>
      </c>
      <c r="FZ50" t="e">
        <f>AND('5to. Bach_B'!T17,"AAAAAD/dzbU=")</f>
        <v>#VALUE!</v>
      </c>
      <c r="GA50" t="e">
        <f>AND('5to. Bach_B'!#REF!,"AAAAAD/dzbY=")</f>
        <v>#REF!</v>
      </c>
      <c r="GB50" t="e">
        <f>AND('5to. Bach_B'!#REF!,"AAAAAD/dzbc=")</f>
        <v>#REF!</v>
      </c>
      <c r="GC50" t="e">
        <f>AND('5to. Bach_B'!#REF!,"AAAAAD/dzbg=")</f>
        <v>#REF!</v>
      </c>
      <c r="GD50" t="e">
        <f>AND('5to. Bach_B'!#REF!,"AAAAAD/dzbk=")</f>
        <v>#REF!</v>
      </c>
      <c r="GE50" t="e">
        <f>AND('5to. Bach_B'!#REF!,"AAAAAD/dzbo=")</f>
        <v>#REF!</v>
      </c>
      <c r="GF50">
        <f>IF('5to. Bach_B'!18:18,"AAAAAD/dzbs=",0)</f>
        <v>0</v>
      </c>
      <c r="GG50" t="e">
        <f>AND('5to. Bach_B'!A18,"AAAAAD/dzbw=")</f>
        <v>#VALUE!</v>
      </c>
      <c r="GH50" t="e">
        <f>AND('5to. Bach_B'!B18,"AAAAAD/dzb0=")</f>
        <v>#VALUE!</v>
      </c>
      <c r="GI50" t="e">
        <f>AND('5to. Bach_B'!C18,"AAAAAD/dzb4=")</f>
        <v>#VALUE!</v>
      </c>
      <c r="GJ50" t="e">
        <f>AND('5to. Bach_B'!D18,"AAAAAD/dzb8=")</f>
        <v>#VALUE!</v>
      </c>
      <c r="GK50" t="e">
        <f>AND('5to. Bach_B'!E18,"AAAAAD/dzcA=")</f>
        <v>#VALUE!</v>
      </c>
      <c r="GL50" t="e">
        <f>AND('5to. Bach_B'!F18,"AAAAAD/dzcE=")</f>
        <v>#VALUE!</v>
      </c>
      <c r="GM50" t="e">
        <f>AND('5to. Bach_B'!G18,"AAAAAD/dzcI=")</f>
        <v>#VALUE!</v>
      </c>
      <c r="GN50" t="e">
        <f>AND('5to. Bach_B'!H18,"AAAAAD/dzcM=")</f>
        <v>#VALUE!</v>
      </c>
      <c r="GO50" t="e">
        <f>AND('5to. Bach_B'!I18,"AAAAAD/dzcQ=")</f>
        <v>#VALUE!</v>
      </c>
      <c r="GP50" t="e">
        <f>AND('5to. Bach_B'!J18,"AAAAAD/dzcU=")</f>
        <v>#VALUE!</v>
      </c>
      <c r="GQ50" t="e">
        <f>AND('5to. Bach_B'!K18,"AAAAAD/dzcY=")</f>
        <v>#VALUE!</v>
      </c>
      <c r="GR50" t="e">
        <f>AND('5to. Bach_B'!L18,"AAAAAD/dzcc=")</f>
        <v>#VALUE!</v>
      </c>
      <c r="GS50" t="e">
        <f>AND('5to. Bach_B'!M18,"AAAAAD/dzcg=")</f>
        <v>#VALUE!</v>
      </c>
      <c r="GT50" t="e">
        <f>AND('5to. Bach_B'!N18,"AAAAAD/dzck=")</f>
        <v>#VALUE!</v>
      </c>
      <c r="GU50" t="e">
        <f>AND('5to. Bach_B'!O18,"AAAAAD/dzco=")</f>
        <v>#VALUE!</v>
      </c>
      <c r="GV50" t="e">
        <f>AND('5to. Bach_B'!P18,"AAAAAD/dzcs=")</f>
        <v>#VALUE!</v>
      </c>
      <c r="GW50" t="e">
        <f>AND('5to. Bach_B'!Q18,"AAAAAD/dzcw=")</f>
        <v>#VALUE!</v>
      </c>
      <c r="GX50" t="e">
        <f>AND('5to. Bach_B'!R18,"AAAAAD/dzc0=")</f>
        <v>#VALUE!</v>
      </c>
      <c r="GY50" t="e">
        <f>AND('5to. Bach_B'!S18,"AAAAAD/dzc4=")</f>
        <v>#VALUE!</v>
      </c>
      <c r="GZ50" t="e">
        <f>AND('5to. Bach_B'!T18,"AAAAAD/dzc8=")</f>
        <v>#VALUE!</v>
      </c>
      <c r="HA50" t="e">
        <f>AND('5to. Bach_B'!#REF!,"AAAAAD/dzdA=")</f>
        <v>#REF!</v>
      </c>
      <c r="HB50" t="e">
        <f>AND('5to. Bach_B'!#REF!,"AAAAAD/dzdE=")</f>
        <v>#REF!</v>
      </c>
      <c r="HC50" t="e">
        <f>AND('5to. Bach_B'!#REF!,"AAAAAD/dzdI=")</f>
        <v>#REF!</v>
      </c>
      <c r="HD50" t="e">
        <f>AND('5to. Bach_B'!#REF!,"AAAAAD/dzdM=")</f>
        <v>#REF!</v>
      </c>
      <c r="HE50" t="e">
        <f>AND('5to. Bach_B'!#REF!,"AAAAAD/dzdQ=")</f>
        <v>#REF!</v>
      </c>
      <c r="HF50">
        <f>IF('5to. Bach_B'!19:19,"AAAAAD/dzdU=",0)</f>
        <v>0</v>
      </c>
      <c r="HG50" t="e">
        <f>AND('5to. Bach_B'!A19,"AAAAAD/dzdY=")</f>
        <v>#VALUE!</v>
      </c>
      <c r="HH50" t="e">
        <f>AND('5to. Bach_B'!B19,"AAAAAD/dzdc=")</f>
        <v>#VALUE!</v>
      </c>
      <c r="HI50" t="e">
        <f>AND('5to. Bach_B'!C19,"AAAAAD/dzdg=")</f>
        <v>#VALUE!</v>
      </c>
      <c r="HJ50" t="e">
        <f>AND('5to. Bach_B'!D19,"AAAAAD/dzdk=")</f>
        <v>#VALUE!</v>
      </c>
      <c r="HK50" t="e">
        <f>AND('5to. Bach_B'!E19,"AAAAAD/dzdo=")</f>
        <v>#VALUE!</v>
      </c>
      <c r="HL50" t="e">
        <f>AND('5to. Bach_B'!F19,"AAAAAD/dzds=")</f>
        <v>#VALUE!</v>
      </c>
      <c r="HM50" t="e">
        <f>AND('5to. Bach_B'!G19,"AAAAAD/dzdw=")</f>
        <v>#VALUE!</v>
      </c>
      <c r="HN50" t="e">
        <f>AND('5to. Bach_B'!H19,"AAAAAD/dzd0=")</f>
        <v>#VALUE!</v>
      </c>
      <c r="HO50" t="e">
        <f>AND('5to. Bach_B'!I19,"AAAAAD/dzd4=")</f>
        <v>#VALUE!</v>
      </c>
      <c r="HP50" t="e">
        <f>AND('5to. Bach_B'!J19,"AAAAAD/dzd8=")</f>
        <v>#VALUE!</v>
      </c>
      <c r="HQ50" t="e">
        <f>AND('5to. Bach_B'!K19,"AAAAAD/dzeA=")</f>
        <v>#VALUE!</v>
      </c>
      <c r="HR50" t="e">
        <f>AND('5to. Bach_B'!L19,"AAAAAD/dzeE=")</f>
        <v>#VALUE!</v>
      </c>
      <c r="HS50" t="e">
        <f>AND('5to. Bach_B'!M19,"AAAAAD/dzeI=")</f>
        <v>#VALUE!</v>
      </c>
      <c r="HT50" t="e">
        <f>AND('5to. Bach_B'!N19,"AAAAAD/dzeM=")</f>
        <v>#VALUE!</v>
      </c>
      <c r="HU50" t="e">
        <f>AND('5to. Bach_B'!O19,"AAAAAD/dzeQ=")</f>
        <v>#VALUE!</v>
      </c>
      <c r="HV50" t="e">
        <f>AND('5to. Bach_B'!P19,"AAAAAD/dzeU=")</f>
        <v>#VALUE!</v>
      </c>
      <c r="HW50" t="e">
        <f>AND('5to. Bach_B'!Q19,"AAAAAD/dzeY=")</f>
        <v>#VALUE!</v>
      </c>
      <c r="HX50" t="e">
        <f>AND('5to. Bach_B'!R19,"AAAAAD/dzec=")</f>
        <v>#VALUE!</v>
      </c>
      <c r="HY50" t="e">
        <f>AND('5to. Bach_B'!S19,"AAAAAD/dzeg=")</f>
        <v>#VALUE!</v>
      </c>
      <c r="HZ50" t="e">
        <f>AND('5to. Bach_B'!T19,"AAAAAD/dzek=")</f>
        <v>#VALUE!</v>
      </c>
      <c r="IA50" t="e">
        <f>AND('5to. Bach_B'!#REF!,"AAAAAD/dzeo=")</f>
        <v>#REF!</v>
      </c>
      <c r="IB50" t="e">
        <f>AND('5to. Bach_B'!#REF!,"AAAAAD/dzes=")</f>
        <v>#REF!</v>
      </c>
      <c r="IC50" t="e">
        <f>AND('5to. Bach_B'!#REF!,"AAAAAD/dzew=")</f>
        <v>#REF!</v>
      </c>
      <c r="ID50" t="e">
        <f>AND('5to. Bach_B'!#REF!,"AAAAAD/dze0=")</f>
        <v>#REF!</v>
      </c>
      <c r="IE50" t="e">
        <f>AND('5to. Bach_B'!#REF!,"AAAAAD/dze4=")</f>
        <v>#REF!</v>
      </c>
      <c r="IF50">
        <f>IF('5to. Bach_B'!20:20,"AAAAAD/dze8=",0)</f>
        <v>0</v>
      </c>
      <c r="IG50" t="e">
        <f>AND('5to. Bach_B'!A20,"AAAAAD/dzfA=")</f>
        <v>#VALUE!</v>
      </c>
      <c r="IH50" t="e">
        <f>AND('5to. Bach_B'!B20,"AAAAAD/dzfE=")</f>
        <v>#VALUE!</v>
      </c>
      <c r="II50" t="e">
        <f>AND('5to. Bach_B'!C20,"AAAAAD/dzfI=")</f>
        <v>#VALUE!</v>
      </c>
      <c r="IJ50" t="e">
        <f>AND('5to. Bach_B'!D20,"AAAAAD/dzfM=")</f>
        <v>#VALUE!</v>
      </c>
      <c r="IK50" t="e">
        <f>AND('5to. Bach_B'!E20,"AAAAAD/dzfQ=")</f>
        <v>#VALUE!</v>
      </c>
      <c r="IL50" t="e">
        <f>AND('5to. Bach_B'!F20,"AAAAAD/dzfU=")</f>
        <v>#VALUE!</v>
      </c>
      <c r="IM50" t="e">
        <f>AND('5to. Bach_B'!G20,"AAAAAD/dzfY=")</f>
        <v>#VALUE!</v>
      </c>
      <c r="IN50" t="e">
        <f>AND('5to. Bach_B'!H20,"AAAAAD/dzfc=")</f>
        <v>#VALUE!</v>
      </c>
      <c r="IO50" t="e">
        <f>AND('5to. Bach_B'!I20,"AAAAAD/dzfg=")</f>
        <v>#VALUE!</v>
      </c>
      <c r="IP50" t="e">
        <f>AND('5to. Bach_B'!J20,"AAAAAD/dzfk=")</f>
        <v>#VALUE!</v>
      </c>
      <c r="IQ50" t="e">
        <f>AND('5to. Bach_B'!K20,"AAAAAD/dzfo=")</f>
        <v>#VALUE!</v>
      </c>
      <c r="IR50" t="e">
        <f>AND('5to. Bach_B'!L20,"AAAAAD/dzfs=")</f>
        <v>#VALUE!</v>
      </c>
      <c r="IS50" t="e">
        <f>AND('5to. Bach_B'!M20,"AAAAAD/dzfw=")</f>
        <v>#VALUE!</v>
      </c>
      <c r="IT50" t="e">
        <f>AND('5to. Bach_B'!N20,"AAAAAD/dzf0=")</f>
        <v>#VALUE!</v>
      </c>
      <c r="IU50" t="e">
        <f>AND('5to. Bach_B'!O20,"AAAAAD/dzf4=")</f>
        <v>#VALUE!</v>
      </c>
      <c r="IV50" t="e">
        <f>AND('5to. Bach_B'!P20,"AAAAAD/dzf8=")</f>
        <v>#VALUE!</v>
      </c>
    </row>
    <row r="51" spans="1:256">
      <c r="A51" t="e">
        <f>AND('5to. Bach_B'!Q20,"AAAAAD91PwA=")</f>
        <v>#VALUE!</v>
      </c>
      <c r="B51" t="e">
        <f>AND('5to. Bach_B'!R20,"AAAAAD91PwE=")</f>
        <v>#VALUE!</v>
      </c>
      <c r="C51" t="e">
        <f>AND('5to. Bach_B'!S20,"AAAAAD91PwI=")</f>
        <v>#VALUE!</v>
      </c>
      <c r="D51" t="e">
        <f>AND('5to. Bach_B'!T20,"AAAAAD91PwM=")</f>
        <v>#VALUE!</v>
      </c>
      <c r="E51" t="e">
        <f>AND('5to. Bach_B'!#REF!,"AAAAAD91PwQ=")</f>
        <v>#REF!</v>
      </c>
      <c r="F51" t="e">
        <f>AND('5to. Bach_B'!#REF!,"AAAAAD91PwU=")</f>
        <v>#REF!</v>
      </c>
      <c r="G51" t="e">
        <f>AND('5to. Bach_B'!#REF!,"AAAAAD91PwY=")</f>
        <v>#REF!</v>
      </c>
      <c r="H51" t="e">
        <f>AND('5to. Bach_B'!#REF!,"AAAAAD91Pwc=")</f>
        <v>#REF!</v>
      </c>
      <c r="I51" t="e">
        <f>AND('5to. Bach_B'!#REF!,"AAAAAD91Pwg=")</f>
        <v>#REF!</v>
      </c>
      <c r="J51">
        <f>IF('5to. Bach_B'!21:21,"AAAAAD91Pwk=",0)</f>
        <v>0</v>
      </c>
      <c r="K51" t="e">
        <f>AND('5to. Bach_B'!A21,"AAAAAD91Pwo=")</f>
        <v>#VALUE!</v>
      </c>
      <c r="L51" t="e">
        <f>AND('5to. Bach_B'!B21,"AAAAAD91Pws=")</f>
        <v>#VALUE!</v>
      </c>
      <c r="M51" t="e">
        <f>AND('5to. Bach_B'!C21,"AAAAAD91Pww=")</f>
        <v>#VALUE!</v>
      </c>
      <c r="N51" t="e">
        <f>AND('5to. Bach_B'!D21,"AAAAAD91Pw0=")</f>
        <v>#VALUE!</v>
      </c>
      <c r="O51" t="e">
        <f>AND('5to. Bach_B'!E21,"AAAAAD91Pw4=")</f>
        <v>#VALUE!</v>
      </c>
      <c r="P51" t="e">
        <f>AND('5to. Bach_B'!F21,"AAAAAD91Pw8=")</f>
        <v>#VALUE!</v>
      </c>
      <c r="Q51" t="e">
        <f>AND('5to. Bach_B'!G21,"AAAAAD91PxA=")</f>
        <v>#VALUE!</v>
      </c>
      <c r="R51" t="e">
        <f>AND('5to. Bach_B'!H21,"AAAAAD91PxE=")</f>
        <v>#VALUE!</v>
      </c>
      <c r="S51" t="e">
        <f>AND('5to. Bach_B'!I21,"AAAAAD91PxI=")</f>
        <v>#VALUE!</v>
      </c>
      <c r="T51" t="e">
        <f>AND('5to. Bach_B'!J21,"AAAAAD91PxM=")</f>
        <v>#VALUE!</v>
      </c>
      <c r="U51" t="e">
        <f>AND('5to. Bach_B'!K21,"AAAAAD91PxQ=")</f>
        <v>#VALUE!</v>
      </c>
      <c r="V51" t="e">
        <f>AND('5to. Bach_B'!L21,"AAAAAD91PxU=")</f>
        <v>#VALUE!</v>
      </c>
      <c r="W51" t="e">
        <f>AND('5to. Bach_B'!M21,"AAAAAD91PxY=")</f>
        <v>#VALUE!</v>
      </c>
      <c r="X51" t="e">
        <f>AND('5to. Bach_B'!N21,"AAAAAD91Pxc=")</f>
        <v>#VALUE!</v>
      </c>
      <c r="Y51" t="e">
        <f>AND('5to. Bach_B'!O21,"AAAAAD91Pxg=")</f>
        <v>#VALUE!</v>
      </c>
      <c r="Z51" t="e">
        <f>AND('5to. Bach_B'!P21,"AAAAAD91Pxk=")</f>
        <v>#VALUE!</v>
      </c>
      <c r="AA51" t="e">
        <f>AND('5to. Bach_B'!Q21,"AAAAAD91Pxo=")</f>
        <v>#VALUE!</v>
      </c>
      <c r="AB51" t="e">
        <f>AND('5to. Bach_B'!R21,"AAAAAD91Pxs=")</f>
        <v>#VALUE!</v>
      </c>
      <c r="AC51" t="e">
        <f>AND('5to. Bach_B'!S21,"AAAAAD91Pxw=")</f>
        <v>#VALUE!</v>
      </c>
      <c r="AD51" t="e">
        <f>AND('5to. Bach_B'!T21,"AAAAAD91Px0=")</f>
        <v>#VALUE!</v>
      </c>
      <c r="AE51" t="e">
        <f>AND('5to. Bach_B'!#REF!,"AAAAAD91Px4=")</f>
        <v>#REF!</v>
      </c>
      <c r="AF51" t="e">
        <f>AND('5to. Bach_B'!#REF!,"AAAAAD91Px8=")</f>
        <v>#REF!</v>
      </c>
      <c r="AG51" t="e">
        <f>AND('5to. Bach_B'!#REF!,"AAAAAD91PyA=")</f>
        <v>#REF!</v>
      </c>
      <c r="AH51" t="e">
        <f>AND('5to. Bach_B'!#REF!,"AAAAAD91PyE=")</f>
        <v>#REF!</v>
      </c>
      <c r="AI51" t="e">
        <f>AND('5to. Bach_B'!#REF!,"AAAAAD91PyI=")</f>
        <v>#REF!</v>
      </c>
      <c r="AJ51">
        <f>IF('5to. Bach_B'!22:22,"AAAAAD91PyM=",0)</f>
        <v>0</v>
      </c>
      <c r="AK51" t="e">
        <f>AND('5to. Bach_B'!A22,"AAAAAD91PyQ=")</f>
        <v>#VALUE!</v>
      </c>
      <c r="AL51" t="e">
        <f>AND('5to. Bach_B'!B22,"AAAAAD91PyU=")</f>
        <v>#VALUE!</v>
      </c>
      <c r="AM51" t="e">
        <f>AND('5to. Bach_B'!C22,"AAAAAD91PyY=")</f>
        <v>#VALUE!</v>
      </c>
      <c r="AN51" t="e">
        <f>AND('5to. Bach_B'!D22,"AAAAAD91Pyc=")</f>
        <v>#VALUE!</v>
      </c>
      <c r="AO51" t="e">
        <f>AND('5to. Bach_B'!E22,"AAAAAD91Pyg=")</f>
        <v>#VALUE!</v>
      </c>
      <c r="AP51" t="e">
        <f>AND('5to. Bach_B'!F22,"AAAAAD91Pyk=")</f>
        <v>#VALUE!</v>
      </c>
      <c r="AQ51" t="e">
        <f>AND('5to. Bach_B'!G22,"AAAAAD91Pyo=")</f>
        <v>#VALUE!</v>
      </c>
      <c r="AR51" t="e">
        <f>AND('5to. Bach_B'!H22,"AAAAAD91Pys=")</f>
        <v>#VALUE!</v>
      </c>
      <c r="AS51" t="e">
        <f>AND('5to. Bach_B'!I22,"AAAAAD91Pyw=")</f>
        <v>#VALUE!</v>
      </c>
      <c r="AT51" t="e">
        <f>AND('5to. Bach_B'!J22,"AAAAAD91Py0=")</f>
        <v>#VALUE!</v>
      </c>
      <c r="AU51" t="e">
        <f>AND('5to. Bach_B'!K22,"AAAAAD91Py4=")</f>
        <v>#VALUE!</v>
      </c>
      <c r="AV51" t="e">
        <f>AND('5to. Bach_B'!L22,"AAAAAD91Py8=")</f>
        <v>#VALUE!</v>
      </c>
      <c r="AW51" t="e">
        <f>AND('5to. Bach_B'!M22,"AAAAAD91PzA=")</f>
        <v>#VALUE!</v>
      </c>
      <c r="AX51" t="e">
        <f>AND('5to. Bach_B'!N22,"AAAAAD91PzE=")</f>
        <v>#VALUE!</v>
      </c>
      <c r="AY51" t="e">
        <f>AND('5to. Bach_B'!O22,"AAAAAD91PzI=")</f>
        <v>#VALUE!</v>
      </c>
      <c r="AZ51" t="e">
        <f>AND('5to. Bach_B'!P22,"AAAAAD91PzM=")</f>
        <v>#VALUE!</v>
      </c>
      <c r="BA51" t="e">
        <f>AND('5to. Bach_B'!Q22,"AAAAAD91PzQ=")</f>
        <v>#VALUE!</v>
      </c>
      <c r="BB51" t="e">
        <f>AND('5to. Bach_B'!R22,"AAAAAD91PzU=")</f>
        <v>#VALUE!</v>
      </c>
      <c r="BC51" t="e">
        <f>AND('5to. Bach_B'!S22,"AAAAAD91PzY=")</f>
        <v>#VALUE!</v>
      </c>
      <c r="BD51" t="e">
        <f>AND('5to. Bach_B'!T22,"AAAAAD91Pzc=")</f>
        <v>#VALUE!</v>
      </c>
      <c r="BE51" t="e">
        <f>AND('5to. Bach_B'!#REF!,"AAAAAD91Pzg=")</f>
        <v>#REF!</v>
      </c>
      <c r="BF51" t="e">
        <f>AND('5to. Bach_B'!#REF!,"AAAAAD91Pzk=")</f>
        <v>#REF!</v>
      </c>
      <c r="BG51" t="e">
        <f>AND('5to. Bach_B'!#REF!,"AAAAAD91Pzo=")</f>
        <v>#REF!</v>
      </c>
      <c r="BH51" t="e">
        <f>AND('5to. Bach_B'!#REF!,"AAAAAD91Pzs=")</f>
        <v>#REF!</v>
      </c>
      <c r="BI51" t="e">
        <f>AND('5to. Bach_B'!#REF!,"AAAAAD91Pzw=")</f>
        <v>#REF!</v>
      </c>
      <c r="BJ51">
        <f>IF('5to. Bach_B'!23:23,"AAAAAD91Pz0=",0)</f>
        <v>0</v>
      </c>
      <c r="BK51" t="e">
        <f>AND('5to. Bach_B'!A23,"AAAAAD91Pz4=")</f>
        <v>#VALUE!</v>
      </c>
      <c r="BL51" t="e">
        <f>AND('5to. Bach_B'!B23,"AAAAAD91Pz8=")</f>
        <v>#VALUE!</v>
      </c>
      <c r="BM51" t="e">
        <f>AND('5to. Bach_B'!C23,"AAAAAD91P0A=")</f>
        <v>#VALUE!</v>
      </c>
      <c r="BN51" t="e">
        <f>AND('5to. Bach_B'!D23,"AAAAAD91P0E=")</f>
        <v>#VALUE!</v>
      </c>
      <c r="BO51" t="e">
        <f>AND('5to. Bach_B'!E23,"AAAAAD91P0I=")</f>
        <v>#VALUE!</v>
      </c>
      <c r="BP51" t="e">
        <f>AND('5to. Bach_B'!F23,"AAAAAD91P0M=")</f>
        <v>#VALUE!</v>
      </c>
      <c r="BQ51" t="e">
        <f>AND('5to. Bach_B'!G23,"AAAAAD91P0Q=")</f>
        <v>#VALUE!</v>
      </c>
      <c r="BR51" t="e">
        <f>AND('5to. Bach_B'!H23,"AAAAAD91P0U=")</f>
        <v>#VALUE!</v>
      </c>
      <c r="BS51" t="e">
        <f>AND('5to. Bach_B'!I23,"AAAAAD91P0Y=")</f>
        <v>#VALUE!</v>
      </c>
      <c r="BT51" t="e">
        <f>AND('5to. Bach_B'!J23,"AAAAAD91P0c=")</f>
        <v>#VALUE!</v>
      </c>
      <c r="BU51" t="e">
        <f>AND('5to. Bach_B'!K23,"AAAAAD91P0g=")</f>
        <v>#VALUE!</v>
      </c>
      <c r="BV51" t="e">
        <f>AND('5to. Bach_B'!L23,"AAAAAD91P0k=")</f>
        <v>#VALUE!</v>
      </c>
      <c r="BW51" t="e">
        <f>AND('5to. Bach_B'!M23,"AAAAAD91P0o=")</f>
        <v>#VALUE!</v>
      </c>
      <c r="BX51" t="e">
        <f>AND('5to. Bach_B'!N23,"AAAAAD91P0s=")</f>
        <v>#VALUE!</v>
      </c>
      <c r="BY51" t="e">
        <f>AND('5to. Bach_B'!O23,"AAAAAD91P0w=")</f>
        <v>#VALUE!</v>
      </c>
      <c r="BZ51" t="e">
        <f>AND('5to. Bach_B'!P23,"AAAAAD91P00=")</f>
        <v>#VALUE!</v>
      </c>
      <c r="CA51" t="e">
        <f>AND('5to. Bach_B'!Q23,"AAAAAD91P04=")</f>
        <v>#VALUE!</v>
      </c>
      <c r="CB51" t="e">
        <f>AND('5to. Bach_B'!R23,"AAAAAD91P08=")</f>
        <v>#VALUE!</v>
      </c>
      <c r="CC51" t="e">
        <f>AND('5to. Bach_B'!S23,"AAAAAD91P1A=")</f>
        <v>#VALUE!</v>
      </c>
      <c r="CD51" t="e">
        <f>AND('5to. Bach_B'!T23,"AAAAAD91P1E=")</f>
        <v>#VALUE!</v>
      </c>
      <c r="CE51" t="e">
        <f>AND('5to. Bach_B'!#REF!,"AAAAAD91P1I=")</f>
        <v>#REF!</v>
      </c>
      <c r="CF51" t="e">
        <f>AND('5to. Bach_B'!#REF!,"AAAAAD91P1M=")</f>
        <v>#REF!</v>
      </c>
      <c r="CG51" t="e">
        <f>AND('5to. Bach_B'!#REF!,"AAAAAD91P1Q=")</f>
        <v>#REF!</v>
      </c>
      <c r="CH51" t="e">
        <f>AND('5to. Bach_B'!#REF!,"AAAAAD91P1U=")</f>
        <v>#REF!</v>
      </c>
      <c r="CI51" t="e">
        <f>AND('5to. Bach_B'!#REF!,"AAAAAD91P1Y=")</f>
        <v>#REF!</v>
      </c>
      <c r="CJ51">
        <f>IF('5to. Bach_B'!24:24,"AAAAAD91P1c=",0)</f>
        <v>0</v>
      </c>
      <c r="CK51" t="e">
        <f>AND('5to. Bach_B'!A24,"AAAAAD91P1g=")</f>
        <v>#VALUE!</v>
      </c>
      <c r="CL51" t="e">
        <f>AND('5to. Bach_B'!B24,"AAAAAD91P1k=")</f>
        <v>#VALUE!</v>
      </c>
      <c r="CM51" t="e">
        <f>AND('5to. Bach_B'!C24,"AAAAAD91P1o=")</f>
        <v>#VALUE!</v>
      </c>
      <c r="CN51" t="e">
        <f>AND('5to. Bach_B'!D24,"AAAAAD91P1s=")</f>
        <v>#VALUE!</v>
      </c>
      <c r="CO51" t="e">
        <f>AND('5to. Bach_B'!E24,"AAAAAD91P1w=")</f>
        <v>#VALUE!</v>
      </c>
      <c r="CP51" t="e">
        <f>AND('5to. Bach_B'!F24,"AAAAAD91P10=")</f>
        <v>#VALUE!</v>
      </c>
      <c r="CQ51" t="e">
        <f>AND('5to. Bach_B'!G24,"AAAAAD91P14=")</f>
        <v>#VALUE!</v>
      </c>
      <c r="CR51" t="e">
        <f>AND('5to. Bach_B'!H24,"AAAAAD91P18=")</f>
        <v>#VALUE!</v>
      </c>
      <c r="CS51" t="e">
        <f>AND('5to. Bach_B'!I24,"AAAAAD91P2A=")</f>
        <v>#VALUE!</v>
      </c>
      <c r="CT51" t="e">
        <f>AND('5to. Bach_B'!J24,"AAAAAD91P2E=")</f>
        <v>#VALUE!</v>
      </c>
      <c r="CU51" t="e">
        <f>AND('5to. Bach_B'!K24,"AAAAAD91P2I=")</f>
        <v>#VALUE!</v>
      </c>
      <c r="CV51" t="e">
        <f>AND('5to. Bach_B'!L24,"AAAAAD91P2M=")</f>
        <v>#VALUE!</v>
      </c>
      <c r="CW51" t="e">
        <f>AND('5to. Bach_B'!M24,"AAAAAD91P2Q=")</f>
        <v>#VALUE!</v>
      </c>
      <c r="CX51" t="e">
        <f>AND('5to. Bach_B'!N24,"AAAAAD91P2U=")</f>
        <v>#VALUE!</v>
      </c>
      <c r="CY51" t="e">
        <f>AND('5to. Bach_B'!O24,"AAAAAD91P2Y=")</f>
        <v>#VALUE!</v>
      </c>
      <c r="CZ51" t="e">
        <f>AND('5to. Bach_B'!P24,"AAAAAD91P2c=")</f>
        <v>#VALUE!</v>
      </c>
      <c r="DA51" t="e">
        <f>AND('5to. Bach_B'!Q24,"AAAAAD91P2g=")</f>
        <v>#VALUE!</v>
      </c>
      <c r="DB51" t="e">
        <f>AND('5to. Bach_B'!R24,"AAAAAD91P2k=")</f>
        <v>#VALUE!</v>
      </c>
      <c r="DC51" t="e">
        <f>AND('5to. Bach_B'!S24,"AAAAAD91P2o=")</f>
        <v>#VALUE!</v>
      </c>
      <c r="DD51" t="e">
        <f>AND('5to. Bach_B'!T24,"AAAAAD91P2s=")</f>
        <v>#VALUE!</v>
      </c>
      <c r="DE51" t="e">
        <f>AND('5to. Bach_B'!#REF!,"AAAAAD91P2w=")</f>
        <v>#REF!</v>
      </c>
      <c r="DF51" t="e">
        <f>AND('5to. Bach_B'!#REF!,"AAAAAD91P20=")</f>
        <v>#REF!</v>
      </c>
      <c r="DG51" t="e">
        <f>AND('5to. Bach_B'!#REF!,"AAAAAD91P24=")</f>
        <v>#REF!</v>
      </c>
      <c r="DH51" t="e">
        <f>AND('5to. Bach_B'!#REF!,"AAAAAD91P28=")</f>
        <v>#REF!</v>
      </c>
      <c r="DI51" t="e">
        <f>AND('5to. Bach_B'!#REF!,"AAAAAD91P3A=")</f>
        <v>#REF!</v>
      </c>
      <c r="DJ51">
        <f>IF('5to. Bach_B'!25:25,"AAAAAD91P3E=",0)</f>
        <v>0</v>
      </c>
      <c r="DK51" t="e">
        <f>AND('5to. Bach_B'!A25,"AAAAAD91P3I=")</f>
        <v>#VALUE!</v>
      </c>
      <c r="DL51" t="e">
        <f>AND('5to. Bach_B'!B25,"AAAAAD91P3M=")</f>
        <v>#VALUE!</v>
      </c>
      <c r="DM51" t="e">
        <f>AND('5to. Bach_B'!C25,"AAAAAD91P3Q=")</f>
        <v>#VALUE!</v>
      </c>
      <c r="DN51" t="e">
        <f>AND('5to. Bach_B'!D25,"AAAAAD91P3U=")</f>
        <v>#VALUE!</v>
      </c>
      <c r="DO51" t="e">
        <f>AND('5to. Bach_B'!E25,"AAAAAD91P3Y=")</f>
        <v>#VALUE!</v>
      </c>
      <c r="DP51" t="e">
        <f>AND('5to. Bach_B'!F25,"AAAAAD91P3c=")</f>
        <v>#VALUE!</v>
      </c>
      <c r="DQ51" t="e">
        <f>AND('5to. Bach_B'!G25,"AAAAAD91P3g=")</f>
        <v>#VALUE!</v>
      </c>
      <c r="DR51" t="e">
        <f>AND('5to. Bach_B'!H25,"AAAAAD91P3k=")</f>
        <v>#VALUE!</v>
      </c>
      <c r="DS51" t="e">
        <f>AND('5to. Bach_B'!I25,"AAAAAD91P3o=")</f>
        <v>#VALUE!</v>
      </c>
      <c r="DT51" t="e">
        <f>AND('5to. Bach_B'!J25,"AAAAAD91P3s=")</f>
        <v>#VALUE!</v>
      </c>
      <c r="DU51" t="e">
        <f>AND('5to. Bach_B'!K25,"AAAAAD91P3w=")</f>
        <v>#VALUE!</v>
      </c>
      <c r="DV51" t="e">
        <f>AND('5to. Bach_B'!L25,"AAAAAD91P30=")</f>
        <v>#VALUE!</v>
      </c>
      <c r="DW51" t="e">
        <f>AND('5to. Bach_B'!M25,"AAAAAD91P34=")</f>
        <v>#VALUE!</v>
      </c>
      <c r="DX51" t="e">
        <f>AND('5to. Bach_B'!N25,"AAAAAD91P38=")</f>
        <v>#VALUE!</v>
      </c>
      <c r="DY51" t="e">
        <f>AND('5to. Bach_B'!O25,"AAAAAD91P4A=")</f>
        <v>#VALUE!</v>
      </c>
      <c r="DZ51" t="e">
        <f>AND('5to. Bach_B'!P25,"AAAAAD91P4E=")</f>
        <v>#VALUE!</v>
      </c>
      <c r="EA51" t="e">
        <f>AND('5to. Bach_B'!Q25,"AAAAAD91P4I=")</f>
        <v>#VALUE!</v>
      </c>
      <c r="EB51" t="e">
        <f>AND('5to. Bach_B'!R25,"AAAAAD91P4M=")</f>
        <v>#VALUE!</v>
      </c>
      <c r="EC51" t="e">
        <f>AND('5to. Bach_B'!S25,"AAAAAD91P4Q=")</f>
        <v>#VALUE!</v>
      </c>
      <c r="ED51" t="e">
        <f>AND('5to. Bach_B'!T25,"AAAAAD91P4U=")</f>
        <v>#VALUE!</v>
      </c>
      <c r="EE51" t="e">
        <f>AND('5to. Bach_B'!#REF!,"AAAAAD91P4Y=")</f>
        <v>#REF!</v>
      </c>
      <c r="EF51" t="e">
        <f>AND('5to. Bach_B'!#REF!,"AAAAAD91P4c=")</f>
        <v>#REF!</v>
      </c>
      <c r="EG51" t="e">
        <f>AND('5to. Bach_B'!#REF!,"AAAAAD91P4g=")</f>
        <v>#REF!</v>
      </c>
      <c r="EH51" t="e">
        <f>AND('5to. Bach_B'!#REF!,"AAAAAD91P4k=")</f>
        <v>#REF!</v>
      </c>
      <c r="EI51" t="e">
        <f>AND('5to. Bach_B'!#REF!,"AAAAAD91P4o=")</f>
        <v>#REF!</v>
      </c>
      <c r="EJ51">
        <f>IF('5to. Bach_B'!26:26,"AAAAAD91P4s=",0)</f>
        <v>0</v>
      </c>
      <c r="EK51" t="e">
        <f>AND('5to. Bach_B'!A26,"AAAAAD91P4w=")</f>
        <v>#VALUE!</v>
      </c>
      <c r="EL51" t="e">
        <f>AND('5to. Bach_B'!B26,"AAAAAD91P40=")</f>
        <v>#VALUE!</v>
      </c>
      <c r="EM51" t="e">
        <f>AND('5to. Bach_B'!C26,"AAAAAD91P44=")</f>
        <v>#VALUE!</v>
      </c>
      <c r="EN51" t="e">
        <f>AND('5to. Bach_B'!D26,"AAAAAD91P48=")</f>
        <v>#VALUE!</v>
      </c>
      <c r="EO51" t="e">
        <f>AND('5to. Bach_B'!E26,"AAAAAD91P5A=")</f>
        <v>#VALUE!</v>
      </c>
      <c r="EP51" t="e">
        <f>AND('5to. Bach_B'!F26,"AAAAAD91P5E=")</f>
        <v>#VALUE!</v>
      </c>
      <c r="EQ51" t="e">
        <f>AND('5to. Bach_B'!G26,"AAAAAD91P5I=")</f>
        <v>#VALUE!</v>
      </c>
      <c r="ER51" t="e">
        <f>AND('5to. Bach_B'!H26,"AAAAAD91P5M=")</f>
        <v>#VALUE!</v>
      </c>
      <c r="ES51" t="e">
        <f>AND('5to. Bach_B'!I26,"AAAAAD91P5Q=")</f>
        <v>#VALUE!</v>
      </c>
      <c r="ET51" t="e">
        <f>AND('5to. Bach_B'!J26,"AAAAAD91P5U=")</f>
        <v>#VALUE!</v>
      </c>
      <c r="EU51" t="e">
        <f>AND('5to. Bach_B'!K26,"AAAAAD91P5Y=")</f>
        <v>#VALUE!</v>
      </c>
      <c r="EV51" t="e">
        <f>AND('5to. Bach_B'!L26,"AAAAAD91P5c=")</f>
        <v>#VALUE!</v>
      </c>
      <c r="EW51" t="e">
        <f>AND('5to. Bach_B'!M26,"AAAAAD91P5g=")</f>
        <v>#VALUE!</v>
      </c>
      <c r="EX51" t="e">
        <f>AND('5to. Bach_B'!N26,"AAAAAD91P5k=")</f>
        <v>#VALUE!</v>
      </c>
      <c r="EY51" t="e">
        <f>AND('5to. Bach_B'!O26,"AAAAAD91P5o=")</f>
        <v>#VALUE!</v>
      </c>
      <c r="EZ51" t="e">
        <f>AND('5to. Bach_B'!P26,"AAAAAD91P5s=")</f>
        <v>#VALUE!</v>
      </c>
      <c r="FA51" t="e">
        <f>AND('5to. Bach_B'!Q26,"AAAAAD91P5w=")</f>
        <v>#VALUE!</v>
      </c>
      <c r="FB51" t="e">
        <f>AND('5to. Bach_B'!R26,"AAAAAD91P50=")</f>
        <v>#VALUE!</v>
      </c>
      <c r="FC51" t="e">
        <f>AND('5to. Bach_B'!S26,"AAAAAD91P54=")</f>
        <v>#VALUE!</v>
      </c>
      <c r="FD51" t="e">
        <f>AND('5to. Bach_B'!T26,"AAAAAD91P58=")</f>
        <v>#VALUE!</v>
      </c>
      <c r="FE51" t="e">
        <f>AND('5to. Bach_B'!#REF!,"AAAAAD91P6A=")</f>
        <v>#REF!</v>
      </c>
      <c r="FF51" t="e">
        <f>AND('5to. Bach_B'!#REF!,"AAAAAD91P6E=")</f>
        <v>#REF!</v>
      </c>
      <c r="FG51" t="e">
        <f>AND('5to. Bach_B'!#REF!,"AAAAAD91P6I=")</f>
        <v>#REF!</v>
      </c>
      <c r="FH51" t="e">
        <f>AND('5to. Bach_B'!#REF!,"AAAAAD91P6M=")</f>
        <v>#REF!</v>
      </c>
      <c r="FI51" t="e">
        <f>AND('5to. Bach_B'!#REF!,"AAAAAD91P6Q=")</f>
        <v>#REF!</v>
      </c>
      <c r="FJ51">
        <f>IF('5to. Bach_B'!27:27,"AAAAAD91P6U=",0)</f>
        <v>0</v>
      </c>
      <c r="FK51" t="e">
        <f>AND('5to. Bach_B'!A27,"AAAAAD91P6Y=")</f>
        <v>#VALUE!</v>
      </c>
      <c r="FL51" t="e">
        <f>AND('5to. Bach_B'!B27,"AAAAAD91P6c=")</f>
        <v>#VALUE!</v>
      </c>
      <c r="FM51" t="e">
        <f>AND('5to. Bach_B'!C27,"AAAAAD91P6g=")</f>
        <v>#VALUE!</v>
      </c>
      <c r="FN51" t="e">
        <f>AND('5to. Bach_B'!D27,"AAAAAD91P6k=")</f>
        <v>#VALUE!</v>
      </c>
      <c r="FO51" t="e">
        <f>AND('5to. Bach_B'!E27,"AAAAAD91P6o=")</f>
        <v>#VALUE!</v>
      </c>
      <c r="FP51" t="e">
        <f>AND('5to. Bach_B'!F27,"AAAAAD91P6s=")</f>
        <v>#VALUE!</v>
      </c>
      <c r="FQ51" t="e">
        <f>AND('5to. Bach_B'!G27,"AAAAAD91P6w=")</f>
        <v>#VALUE!</v>
      </c>
      <c r="FR51" t="e">
        <f>AND('5to. Bach_B'!H27,"AAAAAD91P60=")</f>
        <v>#VALUE!</v>
      </c>
      <c r="FS51" t="e">
        <f>AND('5to. Bach_B'!I27,"AAAAAD91P64=")</f>
        <v>#VALUE!</v>
      </c>
      <c r="FT51" t="e">
        <f>AND('5to. Bach_B'!J27,"AAAAAD91P68=")</f>
        <v>#VALUE!</v>
      </c>
      <c r="FU51" t="e">
        <f>AND('5to. Bach_B'!K27,"AAAAAD91P7A=")</f>
        <v>#VALUE!</v>
      </c>
      <c r="FV51" t="e">
        <f>AND('5to. Bach_B'!L27,"AAAAAD91P7E=")</f>
        <v>#VALUE!</v>
      </c>
      <c r="FW51" t="e">
        <f>AND('5to. Bach_B'!M27,"AAAAAD91P7I=")</f>
        <v>#VALUE!</v>
      </c>
      <c r="FX51" t="e">
        <f>AND('5to. Bach_B'!N27,"AAAAAD91P7M=")</f>
        <v>#VALUE!</v>
      </c>
      <c r="FY51" t="e">
        <f>AND('5to. Bach_B'!O27,"AAAAAD91P7Q=")</f>
        <v>#VALUE!</v>
      </c>
      <c r="FZ51" t="e">
        <f>AND('5to. Bach_B'!P27,"AAAAAD91P7U=")</f>
        <v>#VALUE!</v>
      </c>
      <c r="GA51" t="e">
        <f>AND('5to. Bach_B'!Q27,"AAAAAD91P7Y=")</f>
        <v>#VALUE!</v>
      </c>
      <c r="GB51" t="e">
        <f>AND('5to. Bach_B'!R27,"AAAAAD91P7c=")</f>
        <v>#VALUE!</v>
      </c>
      <c r="GC51" t="e">
        <f>AND('5to. Bach_B'!S27,"AAAAAD91P7g=")</f>
        <v>#VALUE!</v>
      </c>
      <c r="GD51" t="e">
        <f>AND('5to. Bach_B'!T27,"AAAAAD91P7k=")</f>
        <v>#VALUE!</v>
      </c>
      <c r="GE51" t="e">
        <f>AND('5to. Bach_B'!#REF!,"AAAAAD91P7o=")</f>
        <v>#REF!</v>
      </c>
      <c r="GF51" t="e">
        <f>AND('5to. Bach_B'!#REF!,"AAAAAD91P7s=")</f>
        <v>#REF!</v>
      </c>
      <c r="GG51" t="e">
        <f>AND('5to. Bach_B'!#REF!,"AAAAAD91P7w=")</f>
        <v>#REF!</v>
      </c>
      <c r="GH51" t="e">
        <f>AND('5to. Bach_B'!#REF!,"AAAAAD91P70=")</f>
        <v>#REF!</v>
      </c>
      <c r="GI51" t="e">
        <f>AND('5to. Bach_B'!#REF!,"AAAAAD91P74=")</f>
        <v>#REF!</v>
      </c>
      <c r="GJ51">
        <f>IF('5to. Bach_B'!28:28,"AAAAAD91P78=",0)</f>
        <v>0</v>
      </c>
      <c r="GK51" t="e">
        <f>AND('5to. Bach_B'!A28,"AAAAAD91P8A=")</f>
        <v>#VALUE!</v>
      </c>
      <c r="GL51" t="e">
        <f>AND('5to. Bach_B'!B28,"AAAAAD91P8E=")</f>
        <v>#VALUE!</v>
      </c>
      <c r="GM51" t="e">
        <f>AND('5to. Bach_B'!C28,"AAAAAD91P8I=")</f>
        <v>#VALUE!</v>
      </c>
      <c r="GN51" t="e">
        <f>AND('5to. Bach_B'!D28,"AAAAAD91P8M=")</f>
        <v>#VALUE!</v>
      </c>
      <c r="GO51" t="e">
        <f>AND('5to. Bach_B'!E28,"AAAAAD91P8Q=")</f>
        <v>#VALUE!</v>
      </c>
      <c r="GP51" t="e">
        <f>AND('5to. Bach_B'!F28,"AAAAAD91P8U=")</f>
        <v>#VALUE!</v>
      </c>
      <c r="GQ51" t="e">
        <f>AND('5to. Bach_B'!G28,"AAAAAD91P8Y=")</f>
        <v>#VALUE!</v>
      </c>
      <c r="GR51" t="e">
        <f>AND('5to. Bach_B'!H28,"AAAAAD91P8c=")</f>
        <v>#VALUE!</v>
      </c>
      <c r="GS51" t="e">
        <f>AND('5to. Bach_B'!I28,"AAAAAD91P8g=")</f>
        <v>#VALUE!</v>
      </c>
      <c r="GT51" t="e">
        <f>AND('5to. Bach_B'!J28,"AAAAAD91P8k=")</f>
        <v>#VALUE!</v>
      </c>
      <c r="GU51" t="e">
        <f>AND('5to. Bach_B'!K28,"AAAAAD91P8o=")</f>
        <v>#VALUE!</v>
      </c>
      <c r="GV51" t="e">
        <f>AND('5to. Bach_B'!L28,"AAAAAD91P8s=")</f>
        <v>#VALUE!</v>
      </c>
      <c r="GW51" t="e">
        <f>AND('5to. Bach_B'!M28,"AAAAAD91P8w=")</f>
        <v>#VALUE!</v>
      </c>
      <c r="GX51" t="e">
        <f>AND('5to. Bach_B'!N28,"AAAAAD91P80=")</f>
        <v>#VALUE!</v>
      </c>
      <c r="GY51" t="e">
        <f>AND('5to. Bach_B'!O28,"AAAAAD91P84=")</f>
        <v>#VALUE!</v>
      </c>
      <c r="GZ51" t="e">
        <f>AND('5to. Bach_B'!P28,"AAAAAD91P88=")</f>
        <v>#VALUE!</v>
      </c>
      <c r="HA51" t="e">
        <f>AND('5to. Bach_B'!Q28,"AAAAAD91P9A=")</f>
        <v>#VALUE!</v>
      </c>
      <c r="HB51" t="e">
        <f>AND('5to. Bach_B'!R28,"AAAAAD91P9E=")</f>
        <v>#VALUE!</v>
      </c>
      <c r="HC51" t="e">
        <f>AND('5to. Bach_B'!S28,"AAAAAD91P9I=")</f>
        <v>#VALUE!</v>
      </c>
      <c r="HD51" t="e">
        <f>AND('5to. Bach_B'!T28,"AAAAAD91P9M=")</f>
        <v>#VALUE!</v>
      </c>
      <c r="HE51" t="e">
        <f>AND('5to. Bach_B'!#REF!,"AAAAAD91P9Q=")</f>
        <v>#REF!</v>
      </c>
      <c r="HF51" t="e">
        <f>AND('5to. Bach_B'!#REF!,"AAAAAD91P9U=")</f>
        <v>#REF!</v>
      </c>
      <c r="HG51" t="e">
        <f>AND('5to. Bach_B'!#REF!,"AAAAAD91P9Y=")</f>
        <v>#REF!</v>
      </c>
      <c r="HH51" t="e">
        <f>AND('5to. Bach_B'!#REF!,"AAAAAD91P9c=")</f>
        <v>#REF!</v>
      </c>
      <c r="HI51" t="e">
        <f>AND('5to. Bach_B'!#REF!,"AAAAAD91P9g=")</f>
        <v>#REF!</v>
      </c>
      <c r="HJ51">
        <f>IF('5to. Bach_B'!29:29,"AAAAAD91P9k=",0)</f>
        <v>0</v>
      </c>
      <c r="HK51" t="e">
        <f>AND('5to. Bach_B'!A29,"AAAAAD91P9o=")</f>
        <v>#VALUE!</v>
      </c>
      <c r="HL51" t="e">
        <f>AND('5to. Bach_B'!B29,"AAAAAD91P9s=")</f>
        <v>#VALUE!</v>
      </c>
      <c r="HM51" t="e">
        <f>AND('5to. Bach_B'!C29,"AAAAAD91P9w=")</f>
        <v>#VALUE!</v>
      </c>
      <c r="HN51" t="e">
        <f>AND('5to. Bach_B'!D29,"AAAAAD91P90=")</f>
        <v>#VALUE!</v>
      </c>
      <c r="HO51" t="e">
        <f>AND('5to. Bach_B'!E29,"AAAAAD91P94=")</f>
        <v>#VALUE!</v>
      </c>
      <c r="HP51" t="e">
        <f>AND('5to. Bach_B'!F29,"AAAAAD91P98=")</f>
        <v>#VALUE!</v>
      </c>
      <c r="HQ51" t="e">
        <f>AND('5to. Bach_B'!G29,"AAAAAD91P+A=")</f>
        <v>#VALUE!</v>
      </c>
      <c r="HR51" t="e">
        <f>AND('5to. Bach_B'!H29,"AAAAAD91P+E=")</f>
        <v>#VALUE!</v>
      </c>
      <c r="HS51" t="e">
        <f>AND('5to. Bach_B'!I29,"AAAAAD91P+I=")</f>
        <v>#VALUE!</v>
      </c>
      <c r="HT51" t="e">
        <f>AND('5to. Bach_B'!J29,"AAAAAD91P+M=")</f>
        <v>#VALUE!</v>
      </c>
      <c r="HU51" t="e">
        <f>AND('5to. Bach_B'!K29,"AAAAAD91P+Q=")</f>
        <v>#VALUE!</v>
      </c>
      <c r="HV51" t="e">
        <f>AND('5to. Bach_B'!L29,"AAAAAD91P+U=")</f>
        <v>#VALUE!</v>
      </c>
      <c r="HW51" t="e">
        <f>AND('5to. Bach_B'!M29,"AAAAAD91P+Y=")</f>
        <v>#VALUE!</v>
      </c>
      <c r="HX51" t="e">
        <f>AND('5to. Bach_B'!N29,"AAAAAD91P+c=")</f>
        <v>#VALUE!</v>
      </c>
      <c r="HY51" t="e">
        <f>AND('5to. Bach_B'!O29,"AAAAAD91P+g=")</f>
        <v>#VALUE!</v>
      </c>
      <c r="HZ51" t="e">
        <f>AND('5to. Bach_B'!P29,"AAAAAD91P+k=")</f>
        <v>#VALUE!</v>
      </c>
      <c r="IA51" t="e">
        <f>AND('5to. Bach_B'!Q29,"AAAAAD91P+o=")</f>
        <v>#VALUE!</v>
      </c>
      <c r="IB51" t="e">
        <f>AND('5to. Bach_B'!R29,"AAAAAD91P+s=")</f>
        <v>#VALUE!</v>
      </c>
      <c r="IC51" t="e">
        <f>AND('5to. Bach_B'!S29,"AAAAAD91P+w=")</f>
        <v>#VALUE!</v>
      </c>
      <c r="ID51" t="e">
        <f>AND('5to. Bach_B'!T29,"AAAAAD91P+0=")</f>
        <v>#VALUE!</v>
      </c>
      <c r="IE51" t="e">
        <f>AND('5to. Bach_B'!#REF!,"AAAAAD91P+4=")</f>
        <v>#REF!</v>
      </c>
      <c r="IF51" t="e">
        <f>AND('5to. Bach_B'!#REF!,"AAAAAD91P+8=")</f>
        <v>#REF!</v>
      </c>
      <c r="IG51" t="e">
        <f>AND('5to. Bach_B'!#REF!,"AAAAAD91P/A=")</f>
        <v>#REF!</v>
      </c>
      <c r="IH51" t="e">
        <f>AND('5to. Bach_B'!#REF!,"AAAAAD91P/E=")</f>
        <v>#REF!</v>
      </c>
      <c r="II51" t="e">
        <f>AND('5to. Bach_B'!#REF!,"AAAAAD91P/I=")</f>
        <v>#REF!</v>
      </c>
      <c r="IJ51" t="e">
        <f>IF('5to. Bach_B'!#REF!,"AAAAAD91P/M=",0)</f>
        <v>#REF!</v>
      </c>
      <c r="IK51" t="e">
        <f>AND('5to. Bach_B'!#REF!,"AAAAAD91P/Q=")</f>
        <v>#REF!</v>
      </c>
      <c r="IL51" t="e">
        <f>AND('5to. Bach_B'!#REF!,"AAAAAD91P/U=")</f>
        <v>#REF!</v>
      </c>
      <c r="IM51" t="e">
        <f>AND('5to. Bach_B'!#REF!,"AAAAAD91P/Y=")</f>
        <v>#REF!</v>
      </c>
      <c r="IN51" t="e">
        <f>AND('5to. Bach_B'!#REF!,"AAAAAD91P/c=")</f>
        <v>#REF!</v>
      </c>
      <c r="IO51" t="e">
        <f>AND('5to. Bach_B'!#REF!,"AAAAAD91P/g=")</f>
        <v>#REF!</v>
      </c>
      <c r="IP51" t="e">
        <f>AND('5to. Bach_B'!#REF!,"AAAAAD91P/k=")</f>
        <v>#REF!</v>
      </c>
      <c r="IQ51" t="e">
        <f>AND('5to. Bach_B'!#REF!,"AAAAAD91P/o=")</f>
        <v>#REF!</v>
      </c>
      <c r="IR51" t="e">
        <f>AND('5to. Bach_B'!#REF!,"AAAAAD91P/s=")</f>
        <v>#REF!</v>
      </c>
      <c r="IS51" t="e">
        <f>AND('5to. Bach_B'!#REF!,"AAAAAD91P/w=")</f>
        <v>#REF!</v>
      </c>
      <c r="IT51" t="e">
        <f>AND('5to. Bach_B'!#REF!,"AAAAAD91P/0=")</f>
        <v>#REF!</v>
      </c>
      <c r="IU51" t="e">
        <f>AND('5to. Bach_B'!#REF!,"AAAAAD91P/4=")</f>
        <v>#REF!</v>
      </c>
      <c r="IV51" t="e">
        <f>AND('5to. Bach_B'!#REF!,"AAAAAD91P/8=")</f>
        <v>#REF!</v>
      </c>
    </row>
    <row r="52" spans="1:256">
      <c r="A52" t="e">
        <f>AND('5to. Bach_B'!#REF!,"AAAAAEzR/wA=")</f>
        <v>#REF!</v>
      </c>
      <c r="B52" t="e">
        <f>AND('5to. Bach_B'!#REF!,"AAAAAEzR/wE=")</f>
        <v>#REF!</v>
      </c>
      <c r="C52" t="e">
        <f>AND('5to. Bach_B'!#REF!,"AAAAAEzR/wI=")</f>
        <v>#REF!</v>
      </c>
      <c r="D52" t="e">
        <f>AND('5to. Bach_B'!#REF!,"AAAAAEzR/wM=")</f>
        <v>#REF!</v>
      </c>
      <c r="E52" t="e">
        <f>AND('5to. Bach_B'!#REF!,"AAAAAEzR/wQ=")</f>
        <v>#REF!</v>
      </c>
      <c r="F52" t="e">
        <f>AND('5to. Bach_B'!#REF!,"AAAAAEzR/wU=")</f>
        <v>#REF!</v>
      </c>
      <c r="G52" t="e">
        <f>AND('5to. Bach_B'!#REF!,"AAAAAEzR/wY=")</f>
        <v>#REF!</v>
      </c>
      <c r="H52" t="e">
        <f>AND('5to. Bach_B'!#REF!,"AAAAAEzR/wc=")</f>
        <v>#REF!</v>
      </c>
      <c r="I52" t="e">
        <f>AND('5to. Bach_B'!#REF!,"AAAAAEzR/wg=")</f>
        <v>#REF!</v>
      </c>
      <c r="J52" t="e">
        <f>AND('5to. Bach_B'!#REF!,"AAAAAEzR/wk=")</f>
        <v>#REF!</v>
      </c>
      <c r="K52" t="e">
        <f>AND('5to. Bach_B'!#REF!,"AAAAAEzR/wo=")</f>
        <v>#REF!</v>
      </c>
      <c r="L52" t="e">
        <f>AND('5to. Bach_B'!#REF!,"AAAAAEzR/ws=")</f>
        <v>#REF!</v>
      </c>
      <c r="M52" t="e">
        <f>AND('5to. Bach_B'!#REF!,"AAAAAEzR/ww=")</f>
        <v>#REF!</v>
      </c>
      <c r="N52" t="e">
        <f>IF('5to. Bach_B'!#REF!,"AAAAAEzR/w0=",0)</f>
        <v>#REF!</v>
      </c>
      <c r="O52" t="e">
        <f>AND('5to. Bach_B'!#REF!,"AAAAAEzR/w4=")</f>
        <v>#REF!</v>
      </c>
      <c r="P52" t="e">
        <f>AND('5to. Bach_B'!#REF!,"AAAAAEzR/w8=")</f>
        <v>#REF!</v>
      </c>
      <c r="Q52" t="e">
        <f>AND('5to. Bach_B'!#REF!,"AAAAAEzR/xA=")</f>
        <v>#REF!</v>
      </c>
      <c r="R52" t="e">
        <f>AND('5to. Bach_B'!#REF!,"AAAAAEzR/xE=")</f>
        <v>#REF!</v>
      </c>
      <c r="S52" t="e">
        <f>AND('5to. Bach_B'!#REF!,"AAAAAEzR/xI=")</f>
        <v>#REF!</v>
      </c>
      <c r="T52" t="e">
        <f>AND('5to. Bach_B'!#REF!,"AAAAAEzR/xM=")</f>
        <v>#REF!</v>
      </c>
      <c r="U52" t="e">
        <f>AND('5to. Bach_B'!#REF!,"AAAAAEzR/xQ=")</f>
        <v>#REF!</v>
      </c>
      <c r="V52" t="e">
        <f>AND('5to. Bach_B'!#REF!,"AAAAAEzR/xU=")</f>
        <v>#REF!</v>
      </c>
      <c r="W52" t="e">
        <f>AND('5to. Bach_B'!#REF!,"AAAAAEzR/xY=")</f>
        <v>#REF!</v>
      </c>
      <c r="X52" t="e">
        <f>AND('5to. Bach_B'!#REF!,"AAAAAEzR/xc=")</f>
        <v>#REF!</v>
      </c>
      <c r="Y52" t="e">
        <f>AND('5to. Bach_B'!#REF!,"AAAAAEzR/xg=")</f>
        <v>#REF!</v>
      </c>
      <c r="Z52" t="e">
        <f>AND('5to. Bach_B'!#REF!,"AAAAAEzR/xk=")</f>
        <v>#REF!</v>
      </c>
      <c r="AA52" t="e">
        <f>AND('5to. Bach_B'!#REF!,"AAAAAEzR/xo=")</f>
        <v>#REF!</v>
      </c>
      <c r="AB52" t="e">
        <f>AND('5to. Bach_B'!#REF!,"AAAAAEzR/xs=")</f>
        <v>#REF!</v>
      </c>
      <c r="AC52" t="e">
        <f>AND('5to. Bach_B'!#REF!,"AAAAAEzR/xw=")</f>
        <v>#REF!</v>
      </c>
      <c r="AD52" t="e">
        <f>AND('5to. Bach_B'!#REF!,"AAAAAEzR/x0=")</f>
        <v>#REF!</v>
      </c>
      <c r="AE52" t="e">
        <f>AND('5to. Bach_B'!#REF!,"AAAAAEzR/x4=")</f>
        <v>#REF!</v>
      </c>
      <c r="AF52" t="e">
        <f>AND('5to. Bach_B'!#REF!,"AAAAAEzR/x8=")</f>
        <v>#REF!</v>
      </c>
      <c r="AG52" t="e">
        <f>AND('5to. Bach_B'!#REF!,"AAAAAEzR/yA=")</f>
        <v>#REF!</v>
      </c>
      <c r="AH52" t="e">
        <f>AND('5to. Bach_B'!#REF!,"AAAAAEzR/yE=")</f>
        <v>#REF!</v>
      </c>
      <c r="AI52" t="e">
        <f>AND('5to. Bach_B'!#REF!,"AAAAAEzR/yI=")</f>
        <v>#REF!</v>
      </c>
      <c r="AJ52" t="e">
        <f>AND('5to. Bach_B'!#REF!,"AAAAAEzR/yM=")</f>
        <v>#REF!</v>
      </c>
      <c r="AK52" t="e">
        <f>AND('5to. Bach_B'!#REF!,"AAAAAEzR/yQ=")</f>
        <v>#REF!</v>
      </c>
      <c r="AL52" t="e">
        <f>AND('5to. Bach_B'!#REF!,"AAAAAEzR/yU=")</f>
        <v>#REF!</v>
      </c>
      <c r="AM52" t="e">
        <f>AND('5to. Bach_B'!#REF!,"AAAAAEzR/yY=")</f>
        <v>#REF!</v>
      </c>
      <c r="AN52" t="e">
        <f>IF('5to. Bach_B'!#REF!,"AAAAAEzR/yc=",0)</f>
        <v>#REF!</v>
      </c>
      <c r="AO52" t="e">
        <f>AND('5to. Bach_B'!#REF!,"AAAAAEzR/yg=")</f>
        <v>#REF!</v>
      </c>
      <c r="AP52" t="e">
        <f>AND('5to. Bach_B'!#REF!,"AAAAAEzR/yk=")</f>
        <v>#REF!</v>
      </c>
      <c r="AQ52" t="e">
        <f>AND('5to. Bach_B'!#REF!,"AAAAAEzR/yo=")</f>
        <v>#REF!</v>
      </c>
      <c r="AR52" t="e">
        <f>AND('5to. Bach_B'!#REF!,"AAAAAEzR/ys=")</f>
        <v>#REF!</v>
      </c>
      <c r="AS52" t="e">
        <f>AND('5to. Bach_B'!#REF!,"AAAAAEzR/yw=")</f>
        <v>#REF!</v>
      </c>
      <c r="AT52" t="e">
        <f>AND('5to. Bach_B'!#REF!,"AAAAAEzR/y0=")</f>
        <v>#REF!</v>
      </c>
      <c r="AU52" t="e">
        <f>AND('5to. Bach_B'!#REF!,"AAAAAEzR/y4=")</f>
        <v>#REF!</v>
      </c>
      <c r="AV52" t="e">
        <f>AND('5to. Bach_B'!#REF!,"AAAAAEzR/y8=")</f>
        <v>#REF!</v>
      </c>
      <c r="AW52" t="e">
        <f>AND('5to. Bach_B'!#REF!,"AAAAAEzR/zA=")</f>
        <v>#REF!</v>
      </c>
      <c r="AX52" t="e">
        <f>AND('5to. Bach_B'!#REF!,"AAAAAEzR/zE=")</f>
        <v>#REF!</v>
      </c>
      <c r="AY52" t="e">
        <f>AND('5to. Bach_B'!#REF!,"AAAAAEzR/zI=")</f>
        <v>#REF!</v>
      </c>
      <c r="AZ52" t="e">
        <f>AND('5to. Bach_B'!#REF!,"AAAAAEzR/zM=")</f>
        <v>#REF!</v>
      </c>
      <c r="BA52" t="e">
        <f>AND('5to. Bach_B'!#REF!,"AAAAAEzR/zQ=")</f>
        <v>#REF!</v>
      </c>
      <c r="BB52" t="e">
        <f>AND('5to. Bach_B'!#REF!,"AAAAAEzR/zU=")</f>
        <v>#REF!</v>
      </c>
      <c r="BC52" t="e">
        <f>AND('5to. Bach_B'!#REF!,"AAAAAEzR/zY=")</f>
        <v>#REF!</v>
      </c>
      <c r="BD52" t="e">
        <f>AND('5to. Bach_B'!#REF!,"AAAAAEzR/zc=")</f>
        <v>#REF!</v>
      </c>
      <c r="BE52" t="e">
        <f>AND('5to. Bach_B'!#REF!,"AAAAAEzR/zg=")</f>
        <v>#REF!</v>
      </c>
      <c r="BF52" t="e">
        <f>AND('5to. Bach_B'!#REF!,"AAAAAEzR/zk=")</f>
        <v>#REF!</v>
      </c>
      <c r="BG52" t="e">
        <f>AND('5to. Bach_B'!#REF!,"AAAAAEzR/zo=")</f>
        <v>#REF!</v>
      </c>
      <c r="BH52" t="e">
        <f>AND('5to. Bach_B'!#REF!,"AAAAAEzR/zs=")</f>
        <v>#REF!</v>
      </c>
      <c r="BI52" t="e">
        <f>AND('5to. Bach_B'!#REF!,"AAAAAEzR/zw=")</f>
        <v>#REF!</v>
      </c>
      <c r="BJ52" t="e">
        <f>AND('5to. Bach_B'!#REF!,"AAAAAEzR/z0=")</f>
        <v>#REF!</v>
      </c>
      <c r="BK52" t="e">
        <f>AND('5to. Bach_B'!#REF!,"AAAAAEzR/z4=")</f>
        <v>#REF!</v>
      </c>
      <c r="BL52" t="e">
        <f>AND('5to. Bach_B'!#REF!,"AAAAAEzR/z8=")</f>
        <v>#REF!</v>
      </c>
      <c r="BM52" t="e">
        <f>AND('5to. Bach_B'!#REF!,"AAAAAEzR/0A=")</f>
        <v>#REF!</v>
      </c>
      <c r="BN52" t="e">
        <f>IF('5to. Bach_B'!#REF!,"AAAAAEzR/0E=",0)</f>
        <v>#REF!</v>
      </c>
      <c r="BO52" t="e">
        <f>AND('5to. Bach_B'!#REF!,"AAAAAEzR/0I=")</f>
        <v>#REF!</v>
      </c>
      <c r="BP52" t="e">
        <f>AND('5to. Bach_B'!#REF!,"AAAAAEzR/0M=")</f>
        <v>#REF!</v>
      </c>
      <c r="BQ52" t="e">
        <f>AND('5to. Bach_B'!#REF!,"AAAAAEzR/0Q=")</f>
        <v>#REF!</v>
      </c>
      <c r="BR52" t="e">
        <f>AND('5to. Bach_B'!#REF!,"AAAAAEzR/0U=")</f>
        <v>#REF!</v>
      </c>
      <c r="BS52" t="e">
        <f>AND('5to. Bach_B'!#REF!,"AAAAAEzR/0Y=")</f>
        <v>#REF!</v>
      </c>
      <c r="BT52" t="e">
        <f>AND('5to. Bach_B'!#REF!,"AAAAAEzR/0c=")</f>
        <v>#REF!</v>
      </c>
      <c r="BU52" t="e">
        <f>AND('5to. Bach_B'!#REF!,"AAAAAEzR/0g=")</f>
        <v>#REF!</v>
      </c>
      <c r="BV52" t="e">
        <f>AND('5to. Bach_B'!#REF!,"AAAAAEzR/0k=")</f>
        <v>#REF!</v>
      </c>
      <c r="BW52" t="e">
        <f>AND('5to. Bach_B'!#REF!,"AAAAAEzR/0o=")</f>
        <v>#REF!</v>
      </c>
      <c r="BX52" t="e">
        <f>AND('5to. Bach_B'!#REF!,"AAAAAEzR/0s=")</f>
        <v>#REF!</v>
      </c>
      <c r="BY52" t="e">
        <f>AND('5to. Bach_B'!#REF!,"AAAAAEzR/0w=")</f>
        <v>#REF!</v>
      </c>
      <c r="BZ52" t="e">
        <f>AND('5to. Bach_B'!#REF!,"AAAAAEzR/00=")</f>
        <v>#REF!</v>
      </c>
      <c r="CA52" t="e">
        <f>AND('5to. Bach_B'!#REF!,"AAAAAEzR/04=")</f>
        <v>#REF!</v>
      </c>
      <c r="CB52" t="e">
        <f>AND('5to. Bach_B'!#REF!,"AAAAAEzR/08=")</f>
        <v>#REF!</v>
      </c>
      <c r="CC52" t="e">
        <f>AND('5to. Bach_B'!#REF!,"AAAAAEzR/1A=")</f>
        <v>#REF!</v>
      </c>
      <c r="CD52" t="e">
        <f>AND('5to. Bach_B'!#REF!,"AAAAAEzR/1E=")</f>
        <v>#REF!</v>
      </c>
      <c r="CE52" t="e">
        <f>AND('5to. Bach_B'!#REF!,"AAAAAEzR/1I=")</f>
        <v>#REF!</v>
      </c>
      <c r="CF52" t="e">
        <f>AND('5to. Bach_B'!#REF!,"AAAAAEzR/1M=")</f>
        <v>#REF!</v>
      </c>
      <c r="CG52" t="e">
        <f>AND('5to. Bach_B'!#REF!,"AAAAAEzR/1Q=")</f>
        <v>#REF!</v>
      </c>
      <c r="CH52" t="e">
        <f>AND('5to. Bach_B'!#REF!,"AAAAAEzR/1U=")</f>
        <v>#REF!</v>
      </c>
      <c r="CI52" t="e">
        <f>AND('5to. Bach_B'!#REF!,"AAAAAEzR/1Y=")</f>
        <v>#REF!</v>
      </c>
      <c r="CJ52" t="e">
        <f>AND('5to. Bach_B'!#REF!,"AAAAAEzR/1c=")</f>
        <v>#REF!</v>
      </c>
      <c r="CK52" t="e">
        <f>AND('5to. Bach_B'!#REF!,"AAAAAEzR/1g=")</f>
        <v>#REF!</v>
      </c>
      <c r="CL52" t="e">
        <f>AND('5to. Bach_B'!#REF!,"AAAAAEzR/1k=")</f>
        <v>#REF!</v>
      </c>
      <c r="CM52" t="e">
        <f>AND('5to. Bach_B'!#REF!,"AAAAAEzR/1o=")</f>
        <v>#REF!</v>
      </c>
      <c r="CN52" t="e">
        <f>IF('5to. Bach_B'!#REF!,"AAAAAEzR/1s=",0)</f>
        <v>#REF!</v>
      </c>
      <c r="CO52" t="e">
        <f>AND('5to. Bach_B'!#REF!,"AAAAAEzR/1w=")</f>
        <v>#REF!</v>
      </c>
      <c r="CP52" t="e">
        <f>AND('5to. Bach_B'!#REF!,"AAAAAEzR/10=")</f>
        <v>#REF!</v>
      </c>
      <c r="CQ52" t="e">
        <f>AND('5to. Bach_B'!#REF!,"AAAAAEzR/14=")</f>
        <v>#REF!</v>
      </c>
      <c r="CR52" t="e">
        <f>AND('5to. Bach_B'!#REF!,"AAAAAEzR/18=")</f>
        <v>#REF!</v>
      </c>
      <c r="CS52" t="e">
        <f>AND('5to. Bach_B'!#REF!,"AAAAAEzR/2A=")</f>
        <v>#REF!</v>
      </c>
      <c r="CT52" t="e">
        <f>AND('5to. Bach_B'!#REF!,"AAAAAEzR/2E=")</f>
        <v>#REF!</v>
      </c>
      <c r="CU52" t="e">
        <f>AND('5to. Bach_B'!#REF!,"AAAAAEzR/2I=")</f>
        <v>#REF!</v>
      </c>
      <c r="CV52" t="e">
        <f>AND('5to. Bach_B'!#REF!,"AAAAAEzR/2M=")</f>
        <v>#REF!</v>
      </c>
      <c r="CW52" t="e">
        <f>AND('5to. Bach_B'!#REF!,"AAAAAEzR/2Q=")</f>
        <v>#REF!</v>
      </c>
      <c r="CX52" t="e">
        <f>AND('5to. Bach_B'!#REF!,"AAAAAEzR/2U=")</f>
        <v>#REF!</v>
      </c>
      <c r="CY52" t="e">
        <f>AND('5to. Bach_B'!#REF!,"AAAAAEzR/2Y=")</f>
        <v>#REF!</v>
      </c>
      <c r="CZ52" t="e">
        <f>AND('5to. Bach_B'!#REF!,"AAAAAEzR/2c=")</f>
        <v>#REF!</v>
      </c>
      <c r="DA52" t="e">
        <f>AND('5to. Bach_B'!#REF!,"AAAAAEzR/2g=")</f>
        <v>#REF!</v>
      </c>
      <c r="DB52" t="e">
        <f>AND('5to. Bach_B'!#REF!,"AAAAAEzR/2k=")</f>
        <v>#REF!</v>
      </c>
      <c r="DC52" t="e">
        <f>AND('5to. Bach_B'!#REF!,"AAAAAEzR/2o=")</f>
        <v>#REF!</v>
      </c>
      <c r="DD52" t="e">
        <f>AND('5to. Bach_B'!#REF!,"AAAAAEzR/2s=")</f>
        <v>#REF!</v>
      </c>
      <c r="DE52" t="e">
        <f>AND('5to. Bach_B'!#REF!,"AAAAAEzR/2w=")</f>
        <v>#REF!</v>
      </c>
      <c r="DF52" t="e">
        <f>AND('5to. Bach_B'!#REF!,"AAAAAEzR/20=")</f>
        <v>#REF!</v>
      </c>
      <c r="DG52" t="e">
        <f>AND('5to. Bach_B'!#REF!,"AAAAAEzR/24=")</f>
        <v>#REF!</v>
      </c>
      <c r="DH52" t="e">
        <f>AND('5to. Bach_B'!#REF!,"AAAAAEzR/28=")</f>
        <v>#REF!</v>
      </c>
      <c r="DI52" t="e">
        <f>AND('5to. Bach_B'!#REF!,"AAAAAEzR/3A=")</f>
        <v>#REF!</v>
      </c>
      <c r="DJ52" t="e">
        <f>AND('5to. Bach_B'!#REF!,"AAAAAEzR/3E=")</f>
        <v>#REF!</v>
      </c>
      <c r="DK52" t="e">
        <f>AND('5to. Bach_B'!#REF!,"AAAAAEzR/3I=")</f>
        <v>#REF!</v>
      </c>
      <c r="DL52" t="e">
        <f>AND('5to. Bach_B'!#REF!,"AAAAAEzR/3M=")</f>
        <v>#REF!</v>
      </c>
      <c r="DM52" t="e">
        <f>AND('5to. Bach_B'!#REF!,"AAAAAEzR/3Q=")</f>
        <v>#REF!</v>
      </c>
      <c r="DN52" t="e">
        <f>IF('5to. Bach_B'!#REF!,"AAAAAEzR/3U=",0)</f>
        <v>#REF!</v>
      </c>
      <c r="DO52" t="e">
        <f>AND('5to. Bach_B'!#REF!,"AAAAAEzR/3Y=")</f>
        <v>#REF!</v>
      </c>
      <c r="DP52" t="e">
        <f>AND('5to. Bach_B'!#REF!,"AAAAAEzR/3c=")</f>
        <v>#REF!</v>
      </c>
      <c r="DQ52" t="e">
        <f>AND('5to. Bach_B'!#REF!,"AAAAAEzR/3g=")</f>
        <v>#REF!</v>
      </c>
      <c r="DR52" t="e">
        <f>AND('5to. Bach_B'!#REF!,"AAAAAEzR/3k=")</f>
        <v>#REF!</v>
      </c>
      <c r="DS52" t="e">
        <f>AND('5to. Bach_B'!#REF!,"AAAAAEzR/3o=")</f>
        <v>#REF!</v>
      </c>
      <c r="DT52" t="e">
        <f>AND('5to. Bach_B'!#REF!,"AAAAAEzR/3s=")</f>
        <v>#REF!</v>
      </c>
      <c r="DU52" t="e">
        <f>AND('5to. Bach_B'!#REF!,"AAAAAEzR/3w=")</f>
        <v>#REF!</v>
      </c>
      <c r="DV52" t="e">
        <f>AND('5to. Bach_B'!#REF!,"AAAAAEzR/30=")</f>
        <v>#REF!</v>
      </c>
      <c r="DW52" t="e">
        <f>AND('5to. Bach_B'!#REF!,"AAAAAEzR/34=")</f>
        <v>#REF!</v>
      </c>
      <c r="DX52" t="e">
        <f>AND('5to. Bach_B'!#REF!,"AAAAAEzR/38=")</f>
        <v>#REF!</v>
      </c>
      <c r="DY52" t="e">
        <f>AND('5to. Bach_B'!#REF!,"AAAAAEzR/4A=")</f>
        <v>#REF!</v>
      </c>
      <c r="DZ52" t="e">
        <f>AND('5to. Bach_B'!#REF!,"AAAAAEzR/4E=")</f>
        <v>#REF!</v>
      </c>
      <c r="EA52" t="e">
        <f>AND('5to. Bach_B'!#REF!,"AAAAAEzR/4I=")</f>
        <v>#REF!</v>
      </c>
      <c r="EB52" t="e">
        <f>AND('5to. Bach_B'!#REF!,"AAAAAEzR/4M=")</f>
        <v>#REF!</v>
      </c>
      <c r="EC52" t="e">
        <f>AND('5to. Bach_B'!#REF!,"AAAAAEzR/4Q=")</f>
        <v>#REF!</v>
      </c>
      <c r="ED52" t="e">
        <f>AND('5to. Bach_B'!#REF!,"AAAAAEzR/4U=")</f>
        <v>#REF!</v>
      </c>
      <c r="EE52" t="e">
        <f>AND('5to. Bach_B'!#REF!,"AAAAAEzR/4Y=")</f>
        <v>#REF!</v>
      </c>
      <c r="EF52" t="e">
        <f>AND('5to. Bach_B'!#REF!,"AAAAAEzR/4c=")</f>
        <v>#REF!</v>
      </c>
      <c r="EG52" t="e">
        <f>AND('5to. Bach_B'!#REF!,"AAAAAEzR/4g=")</f>
        <v>#REF!</v>
      </c>
      <c r="EH52" t="e">
        <f>AND('5to. Bach_B'!#REF!,"AAAAAEzR/4k=")</f>
        <v>#REF!</v>
      </c>
      <c r="EI52" t="e">
        <f>AND('5to. Bach_B'!#REF!,"AAAAAEzR/4o=")</f>
        <v>#REF!</v>
      </c>
      <c r="EJ52" t="e">
        <f>AND('5to. Bach_B'!#REF!,"AAAAAEzR/4s=")</f>
        <v>#REF!</v>
      </c>
      <c r="EK52" t="e">
        <f>AND('5to. Bach_B'!#REF!,"AAAAAEzR/4w=")</f>
        <v>#REF!</v>
      </c>
      <c r="EL52" t="e">
        <f>AND('5to. Bach_B'!#REF!,"AAAAAEzR/40=")</f>
        <v>#REF!</v>
      </c>
      <c r="EM52" t="e">
        <f>AND('5to. Bach_B'!#REF!,"AAAAAEzR/44=")</f>
        <v>#REF!</v>
      </c>
      <c r="EN52" t="e">
        <f>IF('5to. Bach_B'!#REF!,"AAAAAEzR/48=",0)</f>
        <v>#REF!</v>
      </c>
      <c r="EO52" t="e">
        <f>AND('5to. Bach_B'!#REF!,"AAAAAEzR/5A=")</f>
        <v>#REF!</v>
      </c>
      <c r="EP52" t="e">
        <f>AND('5to. Bach_B'!#REF!,"AAAAAEzR/5E=")</f>
        <v>#REF!</v>
      </c>
      <c r="EQ52" t="e">
        <f>AND('5to. Bach_B'!#REF!,"AAAAAEzR/5I=")</f>
        <v>#REF!</v>
      </c>
      <c r="ER52" t="e">
        <f>AND('5to. Bach_B'!#REF!,"AAAAAEzR/5M=")</f>
        <v>#REF!</v>
      </c>
      <c r="ES52" t="e">
        <f>AND('5to. Bach_B'!#REF!,"AAAAAEzR/5Q=")</f>
        <v>#REF!</v>
      </c>
      <c r="ET52" t="e">
        <f>AND('5to. Bach_B'!#REF!,"AAAAAEzR/5U=")</f>
        <v>#REF!</v>
      </c>
      <c r="EU52" t="e">
        <f>AND('5to. Bach_B'!#REF!,"AAAAAEzR/5Y=")</f>
        <v>#REF!</v>
      </c>
      <c r="EV52" t="e">
        <f>AND('5to. Bach_B'!#REF!,"AAAAAEzR/5c=")</f>
        <v>#REF!</v>
      </c>
      <c r="EW52" t="e">
        <f>AND('5to. Bach_B'!#REF!,"AAAAAEzR/5g=")</f>
        <v>#REF!</v>
      </c>
      <c r="EX52" t="e">
        <f>AND('5to. Bach_B'!#REF!,"AAAAAEzR/5k=")</f>
        <v>#REF!</v>
      </c>
      <c r="EY52" t="e">
        <f>AND('5to. Bach_B'!#REF!,"AAAAAEzR/5o=")</f>
        <v>#REF!</v>
      </c>
      <c r="EZ52" t="e">
        <f>AND('5to. Bach_B'!#REF!,"AAAAAEzR/5s=")</f>
        <v>#REF!</v>
      </c>
      <c r="FA52" t="e">
        <f>AND('5to. Bach_B'!#REF!,"AAAAAEzR/5w=")</f>
        <v>#REF!</v>
      </c>
      <c r="FB52" t="e">
        <f>AND('5to. Bach_B'!#REF!,"AAAAAEzR/50=")</f>
        <v>#REF!</v>
      </c>
      <c r="FC52" t="e">
        <f>AND('5to. Bach_B'!#REF!,"AAAAAEzR/54=")</f>
        <v>#REF!</v>
      </c>
      <c r="FD52" t="e">
        <f>AND('5to. Bach_B'!#REF!,"AAAAAEzR/58=")</f>
        <v>#REF!</v>
      </c>
      <c r="FE52" t="e">
        <f>AND('5to. Bach_B'!#REF!,"AAAAAEzR/6A=")</f>
        <v>#REF!</v>
      </c>
      <c r="FF52" t="e">
        <f>AND('5to. Bach_B'!#REF!,"AAAAAEzR/6E=")</f>
        <v>#REF!</v>
      </c>
      <c r="FG52" t="e">
        <f>AND('5to. Bach_B'!#REF!,"AAAAAEzR/6I=")</f>
        <v>#REF!</v>
      </c>
      <c r="FH52" t="e">
        <f>AND('5to. Bach_B'!#REF!,"AAAAAEzR/6M=")</f>
        <v>#REF!</v>
      </c>
      <c r="FI52" t="e">
        <f>AND('5to. Bach_B'!#REF!,"AAAAAEzR/6Q=")</f>
        <v>#REF!</v>
      </c>
      <c r="FJ52" t="e">
        <f>AND('5to. Bach_B'!#REF!,"AAAAAEzR/6U=")</f>
        <v>#REF!</v>
      </c>
      <c r="FK52" t="e">
        <f>AND('5to. Bach_B'!#REF!,"AAAAAEzR/6Y=")</f>
        <v>#REF!</v>
      </c>
      <c r="FL52" t="e">
        <f>AND('5to. Bach_B'!#REF!,"AAAAAEzR/6c=")</f>
        <v>#REF!</v>
      </c>
      <c r="FM52" t="e">
        <f>AND('5to. Bach_B'!#REF!,"AAAAAEzR/6g=")</f>
        <v>#REF!</v>
      </c>
      <c r="FN52" t="e">
        <f>IF('5to. Bach_B'!#REF!,"AAAAAEzR/6k=",0)</f>
        <v>#REF!</v>
      </c>
      <c r="FO52" t="e">
        <f>AND('5to. Bach_B'!#REF!,"AAAAAEzR/6o=")</f>
        <v>#REF!</v>
      </c>
      <c r="FP52" t="e">
        <f>AND('5to. Bach_B'!#REF!,"AAAAAEzR/6s=")</f>
        <v>#REF!</v>
      </c>
      <c r="FQ52" t="e">
        <f>AND('5to. Bach_B'!#REF!,"AAAAAEzR/6w=")</f>
        <v>#REF!</v>
      </c>
      <c r="FR52" t="e">
        <f>AND('5to. Bach_B'!#REF!,"AAAAAEzR/60=")</f>
        <v>#REF!</v>
      </c>
      <c r="FS52" t="e">
        <f>AND('5to. Bach_B'!#REF!,"AAAAAEzR/64=")</f>
        <v>#REF!</v>
      </c>
      <c r="FT52" t="e">
        <f>AND('5to. Bach_B'!#REF!,"AAAAAEzR/68=")</f>
        <v>#REF!</v>
      </c>
      <c r="FU52" t="e">
        <f>AND('5to. Bach_B'!#REF!,"AAAAAEzR/7A=")</f>
        <v>#REF!</v>
      </c>
      <c r="FV52" t="e">
        <f>AND('5to. Bach_B'!#REF!,"AAAAAEzR/7E=")</f>
        <v>#REF!</v>
      </c>
      <c r="FW52" t="e">
        <f>AND('5to. Bach_B'!#REF!,"AAAAAEzR/7I=")</f>
        <v>#REF!</v>
      </c>
      <c r="FX52" t="e">
        <f>AND('5to. Bach_B'!#REF!,"AAAAAEzR/7M=")</f>
        <v>#REF!</v>
      </c>
      <c r="FY52" t="e">
        <f>AND('5to. Bach_B'!#REF!,"AAAAAEzR/7Q=")</f>
        <v>#REF!</v>
      </c>
      <c r="FZ52" t="e">
        <f>AND('5to. Bach_B'!#REF!,"AAAAAEzR/7U=")</f>
        <v>#REF!</v>
      </c>
      <c r="GA52" t="e">
        <f>AND('5to. Bach_B'!#REF!,"AAAAAEzR/7Y=")</f>
        <v>#REF!</v>
      </c>
      <c r="GB52" t="e">
        <f>AND('5to. Bach_B'!#REF!,"AAAAAEzR/7c=")</f>
        <v>#REF!</v>
      </c>
      <c r="GC52" t="e">
        <f>AND('5to. Bach_B'!#REF!,"AAAAAEzR/7g=")</f>
        <v>#REF!</v>
      </c>
      <c r="GD52" t="e">
        <f>AND('5to. Bach_B'!#REF!,"AAAAAEzR/7k=")</f>
        <v>#REF!</v>
      </c>
      <c r="GE52" t="e">
        <f>AND('5to. Bach_B'!#REF!,"AAAAAEzR/7o=")</f>
        <v>#REF!</v>
      </c>
      <c r="GF52" t="e">
        <f>AND('5to. Bach_B'!#REF!,"AAAAAEzR/7s=")</f>
        <v>#REF!</v>
      </c>
      <c r="GG52" t="e">
        <f>AND('5to. Bach_B'!#REF!,"AAAAAEzR/7w=")</f>
        <v>#REF!</v>
      </c>
      <c r="GH52" t="e">
        <f>AND('5to. Bach_B'!#REF!,"AAAAAEzR/70=")</f>
        <v>#REF!</v>
      </c>
      <c r="GI52" t="e">
        <f>AND('5to. Bach_B'!#REF!,"AAAAAEzR/74=")</f>
        <v>#REF!</v>
      </c>
      <c r="GJ52" t="e">
        <f>AND('5to. Bach_B'!#REF!,"AAAAAEzR/78=")</f>
        <v>#REF!</v>
      </c>
      <c r="GK52" t="e">
        <f>AND('5to. Bach_B'!#REF!,"AAAAAEzR/8A=")</f>
        <v>#REF!</v>
      </c>
      <c r="GL52" t="e">
        <f>AND('5to. Bach_B'!#REF!,"AAAAAEzR/8E=")</f>
        <v>#REF!</v>
      </c>
      <c r="GM52" t="e">
        <f>AND('5to. Bach_B'!#REF!,"AAAAAEzR/8I=")</f>
        <v>#REF!</v>
      </c>
      <c r="GN52" t="e">
        <f>IF('5to. Bach_B'!#REF!,"AAAAAEzR/8M=",0)</f>
        <v>#REF!</v>
      </c>
      <c r="GO52" t="e">
        <f>AND('5to. Bach_B'!#REF!,"AAAAAEzR/8Q=")</f>
        <v>#REF!</v>
      </c>
      <c r="GP52" t="e">
        <f>AND('5to. Bach_B'!#REF!,"AAAAAEzR/8U=")</f>
        <v>#REF!</v>
      </c>
      <c r="GQ52" t="e">
        <f>AND('5to. Bach_B'!#REF!,"AAAAAEzR/8Y=")</f>
        <v>#REF!</v>
      </c>
      <c r="GR52" t="e">
        <f>AND('5to. Bach_B'!#REF!,"AAAAAEzR/8c=")</f>
        <v>#REF!</v>
      </c>
      <c r="GS52" t="e">
        <f>AND('5to. Bach_B'!#REF!,"AAAAAEzR/8g=")</f>
        <v>#REF!</v>
      </c>
      <c r="GT52" t="e">
        <f>AND('5to. Bach_B'!#REF!,"AAAAAEzR/8k=")</f>
        <v>#REF!</v>
      </c>
      <c r="GU52" t="e">
        <f>AND('5to. Bach_B'!#REF!,"AAAAAEzR/8o=")</f>
        <v>#REF!</v>
      </c>
      <c r="GV52" t="e">
        <f>AND('5to. Bach_B'!#REF!,"AAAAAEzR/8s=")</f>
        <v>#REF!</v>
      </c>
      <c r="GW52" t="e">
        <f>AND('5to. Bach_B'!#REF!,"AAAAAEzR/8w=")</f>
        <v>#REF!</v>
      </c>
      <c r="GX52" t="e">
        <f>AND('5to. Bach_B'!#REF!,"AAAAAEzR/80=")</f>
        <v>#REF!</v>
      </c>
      <c r="GY52" t="e">
        <f>AND('5to. Bach_B'!#REF!,"AAAAAEzR/84=")</f>
        <v>#REF!</v>
      </c>
      <c r="GZ52" t="e">
        <f>AND('5to. Bach_B'!#REF!,"AAAAAEzR/88=")</f>
        <v>#REF!</v>
      </c>
      <c r="HA52" t="e">
        <f>AND('5to. Bach_B'!#REF!,"AAAAAEzR/9A=")</f>
        <v>#REF!</v>
      </c>
      <c r="HB52" t="e">
        <f>AND('5to. Bach_B'!#REF!,"AAAAAEzR/9E=")</f>
        <v>#REF!</v>
      </c>
      <c r="HC52" t="e">
        <f>AND('5to. Bach_B'!#REF!,"AAAAAEzR/9I=")</f>
        <v>#REF!</v>
      </c>
      <c r="HD52" t="e">
        <f>AND('5to. Bach_B'!#REF!,"AAAAAEzR/9M=")</f>
        <v>#REF!</v>
      </c>
      <c r="HE52" t="e">
        <f>AND('5to. Bach_B'!#REF!,"AAAAAEzR/9Q=")</f>
        <v>#REF!</v>
      </c>
      <c r="HF52" t="e">
        <f>AND('5to. Bach_B'!#REF!,"AAAAAEzR/9U=")</f>
        <v>#REF!</v>
      </c>
      <c r="HG52" t="e">
        <f>AND('5to. Bach_B'!#REF!,"AAAAAEzR/9Y=")</f>
        <v>#REF!</v>
      </c>
      <c r="HH52" t="e">
        <f>AND('5to. Bach_B'!#REF!,"AAAAAEzR/9c=")</f>
        <v>#REF!</v>
      </c>
      <c r="HI52" t="e">
        <f>AND('5to. Bach_B'!#REF!,"AAAAAEzR/9g=")</f>
        <v>#REF!</v>
      </c>
      <c r="HJ52" t="e">
        <f>AND('5to. Bach_B'!#REF!,"AAAAAEzR/9k=")</f>
        <v>#REF!</v>
      </c>
      <c r="HK52" t="e">
        <f>AND('5to. Bach_B'!#REF!,"AAAAAEzR/9o=")</f>
        <v>#REF!</v>
      </c>
      <c r="HL52" t="e">
        <f>AND('5to. Bach_B'!#REF!,"AAAAAEzR/9s=")</f>
        <v>#REF!</v>
      </c>
      <c r="HM52" t="e">
        <f>AND('5to. Bach_B'!#REF!,"AAAAAEzR/9w=")</f>
        <v>#REF!</v>
      </c>
      <c r="HN52" t="e">
        <f>IF('5to. Bach_B'!#REF!,"AAAAAEzR/90=",0)</f>
        <v>#REF!</v>
      </c>
      <c r="HO52" t="e">
        <f>AND('5to. Bach_B'!#REF!,"AAAAAEzR/94=")</f>
        <v>#REF!</v>
      </c>
      <c r="HP52" t="e">
        <f>AND('5to. Bach_B'!#REF!,"AAAAAEzR/98=")</f>
        <v>#REF!</v>
      </c>
      <c r="HQ52" t="e">
        <f>AND('5to. Bach_B'!#REF!,"AAAAAEzR/+A=")</f>
        <v>#REF!</v>
      </c>
      <c r="HR52" t="e">
        <f>AND('5to. Bach_B'!#REF!,"AAAAAEzR/+E=")</f>
        <v>#REF!</v>
      </c>
      <c r="HS52" t="e">
        <f>AND('5to. Bach_B'!#REF!,"AAAAAEzR/+I=")</f>
        <v>#REF!</v>
      </c>
      <c r="HT52" t="e">
        <f>AND('5to. Bach_B'!#REF!,"AAAAAEzR/+M=")</f>
        <v>#REF!</v>
      </c>
      <c r="HU52" t="e">
        <f>AND('5to. Bach_B'!#REF!,"AAAAAEzR/+Q=")</f>
        <v>#REF!</v>
      </c>
      <c r="HV52" t="e">
        <f>AND('5to. Bach_B'!#REF!,"AAAAAEzR/+U=")</f>
        <v>#REF!</v>
      </c>
      <c r="HW52" t="e">
        <f>AND('5to. Bach_B'!#REF!,"AAAAAEzR/+Y=")</f>
        <v>#REF!</v>
      </c>
      <c r="HX52" t="e">
        <f>AND('5to. Bach_B'!#REF!,"AAAAAEzR/+c=")</f>
        <v>#REF!</v>
      </c>
      <c r="HY52" t="e">
        <f>AND('5to. Bach_B'!#REF!,"AAAAAEzR/+g=")</f>
        <v>#REF!</v>
      </c>
      <c r="HZ52" t="e">
        <f>AND('5to. Bach_B'!#REF!,"AAAAAEzR/+k=")</f>
        <v>#REF!</v>
      </c>
      <c r="IA52" t="e">
        <f>AND('5to. Bach_B'!#REF!,"AAAAAEzR/+o=")</f>
        <v>#REF!</v>
      </c>
      <c r="IB52" t="e">
        <f>AND('5to. Bach_B'!#REF!,"AAAAAEzR/+s=")</f>
        <v>#REF!</v>
      </c>
      <c r="IC52" t="e">
        <f>AND('5to. Bach_B'!#REF!,"AAAAAEzR/+w=")</f>
        <v>#REF!</v>
      </c>
      <c r="ID52" t="e">
        <f>AND('5to. Bach_B'!#REF!,"AAAAAEzR/+0=")</f>
        <v>#REF!</v>
      </c>
      <c r="IE52" t="e">
        <f>AND('5to. Bach_B'!#REF!,"AAAAAEzR/+4=")</f>
        <v>#REF!</v>
      </c>
      <c r="IF52" t="e">
        <f>AND('5to. Bach_B'!#REF!,"AAAAAEzR/+8=")</f>
        <v>#REF!</v>
      </c>
      <c r="IG52" t="e">
        <f>AND('5to. Bach_B'!#REF!,"AAAAAEzR//A=")</f>
        <v>#REF!</v>
      </c>
      <c r="IH52" t="e">
        <f>AND('5to. Bach_B'!#REF!,"AAAAAEzR//E=")</f>
        <v>#REF!</v>
      </c>
      <c r="II52" t="e">
        <f>AND('5to. Bach_B'!#REF!,"AAAAAEzR//I=")</f>
        <v>#REF!</v>
      </c>
      <c r="IJ52" t="e">
        <f>AND('5to. Bach_B'!#REF!,"AAAAAEzR//M=")</f>
        <v>#REF!</v>
      </c>
      <c r="IK52" t="e">
        <f>AND('5to. Bach_B'!#REF!,"AAAAAEzR//Q=")</f>
        <v>#REF!</v>
      </c>
      <c r="IL52" t="e">
        <f>AND('5to. Bach_B'!#REF!,"AAAAAEzR//U=")</f>
        <v>#REF!</v>
      </c>
      <c r="IM52" t="e">
        <f>AND('5to. Bach_B'!#REF!,"AAAAAEzR//Y=")</f>
        <v>#REF!</v>
      </c>
      <c r="IN52" t="e">
        <f>IF('5to. Bach_B'!#REF!,"AAAAAEzR//c=",0)</f>
        <v>#REF!</v>
      </c>
      <c r="IO52" t="e">
        <f>AND('5to. Bach_B'!#REF!,"AAAAAEzR//g=")</f>
        <v>#REF!</v>
      </c>
      <c r="IP52" t="e">
        <f>AND('5to. Bach_B'!#REF!,"AAAAAEzR//k=")</f>
        <v>#REF!</v>
      </c>
      <c r="IQ52" t="e">
        <f>AND('5to. Bach_B'!#REF!,"AAAAAEzR//o=")</f>
        <v>#REF!</v>
      </c>
      <c r="IR52" t="e">
        <f>AND('5to. Bach_B'!#REF!,"AAAAAEzR//s=")</f>
        <v>#REF!</v>
      </c>
      <c r="IS52" t="e">
        <f>AND('5to. Bach_B'!#REF!,"AAAAAEzR//w=")</f>
        <v>#REF!</v>
      </c>
      <c r="IT52" t="e">
        <f>AND('5to. Bach_B'!#REF!,"AAAAAEzR//0=")</f>
        <v>#REF!</v>
      </c>
      <c r="IU52" t="e">
        <f>AND('5to. Bach_B'!#REF!,"AAAAAEzR//4=")</f>
        <v>#REF!</v>
      </c>
      <c r="IV52" t="e">
        <f>AND('5to. Bach_B'!#REF!,"AAAAAEzR//8=")</f>
        <v>#REF!</v>
      </c>
    </row>
    <row r="53" spans="1:256">
      <c r="A53" t="e">
        <f>AND('5to. Bach_B'!#REF!,"AAAAAB+16QA=")</f>
        <v>#REF!</v>
      </c>
      <c r="B53" t="e">
        <f>AND('5to. Bach_B'!#REF!,"AAAAAB+16QE=")</f>
        <v>#REF!</v>
      </c>
      <c r="C53" t="e">
        <f>AND('5to. Bach_B'!#REF!,"AAAAAB+16QI=")</f>
        <v>#REF!</v>
      </c>
      <c r="D53" t="e">
        <f>AND('5to. Bach_B'!#REF!,"AAAAAB+16QM=")</f>
        <v>#REF!</v>
      </c>
      <c r="E53" t="e">
        <f>AND('5to. Bach_B'!#REF!,"AAAAAB+16QQ=")</f>
        <v>#REF!</v>
      </c>
      <c r="F53" t="e">
        <f>AND('5to. Bach_B'!#REF!,"AAAAAB+16QU=")</f>
        <v>#REF!</v>
      </c>
      <c r="G53" t="e">
        <f>AND('5to. Bach_B'!#REF!,"AAAAAB+16QY=")</f>
        <v>#REF!</v>
      </c>
      <c r="H53" t="e">
        <f>AND('5to. Bach_B'!#REF!,"AAAAAB+16Qc=")</f>
        <v>#REF!</v>
      </c>
      <c r="I53" t="e">
        <f>AND('5to. Bach_B'!#REF!,"AAAAAB+16Qg=")</f>
        <v>#REF!</v>
      </c>
      <c r="J53" t="e">
        <f>AND('5to. Bach_B'!#REF!,"AAAAAB+16Qk=")</f>
        <v>#REF!</v>
      </c>
      <c r="K53" t="e">
        <f>AND('5to. Bach_B'!#REF!,"AAAAAB+16Qo=")</f>
        <v>#REF!</v>
      </c>
      <c r="L53" t="e">
        <f>AND('5to. Bach_B'!#REF!,"AAAAAB+16Qs=")</f>
        <v>#REF!</v>
      </c>
      <c r="M53" t="e">
        <f>AND('5to. Bach_B'!#REF!,"AAAAAB+16Qw=")</f>
        <v>#REF!</v>
      </c>
      <c r="N53" t="e">
        <f>AND('5to. Bach_B'!#REF!,"AAAAAB+16Q0=")</f>
        <v>#REF!</v>
      </c>
      <c r="O53" t="e">
        <f>AND('5to. Bach_B'!#REF!,"AAAAAB+16Q4=")</f>
        <v>#REF!</v>
      </c>
      <c r="P53" t="e">
        <f>AND('5to. Bach_B'!#REF!,"AAAAAB+16Q8=")</f>
        <v>#REF!</v>
      </c>
      <c r="Q53" t="e">
        <f>AND('5to. Bach_B'!#REF!,"AAAAAB+16RA=")</f>
        <v>#REF!</v>
      </c>
      <c r="R53" t="e">
        <f>IF('5to. Bach_B'!#REF!,"AAAAAB+16RE=",0)</f>
        <v>#REF!</v>
      </c>
      <c r="S53" t="e">
        <f>AND('5to. Bach_B'!#REF!,"AAAAAB+16RI=")</f>
        <v>#REF!</v>
      </c>
      <c r="T53" t="e">
        <f>AND('5to. Bach_B'!#REF!,"AAAAAB+16RM=")</f>
        <v>#REF!</v>
      </c>
      <c r="U53" t="e">
        <f>AND('5to. Bach_B'!#REF!,"AAAAAB+16RQ=")</f>
        <v>#REF!</v>
      </c>
      <c r="V53" t="e">
        <f>AND('5to. Bach_B'!#REF!,"AAAAAB+16RU=")</f>
        <v>#REF!</v>
      </c>
      <c r="W53" t="e">
        <f>AND('5to. Bach_B'!#REF!,"AAAAAB+16RY=")</f>
        <v>#REF!</v>
      </c>
      <c r="X53" t="e">
        <f>AND('5to. Bach_B'!#REF!,"AAAAAB+16Rc=")</f>
        <v>#REF!</v>
      </c>
      <c r="Y53" t="e">
        <f>AND('5to. Bach_B'!#REF!,"AAAAAB+16Rg=")</f>
        <v>#REF!</v>
      </c>
      <c r="Z53" t="e">
        <f>AND('5to. Bach_B'!#REF!,"AAAAAB+16Rk=")</f>
        <v>#REF!</v>
      </c>
      <c r="AA53" t="e">
        <f>AND('5to. Bach_B'!#REF!,"AAAAAB+16Ro=")</f>
        <v>#REF!</v>
      </c>
      <c r="AB53" t="e">
        <f>AND('5to. Bach_B'!#REF!,"AAAAAB+16Rs=")</f>
        <v>#REF!</v>
      </c>
      <c r="AC53" t="e">
        <f>AND('5to. Bach_B'!#REF!,"AAAAAB+16Rw=")</f>
        <v>#REF!</v>
      </c>
      <c r="AD53" t="e">
        <f>AND('5to. Bach_B'!#REF!,"AAAAAB+16R0=")</f>
        <v>#REF!</v>
      </c>
      <c r="AE53" t="e">
        <f>AND('5to. Bach_B'!#REF!,"AAAAAB+16R4=")</f>
        <v>#REF!</v>
      </c>
      <c r="AF53" t="e">
        <f>AND('5to. Bach_B'!#REF!,"AAAAAB+16R8=")</f>
        <v>#REF!</v>
      </c>
      <c r="AG53" t="e">
        <f>AND('5to. Bach_B'!#REF!,"AAAAAB+16SA=")</f>
        <v>#REF!</v>
      </c>
      <c r="AH53" t="e">
        <f>AND('5to. Bach_B'!#REF!,"AAAAAB+16SE=")</f>
        <v>#REF!</v>
      </c>
      <c r="AI53" t="e">
        <f>AND('5to. Bach_B'!#REF!,"AAAAAB+16SI=")</f>
        <v>#REF!</v>
      </c>
      <c r="AJ53" t="e">
        <f>AND('5to. Bach_B'!#REF!,"AAAAAB+16SM=")</f>
        <v>#REF!</v>
      </c>
      <c r="AK53" t="e">
        <f>AND('5to. Bach_B'!#REF!,"AAAAAB+16SQ=")</f>
        <v>#REF!</v>
      </c>
      <c r="AL53" t="e">
        <f>AND('5to. Bach_B'!#REF!,"AAAAAB+16SU=")</f>
        <v>#REF!</v>
      </c>
      <c r="AM53" t="e">
        <f>AND('5to. Bach_B'!#REF!,"AAAAAB+16SY=")</f>
        <v>#REF!</v>
      </c>
      <c r="AN53" t="e">
        <f>AND('5to. Bach_B'!#REF!,"AAAAAB+16Sc=")</f>
        <v>#REF!</v>
      </c>
      <c r="AO53" t="e">
        <f>AND('5to. Bach_B'!#REF!,"AAAAAB+16Sg=")</f>
        <v>#REF!</v>
      </c>
      <c r="AP53" t="e">
        <f>AND('5to. Bach_B'!#REF!,"AAAAAB+16Sk=")</f>
        <v>#REF!</v>
      </c>
      <c r="AQ53" t="e">
        <f>AND('5to. Bach_B'!#REF!,"AAAAAB+16So=")</f>
        <v>#REF!</v>
      </c>
      <c r="AR53" t="e">
        <f>IF('5to. Bach_B'!#REF!,"AAAAAB+16Ss=",0)</f>
        <v>#REF!</v>
      </c>
      <c r="AS53" t="e">
        <f>AND('5to. Bach_B'!#REF!,"AAAAAB+16Sw=")</f>
        <v>#REF!</v>
      </c>
      <c r="AT53" t="e">
        <f>AND('5to. Bach_B'!#REF!,"AAAAAB+16S0=")</f>
        <v>#REF!</v>
      </c>
      <c r="AU53" t="e">
        <f>AND('5to. Bach_B'!#REF!,"AAAAAB+16S4=")</f>
        <v>#REF!</v>
      </c>
      <c r="AV53" t="e">
        <f>AND('5to. Bach_B'!#REF!,"AAAAAB+16S8=")</f>
        <v>#REF!</v>
      </c>
      <c r="AW53" t="e">
        <f>AND('5to. Bach_B'!#REF!,"AAAAAB+16TA=")</f>
        <v>#REF!</v>
      </c>
      <c r="AX53" t="e">
        <f>AND('5to. Bach_B'!#REF!,"AAAAAB+16TE=")</f>
        <v>#REF!</v>
      </c>
      <c r="AY53" t="e">
        <f>AND('5to. Bach_B'!#REF!,"AAAAAB+16TI=")</f>
        <v>#REF!</v>
      </c>
      <c r="AZ53" t="e">
        <f>AND('5to. Bach_B'!#REF!,"AAAAAB+16TM=")</f>
        <v>#REF!</v>
      </c>
      <c r="BA53" t="e">
        <f>AND('5to. Bach_B'!#REF!,"AAAAAB+16TQ=")</f>
        <v>#REF!</v>
      </c>
      <c r="BB53" t="e">
        <f>AND('5to. Bach_B'!#REF!,"AAAAAB+16TU=")</f>
        <v>#REF!</v>
      </c>
      <c r="BC53" t="e">
        <f>AND('5to. Bach_B'!#REF!,"AAAAAB+16TY=")</f>
        <v>#REF!</v>
      </c>
      <c r="BD53" t="e">
        <f>AND('5to. Bach_B'!#REF!,"AAAAAB+16Tc=")</f>
        <v>#REF!</v>
      </c>
      <c r="BE53" t="e">
        <f>AND('5to. Bach_B'!#REF!,"AAAAAB+16Tg=")</f>
        <v>#REF!</v>
      </c>
      <c r="BF53" t="e">
        <f>AND('5to. Bach_B'!#REF!,"AAAAAB+16Tk=")</f>
        <v>#REF!</v>
      </c>
      <c r="BG53" t="e">
        <f>AND('5to. Bach_B'!#REF!,"AAAAAB+16To=")</f>
        <v>#REF!</v>
      </c>
      <c r="BH53" t="e">
        <f>AND('5to. Bach_B'!#REF!,"AAAAAB+16Ts=")</f>
        <v>#REF!</v>
      </c>
      <c r="BI53" t="e">
        <f>AND('5to. Bach_B'!#REF!,"AAAAAB+16Tw=")</f>
        <v>#REF!</v>
      </c>
      <c r="BJ53" t="e">
        <f>AND('5to. Bach_B'!#REF!,"AAAAAB+16T0=")</f>
        <v>#REF!</v>
      </c>
      <c r="BK53" t="e">
        <f>AND('5to. Bach_B'!#REF!,"AAAAAB+16T4=")</f>
        <v>#REF!</v>
      </c>
      <c r="BL53" t="e">
        <f>AND('5to. Bach_B'!#REF!,"AAAAAB+16T8=")</f>
        <v>#REF!</v>
      </c>
      <c r="BM53" t="e">
        <f>AND('5to. Bach_B'!#REF!,"AAAAAB+16UA=")</f>
        <v>#REF!</v>
      </c>
      <c r="BN53" t="e">
        <f>AND('5to. Bach_B'!#REF!,"AAAAAB+16UE=")</f>
        <v>#REF!</v>
      </c>
      <c r="BO53" t="e">
        <f>AND('5to. Bach_B'!#REF!,"AAAAAB+16UI=")</f>
        <v>#REF!</v>
      </c>
      <c r="BP53" t="e">
        <f>AND('5to. Bach_B'!#REF!,"AAAAAB+16UM=")</f>
        <v>#REF!</v>
      </c>
      <c r="BQ53" t="e">
        <f>AND('5to. Bach_B'!#REF!,"AAAAAB+16UQ=")</f>
        <v>#REF!</v>
      </c>
      <c r="BR53" t="e">
        <f>IF('5to. Bach_B'!#REF!,"AAAAAB+16UU=",0)</f>
        <v>#REF!</v>
      </c>
      <c r="BS53" t="e">
        <f>AND('5to. Bach_B'!#REF!,"AAAAAB+16UY=")</f>
        <v>#REF!</v>
      </c>
      <c r="BT53" t="e">
        <f>AND('5to. Bach_B'!#REF!,"AAAAAB+16Uc=")</f>
        <v>#REF!</v>
      </c>
      <c r="BU53" t="e">
        <f>AND('5to. Bach_B'!#REF!,"AAAAAB+16Ug=")</f>
        <v>#REF!</v>
      </c>
      <c r="BV53" t="e">
        <f>AND('5to. Bach_B'!#REF!,"AAAAAB+16Uk=")</f>
        <v>#REF!</v>
      </c>
      <c r="BW53" t="e">
        <f>AND('5to. Bach_B'!#REF!,"AAAAAB+16Uo=")</f>
        <v>#REF!</v>
      </c>
      <c r="BX53" t="e">
        <f>AND('5to. Bach_B'!#REF!,"AAAAAB+16Us=")</f>
        <v>#REF!</v>
      </c>
      <c r="BY53" t="e">
        <f>AND('5to. Bach_B'!#REF!,"AAAAAB+16Uw=")</f>
        <v>#REF!</v>
      </c>
      <c r="BZ53" t="e">
        <f>AND('5to. Bach_B'!#REF!,"AAAAAB+16U0=")</f>
        <v>#REF!</v>
      </c>
      <c r="CA53" t="e">
        <f>AND('5to. Bach_B'!#REF!,"AAAAAB+16U4=")</f>
        <v>#REF!</v>
      </c>
      <c r="CB53" t="e">
        <f>AND('5to. Bach_B'!#REF!,"AAAAAB+16U8=")</f>
        <v>#REF!</v>
      </c>
      <c r="CC53" t="e">
        <f>AND('5to. Bach_B'!#REF!,"AAAAAB+16VA=")</f>
        <v>#REF!</v>
      </c>
      <c r="CD53" t="e">
        <f>AND('5to. Bach_B'!#REF!,"AAAAAB+16VE=")</f>
        <v>#REF!</v>
      </c>
      <c r="CE53" t="e">
        <f>AND('5to. Bach_B'!#REF!,"AAAAAB+16VI=")</f>
        <v>#REF!</v>
      </c>
      <c r="CF53" t="e">
        <f>AND('5to. Bach_B'!#REF!,"AAAAAB+16VM=")</f>
        <v>#REF!</v>
      </c>
      <c r="CG53" t="e">
        <f>AND('5to. Bach_B'!#REF!,"AAAAAB+16VQ=")</f>
        <v>#REF!</v>
      </c>
      <c r="CH53" t="e">
        <f>AND('5to. Bach_B'!#REF!,"AAAAAB+16VU=")</f>
        <v>#REF!</v>
      </c>
      <c r="CI53" t="e">
        <f>AND('5to. Bach_B'!#REF!,"AAAAAB+16VY=")</f>
        <v>#REF!</v>
      </c>
      <c r="CJ53" t="e">
        <f>AND('5to. Bach_B'!#REF!,"AAAAAB+16Vc=")</f>
        <v>#REF!</v>
      </c>
      <c r="CK53" t="e">
        <f>AND('5to. Bach_B'!#REF!,"AAAAAB+16Vg=")</f>
        <v>#REF!</v>
      </c>
      <c r="CL53" t="e">
        <f>AND('5to. Bach_B'!#REF!,"AAAAAB+16Vk=")</f>
        <v>#REF!</v>
      </c>
      <c r="CM53" t="e">
        <f>AND('5to. Bach_B'!#REF!,"AAAAAB+16Vo=")</f>
        <v>#REF!</v>
      </c>
      <c r="CN53" t="e">
        <f>AND('5to. Bach_B'!#REF!,"AAAAAB+16Vs=")</f>
        <v>#REF!</v>
      </c>
      <c r="CO53" t="e">
        <f>AND('5to. Bach_B'!#REF!,"AAAAAB+16Vw=")</f>
        <v>#REF!</v>
      </c>
      <c r="CP53" t="e">
        <f>AND('5to. Bach_B'!#REF!,"AAAAAB+16V0=")</f>
        <v>#REF!</v>
      </c>
      <c r="CQ53" t="e">
        <f>AND('5to. Bach_B'!#REF!,"AAAAAB+16V4=")</f>
        <v>#REF!</v>
      </c>
      <c r="CR53" t="e">
        <f>IF('5to. Bach_B'!#REF!,"AAAAAB+16V8=",0)</f>
        <v>#REF!</v>
      </c>
      <c r="CS53" t="e">
        <f>AND('5to. Bach_B'!#REF!,"AAAAAB+16WA=")</f>
        <v>#REF!</v>
      </c>
      <c r="CT53" t="e">
        <f>AND('5to. Bach_B'!#REF!,"AAAAAB+16WE=")</f>
        <v>#REF!</v>
      </c>
      <c r="CU53" t="e">
        <f>AND('5to. Bach_B'!#REF!,"AAAAAB+16WI=")</f>
        <v>#REF!</v>
      </c>
      <c r="CV53" t="e">
        <f>AND('5to. Bach_B'!#REF!,"AAAAAB+16WM=")</f>
        <v>#REF!</v>
      </c>
      <c r="CW53" t="e">
        <f>AND('5to. Bach_B'!#REF!,"AAAAAB+16WQ=")</f>
        <v>#REF!</v>
      </c>
      <c r="CX53" t="e">
        <f>AND('5to. Bach_B'!#REF!,"AAAAAB+16WU=")</f>
        <v>#REF!</v>
      </c>
      <c r="CY53" t="e">
        <f>AND('5to. Bach_B'!#REF!,"AAAAAB+16WY=")</f>
        <v>#REF!</v>
      </c>
      <c r="CZ53" t="e">
        <f>AND('5to. Bach_B'!#REF!,"AAAAAB+16Wc=")</f>
        <v>#REF!</v>
      </c>
      <c r="DA53" t="e">
        <f>AND('5to. Bach_B'!#REF!,"AAAAAB+16Wg=")</f>
        <v>#REF!</v>
      </c>
      <c r="DB53" t="e">
        <f>AND('5to. Bach_B'!#REF!,"AAAAAB+16Wk=")</f>
        <v>#REF!</v>
      </c>
      <c r="DC53" t="e">
        <f>AND('5to. Bach_B'!#REF!,"AAAAAB+16Wo=")</f>
        <v>#REF!</v>
      </c>
      <c r="DD53" t="e">
        <f>AND('5to. Bach_B'!#REF!,"AAAAAB+16Ws=")</f>
        <v>#REF!</v>
      </c>
      <c r="DE53" t="e">
        <f>AND('5to. Bach_B'!#REF!,"AAAAAB+16Ww=")</f>
        <v>#REF!</v>
      </c>
      <c r="DF53" t="e">
        <f>AND('5to. Bach_B'!#REF!,"AAAAAB+16W0=")</f>
        <v>#REF!</v>
      </c>
      <c r="DG53" t="e">
        <f>AND('5to. Bach_B'!#REF!,"AAAAAB+16W4=")</f>
        <v>#REF!</v>
      </c>
      <c r="DH53" t="e">
        <f>AND('5to. Bach_B'!#REF!,"AAAAAB+16W8=")</f>
        <v>#REF!</v>
      </c>
      <c r="DI53" t="e">
        <f>AND('5to. Bach_B'!#REF!,"AAAAAB+16XA=")</f>
        <v>#REF!</v>
      </c>
      <c r="DJ53" t="e">
        <f>AND('5to. Bach_B'!#REF!,"AAAAAB+16XE=")</f>
        <v>#REF!</v>
      </c>
      <c r="DK53" t="e">
        <f>AND('5to. Bach_B'!#REF!,"AAAAAB+16XI=")</f>
        <v>#REF!</v>
      </c>
      <c r="DL53" t="e">
        <f>AND('5to. Bach_B'!#REF!,"AAAAAB+16XM=")</f>
        <v>#REF!</v>
      </c>
      <c r="DM53" t="e">
        <f>AND('5to. Bach_B'!#REF!,"AAAAAB+16XQ=")</f>
        <v>#REF!</v>
      </c>
      <c r="DN53" t="e">
        <f>AND('5to. Bach_B'!#REF!,"AAAAAB+16XU=")</f>
        <v>#REF!</v>
      </c>
      <c r="DO53" t="e">
        <f>AND('5to. Bach_B'!#REF!,"AAAAAB+16XY=")</f>
        <v>#REF!</v>
      </c>
      <c r="DP53" t="e">
        <f>AND('5to. Bach_B'!#REF!,"AAAAAB+16Xc=")</f>
        <v>#REF!</v>
      </c>
      <c r="DQ53" t="e">
        <f>AND('5to. Bach_B'!#REF!,"AAAAAB+16Xg=")</f>
        <v>#REF!</v>
      </c>
      <c r="DR53" t="e">
        <f>IF('5to. Bach_B'!#REF!,"AAAAAB+16Xk=",0)</f>
        <v>#REF!</v>
      </c>
      <c r="DS53" t="e">
        <f>AND('5to. Bach_B'!#REF!,"AAAAAB+16Xo=")</f>
        <v>#REF!</v>
      </c>
      <c r="DT53" t="e">
        <f>AND('5to. Bach_B'!#REF!,"AAAAAB+16Xs=")</f>
        <v>#REF!</v>
      </c>
      <c r="DU53" t="e">
        <f>AND('5to. Bach_B'!#REF!,"AAAAAB+16Xw=")</f>
        <v>#REF!</v>
      </c>
      <c r="DV53" t="e">
        <f>AND('5to. Bach_B'!#REF!,"AAAAAB+16X0=")</f>
        <v>#REF!</v>
      </c>
      <c r="DW53" t="e">
        <f>AND('5to. Bach_B'!#REF!,"AAAAAB+16X4=")</f>
        <v>#REF!</v>
      </c>
      <c r="DX53" t="e">
        <f>AND('5to. Bach_B'!#REF!,"AAAAAB+16X8=")</f>
        <v>#REF!</v>
      </c>
      <c r="DY53" t="e">
        <f>AND('5to. Bach_B'!#REF!,"AAAAAB+16YA=")</f>
        <v>#REF!</v>
      </c>
      <c r="DZ53" t="e">
        <f>AND('5to. Bach_B'!#REF!,"AAAAAB+16YE=")</f>
        <v>#REF!</v>
      </c>
      <c r="EA53" t="e">
        <f>AND('5to. Bach_B'!#REF!,"AAAAAB+16YI=")</f>
        <v>#REF!</v>
      </c>
      <c r="EB53" t="e">
        <f>AND('5to. Bach_B'!#REF!,"AAAAAB+16YM=")</f>
        <v>#REF!</v>
      </c>
      <c r="EC53" t="e">
        <f>AND('5to. Bach_B'!#REF!,"AAAAAB+16YQ=")</f>
        <v>#REF!</v>
      </c>
      <c r="ED53" t="e">
        <f>AND('5to. Bach_B'!#REF!,"AAAAAB+16YU=")</f>
        <v>#REF!</v>
      </c>
      <c r="EE53" t="e">
        <f>AND('5to. Bach_B'!#REF!,"AAAAAB+16YY=")</f>
        <v>#REF!</v>
      </c>
      <c r="EF53" t="e">
        <f>AND('5to. Bach_B'!#REF!,"AAAAAB+16Yc=")</f>
        <v>#REF!</v>
      </c>
      <c r="EG53" t="e">
        <f>AND('5to. Bach_B'!#REF!,"AAAAAB+16Yg=")</f>
        <v>#REF!</v>
      </c>
      <c r="EH53" t="e">
        <f>AND('5to. Bach_B'!#REF!,"AAAAAB+16Yk=")</f>
        <v>#REF!</v>
      </c>
      <c r="EI53" t="e">
        <f>AND('5to. Bach_B'!#REF!,"AAAAAB+16Yo=")</f>
        <v>#REF!</v>
      </c>
      <c r="EJ53" t="e">
        <f>AND('5to. Bach_B'!#REF!,"AAAAAB+16Ys=")</f>
        <v>#REF!</v>
      </c>
      <c r="EK53" t="e">
        <f>AND('5to. Bach_B'!#REF!,"AAAAAB+16Yw=")</f>
        <v>#REF!</v>
      </c>
      <c r="EL53" t="e">
        <f>AND('5to. Bach_B'!#REF!,"AAAAAB+16Y0=")</f>
        <v>#REF!</v>
      </c>
      <c r="EM53" t="e">
        <f>AND('5to. Bach_B'!#REF!,"AAAAAB+16Y4=")</f>
        <v>#REF!</v>
      </c>
      <c r="EN53" t="e">
        <f>AND('5to. Bach_B'!#REF!,"AAAAAB+16Y8=")</f>
        <v>#REF!</v>
      </c>
      <c r="EO53" t="e">
        <f>AND('5to. Bach_B'!#REF!,"AAAAAB+16ZA=")</f>
        <v>#REF!</v>
      </c>
      <c r="EP53" t="e">
        <f>AND('5to. Bach_B'!#REF!,"AAAAAB+16ZE=")</f>
        <v>#REF!</v>
      </c>
      <c r="EQ53" t="e">
        <f>AND('5to. Bach_B'!#REF!,"AAAAAB+16ZI=")</f>
        <v>#REF!</v>
      </c>
      <c r="ER53" t="e">
        <f>IF('5to. Bach_B'!#REF!,"AAAAAB+16ZM=",0)</f>
        <v>#REF!</v>
      </c>
      <c r="ES53" t="e">
        <f>AND('5to. Bach_B'!#REF!,"AAAAAB+16ZQ=")</f>
        <v>#REF!</v>
      </c>
      <c r="ET53" t="e">
        <f>AND('5to. Bach_B'!#REF!,"AAAAAB+16ZU=")</f>
        <v>#REF!</v>
      </c>
      <c r="EU53" t="e">
        <f>AND('5to. Bach_B'!#REF!,"AAAAAB+16ZY=")</f>
        <v>#REF!</v>
      </c>
      <c r="EV53" t="e">
        <f>AND('5to. Bach_B'!#REF!,"AAAAAB+16Zc=")</f>
        <v>#REF!</v>
      </c>
      <c r="EW53" t="e">
        <f>AND('5to. Bach_B'!#REF!,"AAAAAB+16Zg=")</f>
        <v>#REF!</v>
      </c>
      <c r="EX53" t="e">
        <f>AND('5to. Bach_B'!#REF!,"AAAAAB+16Zk=")</f>
        <v>#REF!</v>
      </c>
      <c r="EY53" t="e">
        <f>AND('5to. Bach_B'!#REF!,"AAAAAB+16Zo=")</f>
        <v>#REF!</v>
      </c>
      <c r="EZ53" t="e">
        <f>AND('5to. Bach_B'!#REF!,"AAAAAB+16Zs=")</f>
        <v>#REF!</v>
      </c>
      <c r="FA53" t="e">
        <f>AND('5to. Bach_B'!#REF!,"AAAAAB+16Zw=")</f>
        <v>#REF!</v>
      </c>
      <c r="FB53" t="e">
        <f>AND('5to. Bach_B'!#REF!,"AAAAAB+16Z0=")</f>
        <v>#REF!</v>
      </c>
      <c r="FC53" t="e">
        <f>AND('5to. Bach_B'!#REF!,"AAAAAB+16Z4=")</f>
        <v>#REF!</v>
      </c>
      <c r="FD53" t="e">
        <f>AND('5to. Bach_B'!#REF!,"AAAAAB+16Z8=")</f>
        <v>#REF!</v>
      </c>
      <c r="FE53" t="e">
        <f>AND('5to. Bach_B'!#REF!,"AAAAAB+16aA=")</f>
        <v>#REF!</v>
      </c>
      <c r="FF53" t="e">
        <f>AND('5to. Bach_B'!#REF!,"AAAAAB+16aE=")</f>
        <v>#REF!</v>
      </c>
      <c r="FG53" t="e">
        <f>AND('5to. Bach_B'!#REF!,"AAAAAB+16aI=")</f>
        <v>#REF!</v>
      </c>
      <c r="FH53" t="e">
        <f>AND('5to. Bach_B'!#REF!,"AAAAAB+16aM=")</f>
        <v>#REF!</v>
      </c>
      <c r="FI53" t="e">
        <f>AND('5to. Bach_B'!#REF!,"AAAAAB+16aQ=")</f>
        <v>#REF!</v>
      </c>
      <c r="FJ53" t="e">
        <f>AND('5to. Bach_B'!#REF!,"AAAAAB+16aU=")</f>
        <v>#REF!</v>
      </c>
      <c r="FK53" t="e">
        <f>AND('5to. Bach_B'!#REF!,"AAAAAB+16aY=")</f>
        <v>#REF!</v>
      </c>
      <c r="FL53" t="e">
        <f>AND('5to. Bach_B'!#REF!,"AAAAAB+16ac=")</f>
        <v>#REF!</v>
      </c>
      <c r="FM53" t="e">
        <f>AND('5to. Bach_B'!#REF!,"AAAAAB+16ag=")</f>
        <v>#REF!</v>
      </c>
      <c r="FN53" t="e">
        <f>AND('5to. Bach_B'!#REF!,"AAAAAB+16ak=")</f>
        <v>#REF!</v>
      </c>
      <c r="FO53" t="e">
        <f>AND('5to. Bach_B'!#REF!,"AAAAAB+16ao=")</f>
        <v>#REF!</v>
      </c>
      <c r="FP53" t="e">
        <f>AND('5to. Bach_B'!#REF!,"AAAAAB+16as=")</f>
        <v>#REF!</v>
      </c>
      <c r="FQ53" t="e">
        <f>AND('5to. Bach_B'!#REF!,"AAAAAB+16aw=")</f>
        <v>#REF!</v>
      </c>
      <c r="FR53" t="e">
        <f>IF('5to. Bach_B'!#REF!,"AAAAAB+16a0=",0)</f>
        <v>#REF!</v>
      </c>
      <c r="FS53" t="e">
        <f>AND('5to. Bach_B'!#REF!,"AAAAAB+16a4=")</f>
        <v>#REF!</v>
      </c>
      <c r="FT53" t="e">
        <f>AND('5to. Bach_B'!#REF!,"AAAAAB+16a8=")</f>
        <v>#REF!</v>
      </c>
      <c r="FU53" t="e">
        <f>AND('5to. Bach_B'!#REF!,"AAAAAB+16bA=")</f>
        <v>#REF!</v>
      </c>
      <c r="FV53" t="e">
        <f>AND('5to. Bach_B'!#REF!,"AAAAAB+16bE=")</f>
        <v>#REF!</v>
      </c>
      <c r="FW53" t="e">
        <f>AND('5to. Bach_B'!#REF!,"AAAAAB+16bI=")</f>
        <v>#REF!</v>
      </c>
      <c r="FX53" t="e">
        <f>AND('5to. Bach_B'!#REF!,"AAAAAB+16bM=")</f>
        <v>#REF!</v>
      </c>
      <c r="FY53" t="e">
        <f>AND('5to. Bach_B'!#REF!,"AAAAAB+16bQ=")</f>
        <v>#REF!</v>
      </c>
      <c r="FZ53" t="e">
        <f>AND('5to. Bach_B'!#REF!,"AAAAAB+16bU=")</f>
        <v>#REF!</v>
      </c>
      <c r="GA53" t="e">
        <f>AND('5to. Bach_B'!#REF!,"AAAAAB+16bY=")</f>
        <v>#REF!</v>
      </c>
      <c r="GB53" t="e">
        <f>AND('5to. Bach_B'!#REF!,"AAAAAB+16bc=")</f>
        <v>#REF!</v>
      </c>
      <c r="GC53" t="e">
        <f>AND('5to. Bach_B'!#REF!,"AAAAAB+16bg=")</f>
        <v>#REF!</v>
      </c>
      <c r="GD53" t="e">
        <f>AND('5to. Bach_B'!#REF!,"AAAAAB+16bk=")</f>
        <v>#REF!</v>
      </c>
      <c r="GE53" t="e">
        <f>AND('5to. Bach_B'!#REF!,"AAAAAB+16bo=")</f>
        <v>#REF!</v>
      </c>
      <c r="GF53" t="e">
        <f>AND('5to. Bach_B'!#REF!,"AAAAAB+16bs=")</f>
        <v>#REF!</v>
      </c>
      <c r="GG53" t="e">
        <f>AND('5to. Bach_B'!#REF!,"AAAAAB+16bw=")</f>
        <v>#REF!</v>
      </c>
      <c r="GH53" t="e">
        <f>AND('5to. Bach_B'!#REF!,"AAAAAB+16b0=")</f>
        <v>#REF!</v>
      </c>
      <c r="GI53" t="e">
        <f>AND('5to. Bach_B'!#REF!,"AAAAAB+16b4=")</f>
        <v>#REF!</v>
      </c>
      <c r="GJ53" t="e">
        <f>AND('5to. Bach_B'!#REF!,"AAAAAB+16b8=")</f>
        <v>#REF!</v>
      </c>
      <c r="GK53" t="e">
        <f>AND('5to. Bach_B'!#REF!,"AAAAAB+16cA=")</f>
        <v>#REF!</v>
      </c>
      <c r="GL53" t="e">
        <f>AND('5to. Bach_B'!#REF!,"AAAAAB+16cE=")</f>
        <v>#REF!</v>
      </c>
      <c r="GM53" t="e">
        <f>AND('5to. Bach_B'!#REF!,"AAAAAB+16cI=")</f>
        <v>#REF!</v>
      </c>
      <c r="GN53" t="e">
        <f>AND('5to. Bach_B'!#REF!,"AAAAAB+16cM=")</f>
        <v>#REF!</v>
      </c>
      <c r="GO53" t="e">
        <f>AND('5to. Bach_B'!#REF!,"AAAAAB+16cQ=")</f>
        <v>#REF!</v>
      </c>
      <c r="GP53" t="e">
        <f>AND('5to. Bach_B'!#REF!,"AAAAAB+16cU=")</f>
        <v>#REF!</v>
      </c>
      <c r="GQ53" t="e">
        <f>AND('5to. Bach_B'!#REF!,"AAAAAB+16cY=")</f>
        <v>#REF!</v>
      </c>
      <c r="GR53" t="e">
        <f>IF('5to. Bach_B'!#REF!,"AAAAAB+16cc=",0)</f>
        <v>#REF!</v>
      </c>
      <c r="GS53" t="e">
        <f>AND('5to. Bach_B'!#REF!,"AAAAAB+16cg=")</f>
        <v>#REF!</v>
      </c>
      <c r="GT53" t="e">
        <f>AND('5to. Bach_B'!#REF!,"AAAAAB+16ck=")</f>
        <v>#REF!</v>
      </c>
      <c r="GU53" t="e">
        <f>AND('5to. Bach_B'!#REF!,"AAAAAB+16co=")</f>
        <v>#REF!</v>
      </c>
      <c r="GV53" t="e">
        <f>AND('5to. Bach_B'!#REF!,"AAAAAB+16cs=")</f>
        <v>#REF!</v>
      </c>
      <c r="GW53" t="e">
        <f>AND('5to. Bach_B'!#REF!,"AAAAAB+16cw=")</f>
        <v>#REF!</v>
      </c>
      <c r="GX53" t="e">
        <f>AND('5to. Bach_B'!#REF!,"AAAAAB+16c0=")</f>
        <v>#REF!</v>
      </c>
      <c r="GY53" t="e">
        <f>AND('5to. Bach_B'!#REF!,"AAAAAB+16c4=")</f>
        <v>#REF!</v>
      </c>
      <c r="GZ53" t="e">
        <f>AND('5to. Bach_B'!#REF!,"AAAAAB+16c8=")</f>
        <v>#REF!</v>
      </c>
      <c r="HA53" t="e">
        <f>AND('5to. Bach_B'!#REF!,"AAAAAB+16dA=")</f>
        <v>#REF!</v>
      </c>
      <c r="HB53" t="e">
        <f>AND('5to. Bach_B'!#REF!,"AAAAAB+16dE=")</f>
        <v>#REF!</v>
      </c>
      <c r="HC53" t="e">
        <f>AND('5to. Bach_B'!#REF!,"AAAAAB+16dI=")</f>
        <v>#REF!</v>
      </c>
      <c r="HD53" t="e">
        <f>AND('5to. Bach_B'!#REF!,"AAAAAB+16dM=")</f>
        <v>#REF!</v>
      </c>
      <c r="HE53" t="e">
        <f>AND('5to. Bach_B'!#REF!,"AAAAAB+16dQ=")</f>
        <v>#REF!</v>
      </c>
      <c r="HF53" t="e">
        <f>AND('5to. Bach_B'!#REF!,"AAAAAB+16dU=")</f>
        <v>#REF!</v>
      </c>
      <c r="HG53" t="e">
        <f>AND('5to. Bach_B'!#REF!,"AAAAAB+16dY=")</f>
        <v>#REF!</v>
      </c>
      <c r="HH53" t="e">
        <f>AND('5to. Bach_B'!#REF!,"AAAAAB+16dc=")</f>
        <v>#REF!</v>
      </c>
      <c r="HI53" t="e">
        <f>AND('5to. Bach_B'!#REF!,"AAAAAB+16dg=")</f>
        <v>#REF!</v>
      </c>
      <c r="HJ53" t="e">
        <f>AND('5to. Bach_B'!#REF!,"AAAAAB+16dk=")</f>
        <v>#REF!</v>
      </c>
      <c r="HK53" t="e">
        <f>AND('5to. Bach_B'!#REF!,"AAAAAB+16do=")</f>
        <v>#REF!</v>
      </c>
      <c r="HL53" t="e">
        <f>AND('5to. Bach_B'!#REF!,"AAAAAB+16ds=")</f>
        <v>#REF!</v>
      </c>
      <c r="HM53" t="e">
        <f>AND('5to. Bach_B'!#REF!,"AAAAAB+16dw=")</f>
        <v>#REF!</v>
      </c>
      <c r="HN53" t="e">
        <f>AND('5to. Bach_B'!#REF!,"AAAAAB+16d0=")</f>
        <v>#REF!</v>
      </c>
      <c r="HO53" t="e">
        <f>AND('5to. Bach_B'!#REF!,"AAAAAB+16d4=")</f>
        <v>#REF!</v>
      </c>
      <c r="HP53" t="e">
        <f>AND('5to. Bach_B'!#REF!,"AAAAAB+16d8=")</f>
        <v>#REF!</v>
      </c>
      <c r="HQ53" t="e">
        <f>AND('5to. Bach_B'!#REF!,"AAAAAB+16eA=")</f>
        <v>#REF!</v>
      </c>
      <c r="HR53" t="e">
        <f>IF('5to. Bach_B'!#REF!,"AAAAAB+16eE=",0)</f>
        <v>#REF!</v>
      </c>
      <c r="HS53" t="e">
        <f>AND('5to. Bach_B'!#REF!,"AAAAAB+16eI=")</f>
        <v>#REF!</v>
      </c>
      <c r="HT53" t="e">
        <f>AND('5to. Bach_B'!#REF!,"AAAAAB+16eM=")</f>
        <v>#REF!</v>
      </c>
      <c r="HU53" t="e">
        <f>AND('5to. Bach_B'!#REF!,"AAAAAB+16eQ=")</f>
        <v>#REF!</v>
      </c>
      <c r="HV53" t="e">
        <f>AND('5to. Bach_B'!#REF!,"AAAAAB+16eU=")</f>
        <v>#REF!</v>
      </c>
      <c r="HW53" t="e">
        <f>AND('5to. Bach_B'!#REF!,"AAAAAB+16eY=")</f>
        <v>#REF!</v>
      </c>
      <c r="HX53" t="e">
        <f>AND('5to. Bach_B'!#REF!,"AAAAAB+16ec=")</f>
        <v>#REF!</v>
      </c>
      <c r="HY53" t="e">
        <f>AND('5to. Bach_B'!#REF!,"AAAAAB+16eg=")</f>
        <v>#REF!</v>
      </c>
      <c r="HZ53" t="e">
        <f>AND('5to. Bach_B'!#REF!,"AAAAAB+16ek=")</f>
        <v>#REF!</v>
      </c>
      <c r="IA53" t="e">
        <f>AND('5to. Bach_B'!#REF!,"AAAAAB+16eo=")</f>
        <v>#REF!</v>
      </c>
      <c r="IB53" t="e">
        <f>AND('5to. Bach_B'!#REF!,"AAAAAB+16es=")</f>
        <v>#REF!</v>
      </c>
      <c r="IC53" t="e">
        <f>AND('5to. Bach_B'!#REF!,"AAAAAB+16ew=")</f>
        <v>#REF!</v>
      </c>
      <c r="ID53" t="e">
        <f>AND('5to. Bach_B'!#REF!,"AAAAAB+16e0=")</f>
        <v>#REF!</v>
      </c>
      <c r="IE53" t="e">
        <f>AND('5to. Bach_B'!#REF!,"AAAAAB+16e4=")</f>
        <v>#REF!</v>
      </c>
      <c r="IF53" t="e">
        <f>AND('5to. Bach_B'!#REF!,"AAAAAB+16e8=")</f>
        <v>#REF!</v>
      </c>
      <c r="IG53" t="e">
        <f>AND('5to. Bach_B'!#REF!,"AAAAAB+16fA=")</f>
        <v>#REF!</v>
      </c>
      <c r="IH53" t="e">
        <f>AND('5to. Bach_B'!#REF!,"AAAAAB+16fE=")</f>
        <v>#REF!</v>
      </c>
      <c r="II53" t="e">
        <f>AND('5to. Bach_B'!#REF!,"AAAAAB+16fI=")</f>
        <v>#REF!</v>
      </c>
      <c r="IJ53" t="e">
        <f>AND('5to. Bach_B'!#REF!,"AAAAAB+16fM=")</f>
        <v>#REF!</v>
      </c>
      <c r="IK53" t="e">
        <f>AND('5to. Bach_B'!#REF!,"AAAAAB+16fQ=")</f>
        <v>#REF!</v>
      </c>
      <c r="IL53" t="e">
        <f>AND('5to. Bach_B'!#REF!,"AAAAAB+16fU=")</f>
        <v>#REF!</v>
      </c>
      <c r="IM53" t="e">
        <f>AND('5to. Bach_B'!#REF!,"AAAAAB+16fY=")</f>
        <v>#REF!</v>
      </c>
      <c r="IN53" t="e">
        <f>AND('5to. Bach_B'!#REF!,"AAAAAB+16fc=")</f>
        <v>#REF!</v>
      </c>
      <c r="IO53" t="e">
        <f>AND('5to. Bach_B'!#REF!,"AAAAAB+16fg=")</f>
        <v>#REF!</v>
      </c>
      <c r="IP53" t="e">
        <f>AND('5to. Bach_B'!#REF!,"AAAAAB+16fk=")</f>
        <v>#REF!</v>
      </c>
      <c r="IQ53" t="e">
        <f>AND('5to. Bach_B'!#REF!,"AAAAAB+16fo=")</f>
        <v>#REF!</v>
      </c>
      <c r="IR53" t="e">
        <f>IF('5to. Bach_B'!#REF!,"AAAAAB+16fs=",0)</f>
        <v>#REF!</v>
      </c>
      <c r="IS53" t="e">
        <f>AND('5to. Bach_B'!#REF!,"AAAAAB+16fw=")</f>
        <v>#REF!</v>
      </c>
      <c r="IT53" t="e">
        <f>AND('5to. Bach_B'!#REF!,"AAAAAB+16f0=")</f>
        <v>#REF!</v>
      </c>
      <c r="IU53" t="e">
        <f>AND('5to. Bach_B'!#REF!,"AAAAAB+16f4=")</f>
        <v>#REF!</v>
      </c>
      <c r="IV53" t="e">
        <f>AND('5to. Bach_B'!#REF!,"AAAAAB+16f8=")</f>
        <v>#REF!</v>
      </c>
    </row>
    <row r="54" spans="1:256">
      <c r="A54" t="e">
        <f>AND('5to. Bach_B'!#REF!,"AAAAAHKr7QA=")</f>
        <v>#REF!</v>
      </c>
      <c r="B54" t="e">
        <f>AND('5to. Bach_B'!#REF!,"AAAAAHKr7QE=")</f>
        <v>#REF!</v>
      </c>
      <c r="C54" t="e">
        <f>AND('5to. Bach_B'!#REF!,"AAAAAHKr7QI=")</f>
        <v>#REF!</v>
      </c>
      <c r="D54" t="e">
        <f>AND('5to. Bach_B'!#REF!,"AAAAAHKr7QM=")</f>
        <v>#REF!</v>
      </c>
      <c r="E54" t="e">
        <f>AND('5to. Bach_B'!#REF!,"AAAAAHKr7QQ=")</f>
        <v>#REF!</v>
      </c>
      <c r="F54" t="e">
        <f>AND('5to. Bach_B'!#REF!,"AAAAAHKr7QU=")</f>
        <v>#REF!</v>
      </c>
      <c r="G54" t="e">
        <f>AND('5to. Bach_B'!#REF!,"AAAAAHKr7QY=")</f>
        <v>#REF!</v>
      </c>
      <c r="H54" t="e">
        <f>AND('5to. Bach_B'!#REF!,"AAAAAHKr7Qc=")</f>
        <v>#REF!</v>
      </c>
      <c r="I54" t="e">
        <f>AND('5to. Bach_B'!#REF!,"AAAAAHKr7Qg=")</f>
        <v>#REF!</v>
      </c>
      <c r="J54" t="e">
        <f>AND('5to. Bach_B'!#REF!,"AAAAAHKr7Qk=")</f>
        <v>#REF!</v>
      </c>
      <c r="K54" t="e">
        <f>AND('5to. Bach_B'!#REF!,"AAAAAHKr7Qo=")</f>
        <v>#REF!</v>
      </c>
      <c r="L54" t="e">
        <f>AND('5to. Bach_B'!#REF!,"AAAAAHKr7Qs=")</f>
        <v>#REF!</v>
      </c>
      <c r="M54" t="e">
        <f>AND('5to. Bach_B'!#REF!,"AAAAAHKr7Qw=")</f>
        <v>#REF!</v>
      </c>
      <c r="N54" t="e">
        <f>AND('5to. Bach_B'!#REF!,"AAAAAHKr7Q0=")</f>
        <v>#REF!</v>
      </c>
      <c r="O54" t="e">
        <f>AND('5to. Bach_B'!#REF!,"AAAAAHKr7Q4=")</f>
        <v>#REF!</v>
      </c>
      <c r="P54" t="e">
        <f>AND('5to. Bach_B'!#REF!,"AAAAAHKr7Q8=")</f>
        <v>#REF!</v>
      </c>
      <c r="Q54" t="e">
        <f>AND('5to. Bach_B'!#REF!,"AAAAAHKr7RA=")</f>
        <v>#REF!</v>
      </c>
      <c r="R54" t="e">
        <f>AND('5to. Bach_B'!#REF!,"AAAAAHKr7RE=")</f>
        <v>#REF!</v>
      </c>
      <c r="S54" t="e">
        <f>AND('5to. Bach_B'!#REF!,"AAAAAHKr7RI=")</f>
        <v>#REF!</v>
      </c>
      <c r="T54" t="e">
        <f>AND('5to. Bach_B'!#REF!,"AAAAAHKr7RM=")</f>
        <v>#REF!</v>
      </c>
      <c r="U54" t="e">
        <f>AND('5to. Bach_B'!#REF!,"AAAAAHKr7RQ=")</f>
        <v>#REF!</v>
      </c>
      <c r="V54" t="e">
        <f>IF('5to. Bach_B'!#REF!,"AAAAAHKr7RU=",0)</f>
        <v>#REF!</v>
      </c>
      <c r="W54" t="e">
        <f>AND('5to. Bach_B'!#REF!,"AAAAAHKr7RY=")</f>
        <v>#REF!</v>
      </c>
      <c r="X54" t="e">
        <f>AND('5to. Bach_B'!#REF!,"AAAAAHKr7Rc=")</f>
        <v>#REF!</v>
      </c>
      <c r="Y54" t="e">
        <f>AND('5to. Bach_B'!#REF!,"AAAAAHKr7Rg=")</f>
        <v>#REF!</v>
      </c>
      <c r="Z54" t="e">
        <f>AND('5to. Bach_B'!#REF!,"AAAAAHKr7Rk=")</f>
        <v>#REF!</v>
      </c>
      <c r="AA54" t="e">
        <f>AND('5to. Bach_B'!#REF!,"AAAAAHKr7Ro=")</f>
        <v>#REF!</v>
      </c>
      <c r="AB54" t="e">
        <f>AND('5to. Bach_B'!#REF!,"AAAAAHKr7Rs=")</f>
        <v>#REF!</v>
      </c>
      <c r="AC54" t="e">
        <f>AND('5to. Bach_B'!#REF!,"AAAAAHKr7Rw=")</f>
        <v>#REF!</v>
      </c>
      <c r="AD54" t="e">
        <f>AND('5to. Bach_B'!#REF!,"AAAAAHKr7R0=")</f>
        <v>#REF!</v>
      </c>
      <c r="AE54" t="e">
        <f>AND('5to. Bach_B'!#REF!,"AAAAAHKr7R4=")</f>
        <v>#REF!</v>
      </c>
      <c r="AF54" t="e">
        <f>AND('5to. Bach_B'!#REF!,"AAAAAHKr7R8=")</f>
        <v>#REF!</v>
      </c>
      <c r="AG54" t="e">
        <f>AND('5to. Bach_B'!#REF!,"AAAAAHKr7SA=")</f>
        <v>#REF!</v>
      </c>
      <c r="AH54" t="e">
        <f>AND('5to. Bach_B'!#REF!,"AAAAAHKr7SE=")</f>
        <v>#REF!</v>
      </c>
      <c r="AI54" t="e">
        <f>AND('5to. Bach_B'!#REF!,"AAAAAHKr7SI=")</f>
        <v>#REF!</v>
      </c>
      <c r="AJ54" t="e">
        <f>AND('5to. Bach_B'!#REF!,"AAAAAHKr7SM=")</f>
        <v>#REF!</v>
      </c>
      <c r="AK54" t="e">
        <f>AND('5to. Bach_B'!#REF!,"AAAAAHKr7SQ=")</f>
        <v>#REF!</v>
      </c>
      <c r="AL54" t="e">
        <f>AND('5to. Bach_B'!#REF!,"AAAAAHKr7SU=")</f>
        <v>#REF!</v>
      </c>
      <c r="AM54" t="e">
        <f>AND('5to. Bach_B'!#REF!,"AAAAAHKr7SY=")</f>
        <v>#REF!</v>
      </c>
      <c r="AN54" t="e">
        <f>AND('5to. Bach_B'!#REF!,"AAAAAHKr7Sc=")</f>
        <v>#REF!</v>
      </c>
      <c r="AO54" t="e">
        <f>AND('5to. Bach_B'!#REF!,"AAAAAHKr7Sg=")</f>
        <v>#REF!</v>
      </c>
      <c r="AP54" t="e">
        <f>AND('5to. Bach_B'!#REF!,"AAAAAHKr7Sk=")</f>
        <v>#REF!</v>
      </c>
      <c r="AQ54" t="e">
        <f>AND('5to. Bach_B'!#REF!,"AAAAAHKr7So=")</f>
        <v>#REF!</v>
      </c>
      <c r="AR54" t="e">
        <f>AND('5to. Bach_B'!#REF!,"AAAAAHKr7Ss=")</f>
        <v>#REF!</v>
      </c>
      <c r="AS54" t="e">
        <f>AND('5to. Bach_B'!#REF!,"AAAAAHKr7Sw=")</f>
        <v>#REF!</v>
      </c>
      <c r="AT54" t="e">
        <f>AND('5to. Bach_B'!#REF!,"AAAAAHKr7S0=")</f>
        <v>#REF!</v>
      </c>
      <c r="AU54" t="e">
        <f>AND('5to. Bach_B'!#REF!,"AAAAAHKr7S4=")</f>
        <v>#REF!</v>
      </c>
      <c r="AV54" t="e">
        <f>IF('5to. Bach_B'!#REF!,"AAAAAHKr7S8=",0)</f>
        <v>#REF!</v>
      </c>
      <c r="AW54" t="e">
        <f>AND('5to. Bach_B'!#REF!,"AAAAAHKr7TA=")</f>
        <v>#REF!</v>
      </c>
      <c r="AX54" t="e">
        <f>AND('5to. Bach_B'!#REF!,"AAAAAHKr7TE=")</f>
        <v>#REF!</v>
      </c>
      <c r="AY54" t="e">
        <f>AND('5to. Bach_B'!#REF!,"AAAAAHKr7TI=")</f>
        <v>#REF!</v>
      </c>
      <c r="AZ54" t="e">
        <f>AND('5to. Bach_B'!#REF!,"AAAAAHKr7TM=")</f>
        <v>#REF!</v>
      </c>
      <c r="BA54" t="e">
        <f>AND('5to. Bach_B'!#REF!,"AAAAAHKr7TQ=")</f>
        <v>#REF!</v>
      </c>
      <c r="BB54" t="e">
        <f>AND('5to. Bach_B'!#REF!,"AAAAAHKr7TU=")</f>
        <v>#REF!</v>
      </c>
      <c r="BC54" t="e">
        <f>AND('5to. Bach_B'!#REF!,"AAAAAHKr7TY=")</f>
        <v>#REF!</v>
      </c>
      <c r="BD54" t="e">
        <f>AND('5to. Bach_B'!#REF!,"AAAAAHKr7Tc=")</f>
        <v>#REF!</v>
      </c>
      <c r="BE54" t="e">
        <f>AND('5to. Bach_B'!#REF!,"AAAAAHKr7Tg=")</f>
        <v>#REF!</v>
      </c>
      <c r="BF54" t="e">
        <f>AND('5to. Bach_B'!#REF!,"AAAAAHKr7Tk=")</f>
        <v>#REF!</v>
      </c>
      <c r="BG54" t="e">
        <f>AND('5to. Bach_B'!#REF!,"AAAAAHKr7To=")</f>
        <v>#REF!</v>
      </c>
      <c r="BH54" t="e">
        <f>AND('5to. Bach_B'!#REF!,"AAAAAHKr7Ts=")</f>
        <v>#REF!</v>
      </c>
      <c r="BI54" t="e">
        <f>AND('5to. Bach_B'!#REF!,"AAAAAHKr7Tw=")</f>
        <v>#REF!</v>
      </c>
      <c r="BJ54" t="e">
        <f>AND('5to. Bach_B'!#REF!,"AAAAAHKr7T0=")</f>
        <v>#REF!</v>
      </c>
      <c r="BK54" t="e">
        <f>AND('5to. Bach_B'!#REF!,"AAAAAHKr7T4=")</f>
        <v>#REF!</v>
      </c>
      <c r="BL54" t="e">
        <f>AND('5to. Bach_B'!#REF!,"AAAAAHKr7T8=")</f>
        <v>#REF!</v>
      </c>
      <c r="BM54" t="e">
        <f>AND('5to. Bach_B'!#REF!,"AAAAAHKr7UA=")</f>
        <v>#REF!</v>
      </c>
      <c r="BN54" t="e">
        <f>AND('5to. Bach_B'!#REF!,"AAAAAHKr7UE=")</f>
        <v>#REF!</v>
      </c>
      <c r="BO54" t="e">
        <f>AND('5to. Bach_B'!#REF!,"AAAAAHKr7UI=")</f>
        <v>#REF!</v>
      </c>
      <c r="BP54" t="e">
        <f>AND('5to. Bach_B'!#REF!,"AAAAAHKr7UM=")</f>
        <v>#REF!</v>
      </c>
      <c r="BQ54" t="e">
        <f>AND('5to. Bach_B'!#REF!,"AAAAAHKr7UQ=")</f>
        <v>#REF!</v>
      </c>
      <c r="BR54" t="e">
        <f>AND('5to. Bach_B'!#REF!,"AAAAAHKr7UU=")</f>
        <v>#REF!</v>
      </c>
      <c r="BS54" t="e">
        <f>AND('5to. Bach_B'!#REF!,"AAAAAHKr7UY=")</f>
        <v>#REF!</v>
      </c>
      <c r="BT54" t="e">
        <f>AND('5to. Bach_B'!#REF!,"AAAAAHKr7Uc=")</f>
        <v>#REF!</v>
      </c>
      <c r="BU54" t="e">
        <f>AND('5to. Bach_B'!#REF!,"AAAAAHKr7Ug=")</f>
        <v>#REF!</v>
      </c>
      <c r="BV54" t="e">
        <f>IF('5to. Bach_B'!#REF!,"AAAAAHKr7Uk=",0)</f>
        <v>#REF!</v>
      </c>
      <c r="BW54" t="e">
        <f>AND('5to. Bach_B'!#REF!,"AAAAAHKr7Uo=")</f>
        <v>#REF!</v>
      </c>
      <c r="BX54" t="e">
        <f>AND('5to. Bach_B'!#REF!,"AAAAAHKr7Us=")</f>
        <v>#REF!</v>
      </c>
      <c r="BY54" t="e">
        <f>AND('5to. Bach_B'!#REF!,"AAAAAHKr7Uw=")</f>
        <v>#REF!</v>
      </c>
      <c r="BZ54" t="e">
        <f>AND('5to. Bach_B'!#REF!,"AAAAAHKr7U0=")</f>
        <v>#REF!</v>
      </c>
      <c r="CA54" t="e">
        <f>AND('5to. Bach_B'!#REF!,"AAAAAHKr7U4=")</f>
        <v>#REF!</v>
      </c>
      <c r="CB54" t="e">
        <f>AND('5to. Bach_B'!#REF!,"AAAAAHKr7U8=")</f>
        <v>#REF!</v>
      </c>
      <c r="CC54" t="e">
        <f>AND('5to. Bach_B'!#REF!,"AAAAAHKr7VA=")</f>
        <v>#REF!</v>
      </c>
      <c r="CD54" t="e">
        <f>AND('5to. Bach_B'!#REF!,"AAAAAHKr7VE=")</f>
        <v>#REF!</v>
      </c>
      <c r="CE54" t="e">
        <f>AND('5to. Bach_B'!#REF!,"AAAAAHKr7VI=")</f>
        <v>#REF!</v>
      </c>
      <c r="CF54" t="e">
        <f>AND('5to. Bach_B'!#REF!,"AAAAAHKr7VM=")</f>
        <v>#REF!</v>
      </c>
      <c r="CG54" t="e">
        <f>AND('5to. Bach_B'!#REF!,"AAAAAHKr7VQ=")</f>
        <v>#REF!</v>
      </c>
      <c r="CH54" t="e">
        <f>AND('5to. Bach_B'!#REF!,"AAAAAHKr7VU=")</f>
        <v>#REF!</v>
      </c>
      <c r="CI54" t="e">
        <f>AND('5to. Bach_B'!#REF!,"AAAAAHKr7VY=")</f>
        <v>#REF!</v>
      </c>
      <c r="CJ54" t="e">
        <f>AND('5to. Bach_B'!#REF!,"AAAAAHKr7Vc=")</f>
        <v>#REF!</v>
      </c>
      <c r="CK54" t="e">
        <f>AND('5to. Bach_B'!#REF!,"AAAAAHKr7Vg=")</f>
        <v>#REF!</v>
      </c>
      <c r="CL54" t="e">
        <f>AND('5to. Bach_B'!#REF!,"AAAAAHKr7Vk=")</f>
        <v>#REF!</v>
      </c>
      <c r="CM54" t="e">
        <f>AND('5to. Bach_B'!#REF!,"AAAAAHKr7Vo=")</f>
        <v>#REF!</v>
      </c>
      <c r="CN54" t="e">
        <f>AND('5to. Bach_B'!#REF!,"AAAAAHKr7Vs=")</f>
        <v>#REF!</v>
      </c>
      <c r="CO54" t="e">
        <f>AND('5to. Bach_B'!#REF!,"AAAAAHKr7Vw=")</f>
        <v>#REF!</v>
      </c>
      <c r="CP54" t="e">
        <f>AND('5to. Bach_B'!#REF!,"AAAAAHKr7V0=")</f>
        <v>#REF!</v>
      </c>
      <c r="CQ54" t="e">
        <f>AND('5to. Bach_B'!#REF!,"AAAAAHKr7V4=")</f>
        <v>#REF!</v>
      </c>
      <c r="CR54" t="e">
        <f>AND('5to. Bach_B'!#REF!,"AAAAAHKr7V8=")</f>
        <v>#REF!</v>
      </c>
      <c r="CS54" t="e">
        <f>AND('5to. Bach_B'!#REF!,"AAAAAHKr7WA=")</f>
        <v>#REF!</v>
      </c>
      <c r="CT54" t="e">
        <f>AND('5to. Bach_B'!#REF!,"AAAAAHKr7WE=")</f>
        <v>#REF!</v>
      </c>
      <c r="CU54" t="e">
        <f>AND('5to. Bach_B'!#REF!,"AAAAAHKr7WI=")</f>
        <v>#REF!</v>
      </c>
      <c r="CV54" t="e">
        <f>IF('5to. Bach_B'!#REF!,"AAAAAHKr7WM=",0)</f>
        <v>#REF!</v>
      </c>
      <c r="CW54" t="e">
        <f>AND('5to. Bach_B'!#REF!,"AAAAAHKr7WQ=")</f>
        <v>#REF!</v>
      </c>
      <c r="CX54" t="e">
        <f>AND('5to. Bach_B'!#REF!,"AAAAAHKr7WU=")</f>
        <v>#REF!</v>
      </c>
      <c r="CY54" t="e">
        <f>AND('5to. Bach_B'!#REF!,"AAAAAHKr7WY=")</f>
        <v>#REF!</v>
      </c>
      <c r="CZ54" t="e">
        <f>AND('5to. Bach_B'!#REF!,"AAAAAHKr7Wc=")</f>
        <v>#REF!</v>
      </c>
      <c r="DA54" t="e">
        <f>AND('5to. Bach_B'!#REF!,"AAAAAHKr7Wg=")</f>
        <v>#REF!</v>
      </c>
      <c r="DB54" t="e">
        <f>AND('5to. Bach_B'!#REF!,"AAAAAHKr7Wk=")</f>
        <v>#REF!</v>
      </c>
      <c r="DC54" t="e">
        <f>AND('5to. Bach_B'!#REF!,"AAAAAHKr7Wo=")</f>
        <v>#REF!</v>
      </c>
      <c r="DD54" t="e">
        <f>AND('5to. Bach_B'!#REF!,"AAAAAHKr7Ws=")</f>
        <v>#REF!</v>
      </c>
      <c r="DE54" t="e">
        <f>AND('5to. Bach_B'!#REF!,"AAAAAHKr7Ww=")</f>
        <v>#REF!</v>
      </c>
      <c r="DF54" t="e">
        <f>AND('5to. Bach_B'!#REF!,"AAAAAHKr7W0=")</f>
        <v>#REF!</v>
      </c>
      <c r="DG54" t="e">
        <f>AND('5to. Bach_B'!#REF!,"AAAAAHKr7W4=")</f>
        <v>#REF!</v>
      </c>
      <c r="DH54" t="e">
        <f>AND('5to. Bach_B'!#REF!,"AAAAAHKr7W8=")</f>
        <v>#REF!</v>
      </c>
      <c r="DI54" t="e">
        <f>AND('5to. Bach_B'!#REF!,"AAAAAHKr7XA=")</f>
        <v>#REF!</v>
      </c>
      <c r="DJ54" t="e">
        <f>AND('5to. Bach_B'!#REF!,"AAAAAHKr7XE=")</f>
        <v>#REF!</v>
      </c>
      <c r="DK54" t="e">
        <f>AND('5to. Bach_B'!#REF!,"AAAAAHKr7XI=")</f>
        <v>#REF!</v>
      </c>
      <c r="DL54" t="e">
        <f>AND('5to. Bach_B'!#REF!,"AAAAAHKr7XM=")</f>
        <v>#REF!</v>
      </c>
      <c r="DM54" t="e">
        <f>AND('5to. Bach_B'!#REF!,"AAAAAHKr7XQ=")</f>
        <v>#REF!</v>
      </c>
      <c r="DN54" t="e">
        <f>AND('5to. Bach_B'!#REF!,"AAAAAHKr7XU=")</f>
        <v>#REF!</v>
      </c>
      <c r="DO54" t="e">
        <f>AND('5to. Bach_B'!#REF!,"AAAAAHKr7XY=")</f>
        <v>#REF!</v>
      </c>
      <c r="DP54" t="e">
        <f>AND('5to. Bach_B'!#REF!,"AAAAAHKr7Xc=")</f>
        <v>#REF!</v>
      </c>
      <c r="DQ54" t="e">
        <f>AND('5to. Bach_B'!#REF!,"AAAAAHKr7Xg=")</f>
        <v>#REF!</v>
      </c>
      <c r="DR54" t="e">
        <f>AND('5to. Bach_B'!#REF!,"AAAAAHKr7Xk=")</f>
        <v>#REF!</v>
      </c>
      <c r="DS54" t="e">
        <f>AND('5to. Bach_B'!#REF!,"AAAAAHKr7Xo=")</f>
        <v>#REF!</v>
      </c>
      <c r="DT54" t="e">
        <f>AND('5to. Bach_B'!#REF!,"AAAAAHKr7Xs=")</f>
        <v>#REF!</v>
      </c>
      <c r="DU54" t="e">
        <f>AND('5to. Bach_B'!#REF!,"AAAAAHKr7Xw=")</f>
        <v>#REF!</v>
      </c>
      <c r="DV54" t="e">
        <f>IF('5to. Bach_B'!#REF!,"AAAAAHKr7X0=",0)</f>
        <v>#REF!</v>
      </c>
      <c r="DW54" t="e">
        <f>AND('5to. Bach_B'!#REF!,"AAAAAHKr7X4=")</f>
        <v>#REF!</v>
      </c>
      <c r="DX54" t="e">
        <f>AND('5to. Bach_B'!#REF!,"AAAAAHKr7X8=")</f>
        <v>#REF!</v>
      </c>
      <c r="DY54" t="e">
        <f>AND('5to. Bach_B'!#REF!,"AAAAAHKr7YA=")</f>
        <v>#REF!</v>
      </c>
      <c r="DZ54" t="e">
        <f>AND('5to. Bach_B'!#REF!,"AAAAAHKr7YE=")</f>
        <v>#REF!</v>
      </c>
      <c r="EA54" t="e">
        <f>AND('5to. Bach_B'!#REF!,"AAAAAHKr7YI=")</f>
        <v>#REF!</v>
      </c>
      <c r="EB54" t="e">
        <f>AND('5to. Bach_B'!#REF!,"AAAAAHKr7YM=")</f>
        <v>#REF!</v>
      </c>
      <c r="EC54" t="e">
        <f>AND('5to. Bach_B'!#REF!,"AAAAAHKr7YQ=")</f>
        <v>#REF!</v>
      </c>
      <c r="ED54" t="e">
        <f>AND('5to. Bach_B'!#REF!,"AAAAAHKr7YU=")</f>
        <v>#REF!</v>
      </c>
      <c r="EE54" t="e">
        <f>AND('5to. Bach_B'!#REF!,"AAAAAHKr7YY=")</f>
        <v>#REF!</v>
      </c>
      <c r="EF54" t="e">
        <f>AND('5to. Bach_B'!#REF!,"AAAAAHKr7Yc=")</f>
        <v>#REF!</v>
      </c>
      <c r="EG54" t="e">
        <f>AND('5to. Bach_B'!#REF!,"AAAAAHKr7Yg=")</f>
        <v>#REF!</v>
      </c>
      <c r="EH54" t="e">
        <f>AND('5to. Bach_B'!#REF!,"AAAAAHKr7Yk=")</f>
        <v>#REF!</v>
      </c>
      <c r="EI54" t="e">
        <f>AND('5to. Bach_B'!#REF!,"AAAAAHKr7Yo=")</f>
        <v>#REF!</v>
      </c>
      <c r="EJ54" t="e">
        <f>AND('5to. Bach_B'!#REF!,"AAAAAHKr7Ys=")</f>
        <v>#REF!</v>
      </c>
      <c r="EK54" t="e">
        <f>AND('5to. Bach_B'!#REF!,"AAAAAHKr7Yw=")</f>
        <v>#REF!</v>
      </c>
      <c r="EL54" t="e">
        <f>AND('5to. Bach_B'!#REF!,"AAAAAHKr7Y0=")</f>
        <v>#REF!</v>
      </c>
      <c r="EM54" t="e">
        <f>AND('5to. Bach_B'!#REF!,"AAAAAHKr7Y4=")</f>
        <v>#REF!</v>
      </c>
      <c r="EN54" t="e">
        <f>AND('5to. Bach_B'!#REF!,"AAAAAHKr7Y8=")</f>
        <v>#REF!</v>
      </c>
      <c r="EO54" t="e">
        <f>AND('5to. Bach_B'!#REF!,"AAAAAHKr7ZA=")</f>
        <v>#REF!</v>
      </c>
      <c r="EP54" t="e">
        <f>AND('5to. Bach_B'!#REF!,"AAAAAHKr7ZE=")</f>
        <v>#REF!</v>
      </c>
      <c r="EQ54" t="e">
        <f>AND('5to. Bach_B'!#REF!,"AAAAAHKr7ZI=")</f>
        <v>#REF!</v>
      </c>
      <c r="ER54" t="e">
        <f>AND('5to. Bach_B'!#REF!,"AAAAAHKr7ZM=")</f>
        <v>#REF!</v>
      </c>
      <c r="ES54" t="e">
        <f>AND('5to. Bach_B'!#REF!,"AAAAAHKr7ZQ=")</f>
        <v>#REF!</v>
      </c>
      <c r="ET54" t="e">
        <f>AND('5to. Bach_B'!#REF!,"AAAAAHKr7ZU=")</f>
        <v>#REF!</v>
      </c>
      <c r="EU54" t="e">
        <f>AND('5to. Bach_B'!#REF!,"AAAAAHKr7ZY=")</f>
        <v>#REF!</v>
      </c>
      <c r="EV54" t="e">
        <f>IF('5to. Bach_B'!#REF!,"AAAAAHKr7Zc=",0)</f>
        <v>#REF!</v>
      </c>
      <c r="EW54" t="e">
        <f>AND('5to. Bach_B'!#REF!,"AAAAAHKr7Zg=")</f>
        <v>#REF!</v>
      </c>
      <c r="EX54" t="e">
        <f>AND('5to. Bach_B'!#REF!,"AAAAAHKr7Zk=")</f>
        <v>#REF!</v>
      </c>
      <c r="EY54" t="e">
        <f>AND('5to. Bach_B'!#REF!,"AAAAAHKr7Zo=")</f>
        <v>#REF!</v>
      </c>
      <c r="EZ54" t="e">
        <f>AND('5to. Bach_B'!#REF!,"AAAAAHKr7Zs=")</f>
        <v>#REF!</v>
      </c>
      <c r="FA54" t="e">
        <f>AND('5to. Bach_B'!#REF!,"AAAAAHKr7Zw=")</f>
        <v>#REF!</v>
      </c>
      <c r="FB54" t="e">
        <f>AND('5to. Bach_B'!#REF!,"AAAAAHKr7Z0=")</f>
        <v>#REF!</v>
      </c>
      <c r="FC54" t="e">
        <f>AND('5to. Bach_B'!#REF!,"AAAAAHKr7Z4=")</f>
        <v>#REF!</v>
      </c>
      <c r="FD54" t="e">
        <f>AND('5to. Bach_B'!#REF!,"AAAAAHKr7Z8=")</f>
        <v>#REF!</v>
      </c>
      <c r="FE54" t="e">
        <f>AND('5to. Bach_B'!#REF!,"AAAAAHKr7aA=")</f>
        <v>#REF!</v>
      </c>
      <c r="FF54" t="e">
        <f>AND('5to. Bach_B'!#REF!,"AAAAAHKr7aE=")</f>
        <v>#REF!</v>
      </c>
      <c r="FG54" t="e">
        <f>AND('5to. Bach_B'!#REF!,"AAAAAHKr7aI=")</f>
        <v>#REF!</v>
      </c>
      <c r="FH54" t="e">
        <f>AND('5to. Bach_B'!#REF!,"AAAAAHKr7aM=")</f>
        <v>#REF!</v>
      </c>
      <c r="FI54" t="e">
        <f>AND('5to. Bach_B'!#REF!,"AAAAAHKr7aQ=")</f>
        <v>#REF!</v>
      </c>
      <c r="FJ54" t="e">
        <f>AND('5to. Bach_B'!#REF!,"AAAAAHKr7aU=")</f>
        <v>#REF!</v>
      </c>
      <c r="FK54" t="e">
        <f>AND('5to. Bach_B'!#REF!,"AAAAAHKr7aY=")</f>
        <v>#REF!</v>
      </c>
      <c r="FL54" t="e">
        <f>AND('5to. Bach_B'!#REF!,"AAAAAHKr7ac=")</f>
        <v>#REF!</v>
      </c>
      <c r="FM54" t="e">
        <f>AND('5to. Bach_B'!#REF!,"AAAAAHKr7ag=")</f>
        <v>#REF!</v>
      </c>
      <c r="FN54" t="e">
        <f>AND('5to. Bach_B'!#REF!,"AAAAAHKr7ak=")</f>
        <v>#REF!</v>
      </c>
      <c r="FO54" t="e">
        <f>AND('5to. Bach_B'!#REF!,"AAAAAHKr7ao=")</f>
        <v>#REF!</v>
      </c>
      <c r="FP54" t="e">
        <f>AND('5to. Bach_B'!#REF!,"AAAAAHKr7as=")</f>
        <v>#REF!</v>
      </c>
      <c r="FQ54" t="e">
        <f>AND('5to. Bach_B'!#REF!,"AAAAAHKr7aw=")</f>
        <v>#REF!</v>
      </c>
      <c r="FR54" t="e">
        <f>AND('5to. Bach_B'!#REF!,"AAAAAHKr7a0=")</f>
        <v>#REF!</v>
      </c>
      <c r="FS54" t="e">
        <f>AND('5to. Bach_B'!#REF!,"AAAAAHKr7a4=")</f>
        <v>#REF!</v>
      </c>
      <c r="FT54" t="e">
        <f>AND('5to. Bach_B'!#REF!,"AAAAAHKr7a8=")</f>
        <v>#REF!</v>
      </c>
      <c r="FU54" t="e">
        <f>AND('5to. Bach_B'!#REF!,"AAAAAHKr7bA=")</f>
        <v>#REF!</v>
      </c>
      <c r="FV54" t="e">
        <f>IF('5to. Bach_B'!#REF!,"AAAAAHKr7bE=",0)</f>
        <v>#REF!</v>
      </c>
      <c r="FW54" t="e">
        <f>AND('5to. Bach_B'!#REF!,"AAAAAHKr7bI=")</f>
        <v>#REF!</v>
      </c>
      <c r="FX54" t="e">
        <f>AND('5to. Bach_B'!#REF!,"AAAAAHKr7bM=")</f>
        <v>#REF!</v>
      </c>
      <c r="FY54" t="e">
        <f>AND('5to. Bach_B'!#REF!,"AAAAAHKr7bQ=")</f>
        <v>#REF!</v>
      </c>
      <c r="FZ54" t="e">
        <f>AND('5to. Bach_B'!#REF!,"AAAAAHKr7bU=")</f>
        <v>#REF!</v>
      </c>
      <c r="GA54" t="e">
        <f>AND('5to. Bach_B'!#REF!,"AAAAAHKr7bY=")</f>
        <v>#REF!</v>
      </c>
      <c r="GB54" t="e">
        <f>AND('5to. Bach_B'!#REF!,"AAAAAHKr7bc=")</f>
        <v>#REF!</v>
      </c>
      <c r="GC54" t="e">
        <f>AND('5to. Bach_B'!#REF!,"AAAAAHKr7bg=")</f>
        <v>#REF!</v>
      </c>
      <c r="GD54" t="e">
        <f>AND('5to. Bach_B'!#REF!,"AAAAAHKr7bk=")</f>
        <v>#REF!</v>
      </c>
      <c r="GE54" t="e">
        <f>AND('5to. Bach_B'!#REF!,"AAAAAHKr7bo=")</f>
        <v>#REF!</v>
      </c>
      <c r="GF54" t="e">
        <f>AND('5to. Bach_B'!#REF!,"AAAAAHKr7bs=")</f>
        <v>#REF!</v>
      </c>
      <c r="GG54" t="e">
        <f>AND('5to. Bach_B'!#REF!,"AAAAAHKr7bw=")</f>
        <v>#REF!</v>
      </c>
      <c r="GH54" t="e">
        <f>AND('5to. Bach_B'!#REF!,"AAAAAHKr7b0=")</f>
        <v>#REF!</v>
      </c>
      <c r="GI54" t="e">
        <f>AND('5to. Bach_B'!#REF!,"AAAAAHKr7b4=")</f>
        <v>#REF!</v>
      </c>
      <c r="GJ54" t="e">
        <f>AND('5to. Bach_B'!#REF!,"AAAAAHKr7b8=")</f>
        <v>#REF!</v>
      </c>
      <c r="GK54" t="e">
        <f>AND('5to. Bach_B'!#REF!,"AAAAAHKr7cA=")</f>
        <v>#REF!</v>
      </c>
      <c r="GL54" t="e">
        <f>AND('5to. Bach_B'!#REF!,"AAAAAHKr7cE=")</f>
        <v>#REF!</v>
      </c>
      <c r="GM54" t="e">
        <f>AND('5to. Bach_B'!#REF!,"AAAAAHKr7cI=")</f>
        <v>#REF!</v>
      </c>
      <c r="GN54" t="e">
        <f>AND('5to. Bach_B'!#REF!,"AAAAAHKr7cM=")</f>
        <v>#REF!</v>
      </c>
      <c r="GO54" t="e">
        <f>AND('5to. Bach_B'!#REF!,"AAAAAHKr7cQ=")</f>
        <v>#REF!</v>
      </c>
      <c r="GP54" t="e">
        <f>AND('5to. Bach_B'!#REF!,"AAAAAHKr7cU=")</f>
        <v>#REF!</v>
      </c>
      <c r="GQ54" t="e">
        <f>AND('5to. Bach_B'!#REF!,"AAAAAHKr7cY=")</f>
        <v>#REF!</v>
      </c>
      <c r="GR54" t="e">
        <f>AND('5to. Bach_B'!#REF!,"AAAAAHKr7cc=")</f>
        <v>#REF!</v>
      </c>
      <c r="GS54" t="e">
        <f>AND('5to. Bach_B'!#REF!,"AAAAAHKr7cg=")</f>
        <v>#REF!</v>
      </c>
      <c r="GT54" t="e">
        <f>AND('5to. Bach_B'!#REF!,"AAAAAHKr7ck=")</f>
        <v>#REF!</v>
      </c>
      <c r="GU54" t="e">
        <f>AND('5to. Bach_B'!#REF!,"AAAAAHKr7co=")</f>
        <v>#REF!</v>
      </c>
      <c r="GV54" t="e">
        <f>IF('5to. Bach_B'!#REF!,"AAAAAHKr7cs=",0)</f>
        <v>#REF!</v>
      </c>
      <c r="GW54" t="e">
        <f>AND('5to. Bach_B'!#REF!,"AAAAAHKr7cw=")</f>
        <v>#REF!</v>
      </c>
      <c r="GX54" t="e">
        <f>AND('5to. Bach_B'!#REF!,"AAAAAHKr7c0=")</f>
        <v>#REF!</v>
      </c>
      <c r="GY54" t="e">
        <f>AND('5to. Bach_B'!#REF!,"AAAAAHKr7c4=")</f>
        <v>#REF!</v>
      </c>
      <c r="GZ54" t="e">
        <f>AND('5to. Bach_B'!#REF!,"AAAAAHKr7c8=")</f>
        <v>#REF!</v>
      </c>
      <c r="HA54" t="e">
        <f>AND('5to. Bach_B'!#REF!,"AAAAAHKr7dA=")</f>
        <v>#REF!</v>
      </c>
      <c r="HB54" t="e">
        <f>AND('5to. Bach_B'!#REF!,"AAAAAHKr7dE=")</f>
        <v>#REF!</v>
      </c>
      <c r="HC54" t="e">
        <f>AND('5to. Bach_B'!#REF!,"AAAAAHKr7dI=")</f>
        <v>#REF!</v>
      </c>
      <c r="HD54" t="e">
        <f>AND('5to. Bach_B'!#REF!,"AAAAAHKr7dM=")</f>
        <v>#REF!</v>
      </c>
      <c r="HE54" t="e">
        <f>AND('5to. Bach_B'!#REF!,"AAAAAHKr7dQ=")</f>
        <v>#REF!</v>
      </c>
      <c r="HF54" t="e">
        <f>AND('5to. Bach_B'!#REF!,"AAAAAHKr7dU=")</f>
        <v>#REF!</v>
      </c>
      <c r="HG54" t="e">
        <f>AND('5to. Bach_B'!#REF!,"AAAAAHKr7dY=")</f>
        <v>#REF!</v>
      </c>
      <c r="HH54" t="e">
        <f>AND('5to. Bach_B'!#REF!,"AAAAAHKr7dc=")</f>
        <v>#REF!</v>
      </c>
      <c r="HI54" t="e">
        <f>AND('5to. Bach_B'!#REF!,"AAAAAHKr7dg=")</f>
        <v>#REF!</v>
      </c>
      <c r="HJ54" t="e">
        <f>AND('5to. Bach_B'!#REF!,"AAAAAHKr7dk=")</f>
        <v>#REF!</v>
      </c>
      <c r="HK54" t="e">
        <f>AND('5to. Bach_B'!#REF!,"AAAAAHKr7do=")</f>
        <v>#REF!</v>
      </c>
      <c r="HL54" t="e">
        <f>AND('5to. Bach_B'!#REF!,"AAAAAHKr7ds=")</f>
        <v>#REF!</v>
      </c>
      <c r="HM54" t="e">
        <f>AND('5to. Bach_B'!#REF!,"AAAAAHKr7dw=")</f>
        <v>#REF!</v>
      </c>
      <c r="HN54" t="e">
        <f>AND('5to. Bach_B'!#REF!,"AAAAAHKr7d0=")</f>
        <v>#REF!</v>
      </c>
      <c r="HO54" t="e">
        <f>AND('5to. Bach_B'!#REF!,"AAAAAHKr7d4=")</f>
        <v>#REF!</v>
      </c>
      <c r="HP54" t="e">
        <f>AND('5to. Bach_B'!#REF!,"AAAAAHKr7d8=")</f>
        <v>#REF!</v>
      </c>
      <c r="HQ54" t="e">
        <f>AND('5to. Bach_B'!#REF!,"AAAAAHKr7eA=")</f>
        <v>#REF!</v>
      </c>
      <c r="HR54" t="e">
        <f>AND('5to. Bach_B'!#REF!,"AAAAAHKr7eE=")</f>
        <v>#REF!</v>
      </c>
      <c r="HS54" t="e">
        <f>AND('5to. Bach_B'!#REF!,"AAAAAHKr7eI=")</f>
        <v>#REF!</v>
      </c>
      <c r="HT54" t="e">
        <f>AND('5to. Bach_B'!#REF!,"AAAAAHKr7eM=")</f>
        <v>#REF!</v>
      </c>
      <c r="HU54" t="e">
        <f>AND('5to. Bach_B'!#REF!,"AAAAAHKr7eQ=")</f>
        <v>#REF!</v>
      </c>
      <c r="HV54" t="e">
        <f>IF('5to. Bach_B'!#REF!,"AAAAAHKr7eU=",0)</f>
        <v>#REF!</v>
      </c>
      <c r="HW54" t="e">
        <f>AND('5to. Bach_B'!#REF!,"AAAAAHKr7eY=")</f>
        <v>#REF!</v>
      </c>
      <c r="HX54" t="e">
        <f>AND('5to. Bach_B'!#REF!,"AAAAAHKr7ec=")</f>
        <v>#REF!</v>
      </c>
      <c r="HY54" t="e">
        <f>AND('5to. Bach_B'!#REF!,"AAAAAHKr7eg=")</f>
        <v>#REF!</v>
      </c>
      <c r="HZ54" t="e">
        <f>AND('5to. Bach_B'!#REF!,"AAAAAHKr7ek=")</f>
        <v>#REF!</v>
      </c>
      <c r="IA54" t="e">
        <f>AND('5to. Bach_B'!#REF!,"AAAAAHKr7eo=")</f>
        <v>#REF!</v>
      </c>
      <c r="IB54" t="e">
        <f>AND('5to. Bach_B'!#REF!,"AAAAAHKr7es=")</f>
        <v>#REF!</v>
      </c>
      <c r="IC54" t="e">
        <f>AND('5to. Bach_B'!#REF!,"AAAAAHKr7ew=")</f>
        <v>#REF!</v>
      </c>
      <c r="ID54" t="e">
        <f>AND('5to. Bach_B'!#REF!,"AAAAAHKr7e0=")</f>
        <v>#REF!</v>
      </c>
      <c r="IE54" t="e">
        <f>AND('5to. Bach_B'!#REF!,"AAAAAHKr7e4=")</f>
        <v>#REF!</v>
      </c>
      <c r="IF54" t="e">
        <f>AND('5to. Bach_B'!#REF!,"AAAAAHKr7e8=")</f>
        <v>#REF!</v>
      </c>
      <c r="IG54" t="e">
        <f>AND('5to. Bach_B'!#REF!,"AAAAAHKr7fA=")</f>
        <v>#REF!</v>
      </c>
      <c r="IH54" t="e">
        <f>AND('5to. Bach_B'!#REF!,"AAAAAHKr7fE=")</f>
        <v>#REF!</v>
      </c>
      <c r="II54" t="e">
        <f>AND('5to. Bach_B'!#REF!,"AAAAAHKr7fI=")</f>
        <v>#REF!</v>
      </c>
      <c r="IJ54" t="e">
        <f>AND('5to. Bach_B'!#REF!,"AAAAAHKr7fM=")</f>
        <v>#REF!</v>
      </c>
      <c r="IK54" t="e">
        <f>AND('5to. Bach_B'!#REF!,"AAAAAHKr7fQ=")</f>
        <v>#REF!</v>
      </c>
      <c r="IL54" t="e">
        <f>AND('5to. Bach_B'!#REF!,"AAAAAHKr7fU=")</f>
        <v>#REF!</v>
      </c>
      <c r="IM54" t="e">
        <f>AND('5to. Bach_B'!#REF!,"AAAAAHKr7fY=")</f>
        <v>#REF!</v>
      </c>
      <c r="IN54" t="e">
        <f>AND('5to. Bach_B'!#REF!,"AAAAAHKr7fc=")</f>
        <v>#REF!</v>
      </c>
      <c r="IO54" t="e">
        <f>AND('5to. Bach_B'!#REF!,"AAAAAHKr7fg=")</f>
        <v>#REF!</v>
      </c>
      <c r="IP54" t="e">
        <f>AND('5to. Bach_B'!#REF!,"AAAAAHKr7fk=")</f>
        <v>#REF!</v>
      </c>
      <c r="IQ54" t="e">
        <f>AND('5to. Bach_B'!#REF!,"AAAAAHKr7fo=")</f>
        <v>#REF!</v>
      </c>
      <c r="IR54" t="e">
        <f>AND('5to. Bach_B'!#REF!,"AAAAAHKr7fs=")</f>
        <v>#REF!</v>
      </c>
      <c r="IS54" t="e">
        <f>AND('5to. Bach_B'!#REF!,"AAAAAHKr7fw=")</f>
        <v>#REF!</v>
      </c>
      <c r="IT54" t="e">
        <f>AND('5to. Bach_B'!#REF!,"AAAAAHKr7f0=")</f>
        <v>#REF!</v>
      </c>
      <c r="IU54" t="e">
        <f>AND('5to. Bach_B'!#REF!,"AAAAAHKr7f4=")</f>
        <v>#REF!</v>
      </c>
      <c r="IV54" t="e">
        <f>IF('5to. Bach_B'!#REF!,"AAAAAHKr7f8=",0)</f>
        <v>#REF!</v>
      </c>
    </row>
    <row r="55" spans="1:256">
      <c r="A55" t="e">
        <f>AND('5to. Bach_B'!#REF!,"AAAAAFKv/wA=")</f>
        <v>#REF!</v>
      </c>
      <c r="B55" t="e">
        <f>AND('5to. Bach_B'!#REF!,"AAAAAFKv/wE=")</f>
        <v>#REF!</v>
      </c>
      <c r="C55" t="e">
        <f>AND('5to. Bach_B'!#REF!,"AAAAAFKv/wI=")</f>
        <v>#REF!</v>
      </c>
      <c r="D55" t="e">
        <f>AND('5to. Bach_B'!#REF!,"AAAAAFKv/wM=")</f>
        <v>#REF!</v>
      </c>
      <c r="E55" t="e">
        <f>AND('5to. Bach_B'!#REF!,"AAAAAFKv/wQ=")</f>
        <v>#REF!</v>
      </c>
      <c r="F55" t="e">
        <f>AND('5to. Bach_B'!#REF!,"AAAAAFKv/wU=")</f>
        <v>#REF!</v>
      </c>
      <c r="G55" t="e">
        <f>AND('5to. Bach_B'!#REF!,"AAAAAFKv/wY=")</f>
        <v>#REF!</v>
      </c>
      <c r="H55" t="e">
        <f>AND('5to. Bach_B'!#REF!,"AAAAAFKv/wc=")</f>
        <v>#REF!</v>
      </c>
      <c r="I55" t="e">
        <f>AND('5to. Bach_B'!#REF!,"AAAAAFKv/wg=")</f>
        <v>#REF!</v>
      </c>
      <c r="J55" t="e">
        <f>AND('5to. Bach_B'!#REF!,"AAAAAFKv/wk=")</f>
        <v>#REF!</v>
      </c>
      <c r="K55" t="e">
        <f>AND('5to. Bach_B'!#REF!,"AAAAAFKv/wo=")</f>
        <v>#REF!</v>
      </c>
      <c r="L55" t="e">
        <f>AND('5to. Bach_B'!#REF!,"AAAAAFKv/ws=")</f>
        <v>#REF!</v>
      </c>
      <c r="M55" t="e">
        <f>AND('5to. Bach_B'!#REF!,"AAAAAFKv/ww=")</f>
        <v>#REF!</v>
      </c>
      <c r="N55" t="e">
        <f>AND('5to. Bach_B'!#REF!,"AAAAAFKv/w0=")</f>
        <v>#REF!</v>
      </c>
      <c r="O55" t="e">
        <f>AND('5to. Bach_B'!#REF!,"AAAAAFKv/w4=")</f>
        <v>#REF!</v>
      </c>
      <c r="P55" t="e">
        <f>AND('5to. Bach_B'!#REF!,"AAAAAFKv/w8=")</f>
        <v>#REF!</v>
      </c>
      <c r="Q55" t="e">
        <f>AND('5to. Bach_B'!#REF!,"AAAAAFKv/xA=")</f>
        <v>#REF!</v>
      </c>
      <c r="R55" t="e">
        <f>AND('5to. Bach_B'!#REF!,"AAAAAFKv/xE=")</f>
        <v>#REF!</v>
      </c>
      <c r="S55" t="e">
        <f>AND('5to. Bach_B'!#REF!,"AAAAAFKv/xI=")</f>
        <v>#REF!</v>
      </c>
      <c r="T55" t="e">
        <f>AND('5to. Bach_B'!#REF!,"AAAAAFKv/xM=")</f>
        <v>#REF!</v>
      </c>
      <c r="U55" t="e">
        <f>AND('5to. Bach_B'!#REF!,"AAAAAFKv/xQ=")</f>
        <v>#REF!</v>
      </c>
      <c r="V55" t="e">
        <f>AND('5to. Bach_B'!#REF!,"AAAAAFKv/xU=")</f>
        <v>#REF!</v>
      </c>
      <c r="W55" t="e">
        <f>AND('5to. Bach_B'!#REF!,"AAAAAFKv/xY=")</f>
        <v>#REF!</v>
      </c>
      <c r="X55" t="e">
        <f>AND('5to. Bach_B'!#REF!,"AAAAAFKv/xc=")</f>
        <v>#REF!</v>
      </c>
      <c r="Y55" t="e">
        <f>AND('5to. Bach_B'!#REF!,"AAAAAFKv/xg=")</f>
        <v>#REF!</v>
      </c>
      <c r="Z55" t="e">
        <f>IF('5to. Bach_B'!#REF!,"AAAAAFKv/xk=",0)</f>
        <v>#REF!</v>
      </c>
      <c r="AA55" t="e">
        <f>AND('5to. Bach_B'!#REF!,"AAAAAFKv/xo=")</f>
        <v>#REF!</v>
      </c>
      <c r="AB55" t="e">
        <f>AND('5to. Bach_B'!#REF!,"AAAAAFKv/xs=")</f>
        <v>#REF!</v>
      </c>
      <c r="AC55" t="e">
        <f>AND('5to. Bach_B'!#REF!,"AAAAAFKv/xw=")</f>
        <v>#REF!</v>
      </c>
      <c r="AD55" t="e">
        <f>AND('5to. Bach_B'!#REF!,"AAAAAFKv/x0=")</f>
        <v>#REF!</v>
      </c>
      <c r="AE55" t="e">
        <f>AND('5to. Bach_B'!#REF!,"AAAAAFKv/x4=")</f>
        <v>#REF!</v>
      </c>
      <c r="AF55" t="e">
        <f>AND('5to. Bach_B'!#REF!,"AAAAAFKv/x8=")</f>
        <v>#REF!</v>
      </c>
      <c r="AG55" t="e">
        <f>AND('5to. Bach_B'!#REF!,"AAAAAFKv/yA=")</f>
        <v>#REF!</v>
      </c>
      <c r="AH55" t="e">
        <f>AND('5to. Bach_B'!#REF!,"AAAAAFKv/yE=")</f>
        <v>#REF!</v>
      </c>
      <c r="AI55" t="e">
        <f>AND('5to. Bach_B'!#REF!,"AAAAAFKv/yI=")</f>
        <v>#REF!</v>
      </c>
      <c r="AJ55" t="e">
        <f>AND('5to. Bach_B'!#REF!,"AAAAAFKv/yM=")</f>
        <v>#REF!</v>
      </c>
      <c r="AK55" t="e">
        <f>AND('5to. Bach_B'!#REF!,"AAAAAFKv/yQ=")</f>
        <v>#REF!</v>
      </c>
      <c r="AL55" t="e">
        <f>AND('5to. Bach_B'!#REF!,"AAAAAFKv/yU=")</f>
        <v>#REF!</v>
      </c>
      <c r="AM55" t="e">
        <f>AND('5to. Bach_B'!#REF!,"AAAAAFKv/yY=")</f>
        <v>#REF!</v>
      </c>
      <c r="AN55" t="e">
        <f>AND('5to. Bach_B'!#REF!,"AAAAAFKv/yc=")</f>
        <v>#REF!</v>
      </c>
      <c r="AO55" t="e">
        <f>AND('5to. Bach_B'!#REF!,"AAAAAFKv/yg=")</f>
        <v>#REF!</v>
      </c>
      <c r="AP55" t="e">
        <f>AND('5to. Bach_B'!#REF!,"AAAAAFKv/yk=")</f>
        <v>#REF!</v>
      </c>
      <c r="AQ55" t="e">
        <f>AND('5to. Bach_B'!#REF!,"AAAAAFKv/yo=")</f>
        <v>#REF!</v>
      </c>
      <c r="AR55" t="e">
        <f>AND('5to. Bach_B'!#REF!,"AAAAAFKv/ys=")</f>
        <v>#REF!</v>
      </c>
      <c r="AS55" t="e">
        <f>AND('5to. Bach_B'!#REF!,"AAAAAFKv/yw=")</f>
        <v>#REF!</v>
      </c>
      <c r="AT55" t="e">
        <f>AND('5to. Bach_B'!#REF!,"AAAAAFKv/y0=")</f>
        <v>#REF!</v>
      </c>
      <c r="AU55" t="e">
        <f>AND('5to. Bach_B'!#REF!,"AAAAAFKv/y4=")</f>
        <v>#REF!</v>
      </c>
      <c r="AV55" t="e">
        <f>AND('5to. Bach_B'!#REF!,"AAAAAFKv/y8=")</f>
        <v>#REF!</v>
      </c>
      <c r="AW55" t="e">
        <f>AND('5to. Bach_B'!#REF!,"AAAAAFKv/zA=")</f>
        <v>#REF!</v>
      </c>
      <c r="AX55" t="e">
        <f>AND('5to. Bach_B'!#REF!,"AAAAAFKv/zE=")</f>
        <v>#REF!</v>
      </c>
      <c r="AY55" t="e">
        <f>AND('5to. Bach_B'!#REF!,"AAAAAFKv/zI=")</f>
        <v>#REF!</v>
      </c>
      <c r="AZ55" t="e">
        <f>IF('5to. Bach_B'!#REF!,"AAAAAFKv/zM=",0)</f>
        <v>#REF!</v>
      </c>
      <c r="BA55" t="e">
        <f>AND('5to. Bach_B'!#REF!,"AAAAAFKv/zQ=")</f>
        <v>#REF!</v>
      </c>
      <c r="BB55" t="e">
        <f>AND('5to. Bach_B'!#REF!,"AAAAAFKv/zU=")</f>
        <v>#REF!</v>
      </c>
      <c r="BC55" t="e">
        <f>AND('5to. Bach_B'!#REF!,"AAAAAFKv/zY=")</f>
        <v>#REF!</v>
      </c>
      <c r="BD55" t="e">
        <f>AND('5to. Bach_B'!#REF!,"AAAAAFKv/zc=")</f>
        <v>#REF!</v>
      </c>
      <c r="BE55" t="e">
        <f>AND('5to. Bach_B'!#REF!,"AAAAAFKv/zg=")</f>
        <v>#REF!</v>
      </c>
      <c r="BF55" t="e">
        <f>AND('5to. Bach_B'!#REF!,"AAAAAFKv/zk=")</f>
        <v>#REF!</v>
      </c>
      <c r="BG55" t="e">
        <f>AND('5to. Bach_B'!#REF!,"AAAAAFKv/zo=")</f>
        <v>#REF!</v>
      </c>
      <c r="BH55" t="e">
        <f>AND('5to. Bach_B'!#REF!,"AAAAAFKv/zs=")</f>
        <v>#REF!</v>
      </c>
      <c r="BI55" t="e">
        <f>AND('5to. Bach_B'!#REF!,"AAAAAFKv/zw=")</f>
        <v>#REF!</v>
      </c>
      <c r="BJ55" t="e">
        <f>AND('5to. Bach_B'!#REF!,"AAAAAFKv/z0=")</f>
        <v>#REF!</v>
      </c>
      <c r="BK55" t="e">
        <f>AND('5to. Bach_B'!#REF!,"AAAAAFKv/z4=")</f>
        <v>#REF!</v>
      </c>
      <c r="BL55" t="e">
        <f>AND('5to. Bach_B'!#REF!,"AAAAAFKv/z8=")</f>
        <v>#REF!</v>
      </c>
      <c r="BM55" t="e">
        <f>AND('5to. Bach_B'!#REF!,"AAAAAFKv/0A=")</f>
        <v>#REF!</v>
      </c>
      <c r="BN55" t="e">
        <f>AND('5to. Bach_B'!#REF!,"AAAAAFKv/0E=")</f>
        <v>#REF!</v>
      </c>
      <c r="BO55" t="e">
        <f>AND('5to. Bach_B'!#REF!,"AAAAAFKv/0I=")</f>
        <v>#REF!</v>
      </c>
      <c r="BP55" t="e">
        <f>AND('5to. Bach_B'!#REF!,"AAAAAFKv/0M=")</f>
        <v>#REF!</v>
      </c>
      <c r="BQ55" t="e">
        <f>AND('5to. Bach_B'!#REF!,"AAAAAFKv/0Q=")</f>
        <v>#REF!</v>
      </c>
      <c r="BR55" t="e">
        <f>AND('5to. Bach_B'!#REF!,"AAAAAFKv/0U=")</f>
        <v>#REF!</v>
      </c>
      <c r="BS55" t="e">
        <f>AND('5to. Bach_B'!#REF!,"AAAAAFKv/0Y=")</f>
        <v>#REF!</v>
      </c>
      <c r="BT55" t="e">
        <f>AND('5to. Bach_B'!#REF!,"AAAAAFKv/0c=")</f>
        <v>#REF!</v>
      </c>
      <c r="BU55" t="e">
        <f>AND('5to. Bach_B'!#REF!,"AAAAAFKv/0g=")</f>
        <v>#REF!</v>
      </c>
      <c r="BV55" t="e">
        <f>AND('5to. Bach_B'!#REF!,"AAAAAFKv/0k=")</f>
        <v>#REF!</v>
      </c>
      <c r="BW55" t="e">
        <f>AND('5to. Bach_B'!#REF!,"AAAAAFKv/0o=")</f>
        <v>#REF!</v>
      </c>
      <c r="BX55" t="e">
        <f>AND('5to. Bach_B'!#REF!,"AAAAAFKv/0s=")</f>
        <v>#REF!</v>
      </c>
      <c r="BY55" t="e">
        <f>AND('5to. Bach_B'!#REF!,"AAAAAFKv/0w=")</f>
        <v>#REF!</v>
      </c>
      <c r="BZ55">
        <f>IF('5to. Bach_B'!A:A,"AAAAAFKv/00=",0)</f>
        <v>0</v>
      </c>
      <c r="CA55">
        <f>IF('5to. Bach_B'!B:B,"AAAAAFKv/04=",0)</f>
        <v>0</v>
      </c>
      <c r="CB55">
        <f>IF('5to. Bach_B'!C:C,"AAAAAFKv/08=",0)</f>
        <v>0</v>
      </c>
      <c r="CC55">
        <f>IF('5to. Bach_B'!D:D,"AAAAAFKv/1A=",0)</f>
        <v>0</v>
      </c>
      <c r="CD55">
        <f>IF('5to. Bach_B'!E:E,"AAAAAFKv/1E=",0)</f>
        <v>0</v>
      </c>
      <c r="CE55">
        <f>IF('5to. Bach_B'!F:F,"AAAAAFKv/1I=",0)</f>
        <v>0</v>
      </c>
      <c r="CF55">
        <f>IF('5to. Bach_B'!G:G,"AAAAAFKv/1M=",0)</f>
        <v>0</v>
      </c>
      <c r="CG55">
        <f>IF('5to. Bach_B'!H:H,"AAAAAFKv/1Q=",0)</f>
        <v>0</v>
      </c>
      <c r="CH55">
        <f>IF('5to. Bach_B'!I:I,"AAAAAFKv/1U=",0)</f>
        <v>0</v>
      </c>
      <c r="CI55">
        <f>IF('5to. Bach_B'!J:J,"AAAAAFKv/1Y=",0)</f>
        <v>0</v>
      </c>
      <c r="CJ55">
        <f>IF('5to. Bach_B'!K:K,"AAAAAFKv/1c=",0)</f>
        <v>0</v>
      </c>
      <c r="CK55">
        <f>IF('5to. Bach_B'!L:L,"AAAAAFKv/1g=",0)</f>
        <v>0</v>
      </c>
      <c r="CL55">
        <f>IF('5to. Bach_B'!M:M,"AAAAAFKv/1k=",0)</f>
        <v>0</v>
      </c>
      <c r="CM55">
        <f>IF('5to. Bach_B'!N:N,"AAAAAFKv/1o=",0)</f>
        <v>0</v>
      </c>
      <c r="CN55">
        <f>IF('5to. Bach_B'!O:O,"AAAAAFKv/1s=",0)</f>
        <v>0</v>
      </c>
      <c r="CO55">
        <f>IF('5to. Bach_B'!P:P,"AAAAAFKv/1w=",0)</f>
        <v>0</v>
      </c>
      <c r="CP55">
        <f>IF('5to. Bach_B'!Q:Q,"AAAAAFKv/10=",0)</f>
        <v>0</v>
      </c>
      <c r="CQ55">
        <f>IF('5to. Bach_B'!R:R,"AAAAAFKv/14=",0)</f>
        <v>0</v>
      </c>
      <c r="CR55">
        <f>IF('5to. Bach_B'!S:S,"AAAAAFKv/18=",0)</f>
        <v>0</v>
      </c>
      <c r="CS55">
        <f>IF('5to. Bach_B'!T:T,"AAAAAFKv/2A=",0)</f>
        <v>0</v>
      </c>
      <c r="CT55" t="e">
        <f>IF('5to. Bach_B'!#REF!,"AAAAAFKv/2E=",0)</f>
        <v>#REF!</v>
      </c>
      <c r="CU55" t="e">
        <f>IF('5to. Bach_B'!#REF!,"AAAAAFKv/2I=",0)</f>
        <v>#REF!</v>
      </c>
      <c r="CV55" t="e">
        <f>IF('5to. Bach_B'!#REF!,"AAAAAFKv/2M=",0)</f>
        <v>#REF!</v>
      </c>
      <c r="CW55" t="e">
        <f>IF('5to. Bach_B'!#REF!,"AAAAAFKv/2Q=",0)</f>
        <v>#REF!</v>
      </c>
      <c r="CX55" t="e">
        <f>IF('5to. Bach_B'!#REF!,"AAAAAFKv/2U=",0)</f>
        <v>#REF!</v>
      </c>
      <c r="CY55" t="e">
        <f>IF('5to. Perito_A'!#REF!,"AAAAAFKv/2Y=",0)</f>
        <v>#REF!</v>
      </c>
      <c r="CZ55" t="e">
        <f>AND('5to. Perito_A'!#REF!,"AAAAAFKv/2c=")</f>
        <v>#REF!</v>
      </c>
      <c r="DA55" t="e">
        <f>AND('5to. Perito_A'!#REF!,"AAAAAFKv/2g=")</f>
        <v>#REF!</v>
      </c>
      <c r="DB55" t="e">
        <f>AND('5to. Perito_A'!#REF!,"AAAAAFKv/2k=")</f>
        <v>#REF!</v>
      </c>
      <c r="DC55" t="e">
        <f>AND('5to. Perito_A'!#REF!,"AAAAAFKv/2o=")</f>
        <v>#REF!</v>
      </c>
      <c r="DD55" t="e">
        <f>AND('5to. Perito_A'!#REF!,"AAAAAFKv/2s=")</f>
        <v>#REF!</v>
      </c>
      <c r="DE55" t="e">
        <f>AND('5to. Perito_A'!#REF!,"AAAAAFKv/2w=")</f>
        <v>#REF!</v>
      </c>
      <c r="DF55" t="e">
        <f>AND('5to. Perito_A'!#REF!,"AAAAAFKv/20=")</f>
        <v>#REF!</v>
      </c>
      <c r="DG55" t="e">
        <f>AND('5to. Perito_A'!#REF!,"AAAAAFKv/24=")</f>
        <v>#REF!</v>
      </c>
      <c r="DH55" t="e">
        <f>AND('5to. Perito_A'!#REF!,"AAAAAFKv/28=")</f>
        <v>#REF!</v>
      </c>
      <c r="DI55" t="e">
        <f>AND('5to. Perito_A'!#REF!,"AAAAAFKv/3A=")</f>
        <v>#REF!</v>
      </c>
      <c r="DJ55" t="e">
        <f>AND('5to. Perito_A'!#REF!,"AAAAAFKv/3E=")</f>
        <v>#REF!</v>
      </c>
      <c r="DK55" t="e">
        <f>AND('5to. Perito_A'!#REF!,"AAAAAFKv/3I=")</f>
        <v>#REF!</v>
      </c>
      <c r="DL55" t="e">
        <f>AND('5to. Perito_A'!#REF!,"AAAAAFKv/3M=")</f>
        <v>#REF!</v>
      </c>
      <c r="DM55" t="e">
        <f>AND('5to. Perito_A'!#REF!,"AAAAAFKv/3Q=")</f>
        <v>#REF!</v>
      </c>
      <c r="DN55" t="e">
        <f>AND('5to. Perito_A'!#REF!,"AAAAAFKv/3U=")</f>
        <v>#REF!</v>
      </c>
      <c r="DO55" t="e">
        <f>AND('5to. Perito_A'!#REF!,"AAAAAFKv/3Y=")</f>
        <v>#REF!</v>
      </c>
      <c r="DP55" t="e">
        <f>AND('5to. Perito_A'!#REF!,"AAAAAFKv/3c=")</f>
        <v>#REF!</v>
      </c>
      <c r="DQ55" t="e">
        <f>AND('5to. Perito_A'!#REF!,"AAAAAFKv/3g=")</f>
        <v>#REF!</v>
      </c>
      <c r="DR55" t="e">
        <f>AND('5to. Perito_A'!#REF!,"AAAAAFKv/3k=")</f>
        <v>#REF!</v>
      </c>
      <c r="DS55" t="e">
        <f>AND('5to. Perito_A'!#REF!,"AAAAAFKv/3o=")</f>
        <v>#REF!</v>
      </c>
      <c r="DT55" t="e">
        <f>AND('5to. Perito_A'!#REF!,"AAAAAFKv/3s=")</f>
        <v>#REF!</v>
      </c>
      <c r="DU55" t="e">
        <f>AND('5to. Perito_A'!#REF!,"AAAAAFKv/3w=")</f>
        <v>#REF!</v>
      </c>
      <c r="DV55" t="e">
        <f>AND('5to. Perito_A'!#REF!,"AAAAAFKv/30=")</f>
        <v>#REF!</v>
      </c>
      <c r="DW55" t="e">
        <f>AND('5to. Perito_A'!#REF!,"AAAAAFKv/34=")</f>
        <v>#REF!</v>
      </c>
      <c r="DX55" t="e">
        <f>AND('5to. Perito_A'!#REF!,"AAAAAFKv/38=")</f>
        <v>#REF!</v>
      </c>
      <c r="DY55" t="e">
        <f>IF('5to. Perito_A'!#REF!,"AAAAAFKv/4A=",0)</f>
        <v>#REF!</v>
      </c>
      <c r="DZ55" t="e">
        <f>AND('5to. Perito_A'!#REF!,"AAAAAFKv/4E=")</f>
        <v>#REF!</v>
      </c>
      <c r="EA55" t="e">
        <f>AND('5to. Perito_A'!#REF!,"AAAAAFKv/4I=")</f>
        <v>#REF!</v>
      </c>
      <c r="EB55" t="e">
        <f>AND('5to. Perito_A'!#REF!,"AAAAAFKv/4M=")</f>
        <v>#REF!</v>
      </c>
      <c r="EC55" t="e">
        <f>AND('5to. Perito_A'!#REF!,"AAAAAFKv/4Q=")</f>
        <v>#REF!</v>
      </c>
      <c r="ED55" t="e">
        <f>AND('5to. Perito_A'!#REF!,"AAAAAFKv/4U=")</f>
        <v>#REF!</v>
      </c>
      <c r="EE55" t="e">
        <f>AND('5to. Perito_A'!#REF!,"AAAAAFKv/4Y=")</f>
        <v>#REF!</v>
      </c>
      <c r="EF55" t="e">
        <f>AND('5to. Perito_A'!#REF!,"AAAAAFKv/4c=")</f>
        <v>#REF!</v>
      </c>
      <c r="EG55" t="e">
        <f>AND('5to. Perito_A'!#REF!,"AAAAAFKv/4g=")</f>
        <v>#REF!</v>
      </c>
      <c r="EH55" t="e">
        <f>AND('5to. Perito_A'!#REF!,"AAAAAFKv/4k=")</f>
        <v>#REF!</v>
      </c>
      <c r="EI55" t="e">
        <f>AND('5to. Perito_A'!#REF!,"AAAAAFKv/4o=")</f>
        <v>#REF!</v>
      </c>
      <c r="EJ55" t="e">
        <f>AND('5to. Perito_A'!#REF!,"AAAAAFKv/4s=")</f>
        <v>#REF!</v>
      </c>
      <c r="EK55" t="e">
        <f>AND('5to. Perito_A'!#REF!,"AAAAAFKv/4w=")</f>
        <v>#REF!</v>
      </c>
      <c r="EL55" t="e">
        <f>AND('5to. Perito_A'!#REF!,"AAAAAFKv/40=")</f>
        <v>#REF!</v>
      </c>
      <c r="EM55" t="e">
        <f>AND('5to. Perito_A'!#REF!,"AAAAAFKv/44=")</f>
        <v>#REF!</v>
      </c>
      <c r="EN55" t="e">
        <f>AND('5to. Perito_A'!#REF!,"AAAAAFKv/48=")</f>
        <v>#REF!</v>
      </c>
      <c r="EO55" t="e">
        <f>AND('5to. Perito_A'!#REF!,"AAAAAFKv/5A=")</f>
        <v>#REF!</v>
      </c>
      <c r="EP55" t="e">
        <f>AND('5to. Perito_A'!#REF!,"AAAAAFKv/5E=")</f>
        <v>#REF!</v>
      </c>
      <c r="EQ55" t="e">
        <f>AND('5to. Perito_A'!#REF!,"AAAAAFKv/5I=")</f>
        <v>#REF!</v>
      </c>
      <c r="ER55" t="e">
        <f>AND('5to. Perito_A'!#REF!,"AAAAAFKv/5M=")</f>
        <v>#REF!</v>
      </c>
      <c r="ES55" t="e">
        <f>AND('5to. Perito_A'!#REF!,"AAAAAFKv/5Q=")</f>
        <v>#REF!</v>
      </c>
      <c r="ET55" t="e">
        <f>AND('5to. Perito_A'!#REF!,"AAAAAFKv/5U=")</f>
        <v>#REF!</v>
      </c>
      <c r="EU55" t="e">
        <f>AND('5to. Perito_A'!#REF!,"AAAAAFKv/5Y=")</f>
        <v>#REF!</v>
      </c>
      <c r="EV55" t="e">
        <f>AND('5to. Perito_A'!#REF!,"AAAAAFKv/5c=")</f>
        <v>#REF!</v>
      </c>
      <c r="EW55" t="e">
        <f>AND('5to. Perito_A'!#REF!,"AAAAAFKv/5g=")</f>
        <v>#REF!</v>
      </c>
      <c r="EX55" t="e">
        <f>AND('5to. Perito_A'!#REF!,"AAAAAFKv/5k=")</f>
        <v>#REF!</v>
      </c>
      <c r="EY55" t="e">
        <f>IF('5to. Perito_A'!#REF!,"AAAAAFKv/5o=",0)</f>
        <v>#REF!</v>
      </c>
      <c r="EZ55" t="e">
        <f>AND('5to. Perito_A'!#REF!,"AAAAAFKv/5s=")</f>
        <v>#REF!</v>
      </c>
      <c r="FA55" t="e">
        <f>AND('5to. Perito_A'!#REF!,"AAAAAFKv/5w=")</f>
        <v>#REF!</v>
      </c>
      <c r="FB55" t="e">
        <f>AND('5to. Perito_A'!#REF!,"AAAAAFKv/50=")</f>
        <v>#REF!</v>
      </c>
      <c r="FC55" t="e">
        <f>AND('5to. Perito_A'!#REF!,"AAAAAFKv/54=")</f>
        <v>#REF!</v>
      </c>
      <c r="FD55" t="e">
        <f>AND('5to. Perito_A'!#REF!,"AAAAAFKv/58=")</f>
        <v>#REF!</v>
      </c>
      <c r="FE55" t="e">
        <f>AND('5to. Perito_A'!#REF!,"AAAAAFKv/6A=")</f>
        <v>#REF!</v>
      </c>
      <c r="FF55" t="e">
        <f>AND('5to. Perito_A'!#REF!,"AAAAAFKv/6E=")</f>
        <v>#REF!</v>
      </c>
      <c r="FG55" t="e">
        <f>AND('5to. Perito_A'!#REF!,"AAAAAFKv/6I=")</f>
        <v>#REF!</v>
      </c>
      <c r="FH55" t="e">
        <f>AND('5to. Perito_A'!#REF!,"AAAAAFKv/6M=")</f>
        <v>#REF!</v>
      </c>
      <c r="FI55" t="e">
        <f>AND('5to. Perito_A'!#REF!,"AAAAAFKv/6Q=")</f>
        <v>#REF!</v>
      </c>
      <c r="FJ55" t="e">
        <f>AND('5to. Perito_A'!#REF!,"AAAAAFKv/6U=")</f>
        <v>#REF!</v>
      </c>
      <c r="FK55" t="e">
        <f>AND('5to. Perito_A'!#REF!,"AAAAAFKv/6Y=")</f>
        <v>#REF!</v>
      </c>
      <c r="FL55" t="e">
        <f>AND('5to. Perito_A'!#REF!,"AAAAAFKv/6c=")</f>
        <v>#REF!</v>
      </c>
      <c r="FM55" t="e">
        <f>AND('5to. Perito_A'!#REF!,"AAAAAFKv/6g=")</f>
        <v>#REF!</v>
      </c>
      <c r="FN55" t="e">
        <f>AND('5to. Perito_A'!#REF!,"AAAAAFKv/6k=")</f>
        <v>#REF!</v>
      </c>
      <c r="FO55" t="e">
        <f>AND('5to. Perito_A'!#REF!,"AAAAAFKv/6o=")</f>
        <v>#REF!</v>
      </c>
      <c r="FP55" t="e">
        <f>AND('5to. Perito_A'!#REF!,"AAAAAFKv/6s=")</f>
        <v>#REF!</v>
      </c>
      <c r="FQ55" t="e">
        <f>AND('5to. Perito_A'!#REF!,"AAAAAFKv/6w=")</f>
        <v>#REF!</v>
      </c>
      <c r="FR55" t="e">
        <f>AND('5to. Perito_A'!#REF!,"AAAAAFKv/60=")</f>
        <v>#REF!</v>
      </c>
      <c r="FS55" t="e">
        <f>AND('5to. Perito_A'!#REF!,"AAAAAFKv/64=")</f>
        <v>#REF!</v>
      </c>
      <c r="FT55" t="e">
        <f>AND('5to. Perito_A'!#REF!,"AAAAAFKv/68=")</f>
        <v>#REF!</v>
      </c>
      <c r="FU55" t="e">
        <f>AND('5to. Perito_A'!#REF!,"AAAAAFKv/7A=")</f>
        <v>#REF!</v>
      </c>
      <c r="FV55" t="e">
        <f>AND('5to. Perito_A'!#REF!,"AAAAAFKv/7E=")</f>
        <v>#REF!</v>
      </c>
      <c r="FW55" t="e">
        <f>AND('5to. Perito_A'!#REF!,"AAAAAFKv/7I=")</f>
        <v>#REF!</v>
      </c>
      <c r="FX55" t="e">
        <f>AND('5to. Perito_A'!#REF!,"AAAAAFKv/7M=")</f>
        <v>#REF!</v>
      </c>
      <c r="FY55" t="e">
        <f>IF('5to. Perito_A'!#REF!,"AAAAAFKv/7Q=",0)</f>
        <v>#REF!</v>
      </c>
      <c r="FZ55" t="e">
        <f>AND('5to. Perito_A'!#REF!,"AAAAAFKv/7U=")</f>
        <v>#REF!</v>
      </c>
      <c r="GA55" t="e">
        <f>AND('5to. Perito_A'!#REF!,"AAAAAFKv/7Y=")</f>
        <v>#REF!</v>
      </c>
      <c r="GB55" t="e">
        <f>AND('5to. Perito_A'!#REF!,"AAAAAFKv/7c=")</f>
        <v>#REF!</v>
      </c>
      <c r="GC55" t="e">
        <f>AND('5to. Perito_A'!#REF!,"AAAAAFKv/7g=")</f>
        <v>#REF!</v>
      </c>
      <c r="GD55" t="e">
        <f>AND('5to. Perito_A'!#REF!,"AAAAAFKv/7k=")</f>
        <v>#REF!</v>
      </c>
      <c r="GE55" t="e">
        <f>AND('5to. Perito_A'!#REF!,"AAAAAFKv/7o=")</f>
        <v>#REF!</v>
      </c>
      <c r="GF55" t="e">
        <f>AND('5to. Perito_A'!#REF!,"AAAAAFKv/7s=")</f>
        <v>#REF!</v>
      </c>
      <c r="GG55" t="e">
        <f>AND('5to. Perito_A'!#REF!,"AAAAAFKv/7w=")</f>
        <v>#REF!</v>
      </c>
      <c r="GH55" t="e">
        <f>AND('5to. Perito_A'!#REF!,"AAAAAFKv/70=")</f>
        <v>#REF!</v>
      </c>
      <c r="GI55" t="e">
        <f>AND('5to. Perito_A'!#REF!,"AAAAAFKv/74=")</f>
        <v>#REF!</v>
      </c>
      <c r="GJ55" t="e">
        <f>AND('5to. Perito_A'!#REF!,"AAAAAFKv/78=")</f>
        <v>#REF!</v>
      </c>
      <c r="GK55" t="e">
        <f>AND('5to. Perito_A'!#REF!,"AAAAAFKv/8A=")</f>
        <v>#REF!</v>
      </c>
      <c r="GL55" t="e">
        <f>AND('5to. Perito_A'!#REF!,"AAAAAFKv/8E=")</f>
        <v>#REF!</v>
      </c>
      <c r="GM55" t="e">
        <f>AND('5to. Perito_A'!#REF!,"AAAAAFKv/8I=")</f>
        <v>#REF!</v>
      </c>
      <c r="GN55" t="e">
        <f>AND('5to. Perito_A'!#REF!,"AAAAAFKv/8M=")</f>
        <v>#REF!</v>
      </c>
      <c r="GO55" t="e">
        <f>AND('5to. Perito_A'!#REF!,"AAAAAFKv/8Q=")</f>
        <v>#REF!</v>
      </c>
      <c r="GP55" t="e">
        <f>AND('5to. Perito_A'!#REF!,"AAAAAFKv/8U=")</f>
        <v>#REF!</v>
      </c>
      <c r="GQ55" t="e">
        <f>AND('5to. Perito_A'!#REF!,"AAAAAFKv/8Y=")</f>
        <v>#REF!</v>
      </c>
      <c r="GR55" t="e">
        <f>AND('5to. Perito_A'!#REF!,"AAAAAFKv/8c=")</f>
        <v>#REF!</v>
      </c>
      <c r="GS55" t="e">
        <f>AND('5to. Perito_A'!#REF!,"AAAAAFKv/8g=")</f>
        <v>#REF!</v>
      </c>
      <c r="GT55" t="e">
        <f>AND('5to. Perito_A'!#REF!,"AAAAAFKv/8k=")</f>
        <v>#REF!</v>
      </c>
      <c r="GU55" t="e">
        <f>AND('5to. Perito_A'!#REF!,"AAAAAFKv/8o=")</f>
        <v>#REF!</v>
      </c>
      <c r="GV55" t="e">
        <f>AND('5to. Perito_A'!#REF!,"AAAAAFKv/8s=")</f>
        <v>#REF!</v>
      </c>
      <c r="GW55" t="e">
        <f>AND('5to. Perito_A'!#REF!,"AAAAAFKv/8w=")</f>
        <v>#REF!</v>
      </c>
      <c r="GX55" t="e">
        <f>AND('5to. Perito_A'!#REF!,"AAAAAFKv/80=")</f>
        <v>#REF!</v>
      </c>
      <c r="GY55">
        <f>IF('5to. Perito_A'!2:2,"AAAAAFKv/84=",0)</f>
        <v>0</v>
      </c>
      <c r="GZ55" t="e">
        <f>AND('5to. Perito_A'!A2,"AAAAAFKv/88=")</f>
        <v>#VALUE!</v>
      </c>
      <c r="HA55" t="e">
        <f>AND('5to. Perito_A'!B2,"AAAAAFKv/9A=")</f>
        <v>#VALUE!</v>
      </c>
      <c r="HB55" t="e">
        <f>AND('5to. Perito_A'!C2,"AAAAAFKv/9E=")</f>
        <v>#VALUE!</v>
      </c>
      <c r="HC55" t="e">
        <f>AND('5to. Perito_A'!D2,"AAAAAFKv/9I=")</f>
        <v>#VALUE!</v>
      </c>
      <c r="HD55" t="e">
        <f>AND('5to. Perito_A'!E2,"AAAAAFKv/9M=")</f>
        <v>#VALUE!</v>
      </c>
      <c r="HE55" t="e">
        <f>AND('5to. Perito_A'!F2,"AAAAAFKv/9Q=")</f>
        <v>#VALUE!</v>
      </c>
      <c r="HF55" t="e">
        <f>AND('5to. Perito_A'!G2,"AAAAAFKv/9U=")</f>
        <v>#VALUE!</v>
      </c>
      <c r="HG55" t="e">
        <f>AND('5to. Perito_A'!H2,"AAAAAFKv/9Y=")</f>
        <v>#VALUE!</v>
      </c>
      <c r="HH55" t="e">
        <f>AND('5to. Perito_A'!I2,"AAAAAFKv/9c=")</f>
        <v>#VALUE!</v>
      </c>
      <c r="HI55" t="e">
        <f>AND('5to. Perito_A'!J2,"AAAAAFKv/9g=")</f>
        <v>#VALUE!</v>
      </c>
      <c r="HJ55" t="e">
        <f>AND('5to. Perito_A'!K2,"AAAAAFKv/9k=")</f>
        <v>#VALUE!</v>
      </c>
      <c r="HK55" t="e">
        <f>AND('5to. Perito_A'!L2,"AAAAAFKv/9o=")</f>
        <v>#VALUE!</v>
      </c>
      <c r="HL55" t="e">
        <f>AND('5to. Perito_A'!M2,"AAAAAFKv/9s=")</f>
        <v>#VALUE!</v>
      </c>
      <c r="HM55" t="e">
        <f>AND('5to. Perito_A'!N2,"AAAAAFKv/9w=")</f>
        <v>#VALUE!</v>
      </c>
      <c r="HN55" t="e">
        <f>AND('5to. Perito_A'!O2,"AAAAAFKv/90=")</f>
        <v>#VALUE!</v>
      </c>
      <c r="HO55" t="e">
        <f>AND('5to. Perito_A'!P2,"AAAAAFKv/94=")</f>
        <v>#VALUE!</v>
      </c>
      <c r="HP55" t="e">
        <f>AND('5to. Perito_A'!Q2,"AAAAAFKv/98=")</f>
        <v>#VALUE!</v>
      </c>
      <c r="HQ55" t="e">
        <f>AND('5to. Perito_A'!R2,"AAAAAFKv/+A=")</f>
        <v>#VALUE!</v>
      </c>
      <c r="HR55" t="e">
        <f>AND('5to. Perito_A'!S2,"AAAAAFKv/+E=")</f>
        <v>#VALUE!</v>
      </c>
      <c r="HS55" t="e">
        <f>AND('5to. Perito_A'!T2,"AAAAAFKv/+I=")</f>
        <v>#VALUE!</v>
      </c>
      <c r="HT55" t="e">
        <f>AND('5to. Perito_A'!#REF!,"AAAAAFKv/+M=")</f>
        <v>#REF!</v>
      </c>
      <c r="HU55" t="e">
        <f>AND('5to. Perito_A'!#REF!,"AAAAAFKv/+Q=")</f>
        <v>#REF!</v>
      </c>
      <c r="HV55" t="e">
        <f>AND('5to. Perito_A'!#REF!,"AAAAAFKv/+U=")</f>
        <v>#REF!</v>
      </c>
      <c r="HW55" t="e">
        <f>AND('5to. Perito_A'!#REF!,"AAAAAFKv/+Y=")</f>
        <v>#REF!</v>
      </c>
      <c r="HX55" t="e">
        <f>AND('5to. Perito_A'!#REF!,"AAAAAFKv/+c=")</f>
        <v>#REF!</v>
      </c>
      <c r="HY55">
        <f>IF('5to. Perito_A'!3:3,"AAAAAFKv/+g=",0)</f>
        <v>0</v>
      </c>
      <c r="HZ55" t="e">
        <f>AND('5to. Perito_A'!A3,"AAAAAFKv/+k=")</f>
        <v>#VALUE!</v>
      </c>
      <c r="IA55" t="e">
        <f>AND('5to. Perito_A'!B3,"AAAAAFKv/+o=")</f>
        <v>#VALUE!</v>
      </c>
      <c r="IB55" t="e">
        <f>AND('5to. Perito_A'!C3,"AAAAAFKv/+s=")</f>
        <v>#VALUE!</v>
      </c>
      <c r="IC55" t="e">
        <f>AND('5to. Perito_A'!D3,"AAAAAFKv/+w=")</f>
        <v>#VALUE!</v>
      </c>
      <c r="ID55" t="e">
        <f>AND('5to. Perito_A'!E3,"AAAAAFKv/+0=")</f>
        <v>#VALUE!</v>
      </c>
      <c r="IE55" t="e">
        <f>AND('5to. Perito_A'!F3,"AAAAAFKv/+4=")</f>
        <v>#VALUE!</v>
      </c>
      <c r="IF55" t="e">
        <f>AND('5to. Perito_A'!G3,"AAAAAFKv/+8=")</f>
        <v>#VALUE!</v>
      </c>
      <c r="IG55" t="e">
        <f>AND('5to. Perito_A'!H3,"AAAAAFKv//A=")</f>
        <v>#VALUE!</v>
      </c>
      <c r="IH55" t="e">
        <f>AND('5to. Perito_A'!I3,"AAAAAFKv//E=")</f>
        <v>#VALUE!</v>
      </c>
      <c r="II55" t="e">
        <f>AND('5to. Perito_A'!J3,"AAAAAFKv//I=")</f>
        <v>#VALUE!</v>
      </c>
      <c r="IJ55" t="e">
        <f>AND('5to. Perito_A'!K3,"AAAAAFKv//M=")</f>
        <v>#VALUE!</v>
      </c>
      <c r="IK55" t="e">
        <f>AND('5to. Perito_A'!L3,"AAAAAFKv//Q=")</f>
        <v>#VALUE!</v>
      </c>
      <c r="IL55" t="e">
        <f>AND('5to. Perito_A'!M3,"AAAAAFKv//U=")</f>
        <v>#VALUE!</v>
      </c>
      <c r="IM55" t="e">
        <f>AND('5to. Perito_A'!N3,"AAAAAFKv//Y=")</f>
        <v>#VALUE!</v>
      </c>
      <c r="IN55" t="e">
        <f>AND('5to. Perito_A'!O3,"AAAAAFKv//c=")</f>
        <v>#VALUE!</v>
      </c>
      <c r="IO55" t="e">
        <f>AND('5to. Perito_A'!P3,"AAAAAFKv//g=")</f>
        <v>#VALUE!</v>
      </c>
      <c r="IP55" t="e">
        <f>AND('5to. Perito_A'!Q3,"AAAAAFKv//k=")</f>
        <v>#VALUE!</v>
      </c>
      <c r="IQ55" t="e">
        <f>AND('5to. Perito_A'!R3,"AAAAAFKv//o=")</f>
        <v>#VALUE!</v>
      </c>
      <c r="IR55" t="e">
        <f>AND('5to. Perito_A'!S3,"AAAAAFKv//s=")</f>
        <v>#VALUE!</v>
      </c>
      <c r="IS55" t="e">
        <f>AND('5to. Perito_A'!T3,"AAAAAFKv//w=")</f>
        <v>#VALUE!</v>
      </c>
      <c r="IT55" t="e">
        <f>AND('5to. Perito_A'!#REF!,"AAAAAFKv//0=")</f>
        <v>#REF!</v>
      </c>
      <c r="IU55" t="e">
        <f>AND('5to. Perito_A'!#REF!,"AAAAAFKv//4=")</f>
        <v>#REF!</v>
      </c>
      <c r="IV55" t="e">
        <f>AND('5to. Perito_A'!#REF!,"AAAAAFKv//8=")</f>
        <v>#REF!</v>
      </c>
    </row>
    <row r="56" spans="1:256">
      <c r="A56" t="e">
        <f>AND('5to. Perito_A'!#REF!,"AAAAACd61AA=")</f>
        <v>#REF!</v>
      </c>
      <c r="B56" t="e">
        <f>AND('5to. Perito_A'!#REF!,"AAAAACd61AE=")</f>
        <v>#REF!</v>
      </c>
      <c r="C56" t="e">
        <f>IF('5to. Perito_A'!4:4,"AAAAACd61AI=",0)</f>
        <v>#VALUE!</v>
      </c>
      <c r="D56" t="e">
        <f>AND('5to. Perito_A'!A4,"AAAAACd61AM=")</f>
        <v>#VALUE!</v>
      </c>
      <c r="E56" t="e">
        <f>AND('5to. Perito_A'!B4,"AAAAACd61AQ=")</f>
        <v>#VALUE!</v>
      </c>
      <c r="F56" t="e">
        <f>AND('5to. Perito_A'!C4,"AAAAACd61AU=")</f>
        <v>#VALUE!</v>
      </c>
      <c r="G56" t="e">
        <f>AND('5to. Perito_A'!D4,"AAAAACd61AY=")</f>
        <v>#VALUE!</v>
      </c>
      <c r="H56" t="e">
        <f>AND('5to. Perito_A'!E4,"AAAAACd61Ac=")</f>
        <v>#VALUE!</v>
      </c>
      <c r="I56" t="e">
        <f>AND('5to. Perito_A'!F4,"AAAAACd61Ag=")</f>
        <v>#VALUE!</v>
      </c>
      <c r="J56" t="e">
        <f>AND('5to. Perito_A'!G4,"AAAAACd61Ak=")</f>
        <v>#VALUE!</v>
      </c>
      <c r="K56" t="e">
        <f>AND('5to. Perito_A'!H4,"AAAAACd61Ao=")</f>
        <v>#VALUE!</v>
      </c>
      <c r="L56" t="e">
        <f>AND('5to. Perito_A'!I4,"AAAAACd61As=")</f>
        <v>#VALUE!</v>
      </c>
      <c r="M56" t="e">
        <f>AND('5to. Perito_A'!J4,"AAAAACd61Aw=")</f>
        <v>#VALUE!</v>
      </c>
      <c r="N56" t="e">
        <f>AND('5to. Perito_A'!K4,"AAAAACd61A0=")</f>
        <v>#VALUE!</v>
      </c>
      <c r="O56" t="e">
        <f>AND('5to. Perito_A'!L4,"AAAAACd61A4=")</f>
        <v>#VALUE!</v>
      </c>
      <c r="P56" t="e">
        <f>AND('5to. Perito_A'!M4,"AAAAACd61A8=")</f>
        <v>#VALUE!</v>
      </c>
      <c r="Q56" t="e">
        <f>AND('5to. Perito_A'!N4,"AAAAACd61BA=")</f>
        <v>#VALUE!</v>
      </c>
      <c r="R56" t="e">
        <f>AND('5to. Perito_A'!O4,"AAAAACd61BE=")</f>
        <v>#VALUE!</v>
      </c>
      <c r="S56" t="e">
        <f>AND('5to. Perito_A'!P4,"AAAAACd61BI=")</f>
        <v>#VALUE!</v>
      </c>
      <c r="T56" t="e">
        <f>AND('5to. Perito_A'!Q4,"AAAAACd61BM=")</f>
        <v>#VALUE!</v>
      </c>
      <c r="U56" t="e">
        <f>AND('5to. Perito_A'!R4,"AAAAACd61BQ=")</f>
        <v>#VALUE!</v>
      </c>
      <c r="V56" t="e">
        <f>AND('5to. Perito_A'!S4,"AAAAACd61BU=")</f>
        <v>#VALUE!</v>
      </c>
      <c r="W56" t="e">
        <f>AND('5to. Perito_A'!T4,"AAAAACd61BY=")</f>
        <v>#VALUE!</v>
      </c>
      <c r="X56" t="e">
        <f>AND('5to. Perito_A'!#REF!,"AAAAACd61Bc=")</f>
        <v>#REF!</v>
      </c>
      <c r="Y56" t="e">
        <f>AND('5to. Perito_A'!#REF!,"AAAAACd61Bg=")</f>
        <v>#REF!</v>
      </c>
      <c r="Z56" t="e">
        <f>AND('5to. Perito_A'!#REF!,"AAAAACd61Bk=")</f>
        <v>#REF!</v>
      </c>
      <c r="AA56" t="e">
        <f>AND('5to. Perito_A'!#REF!,"AAAAACd61Bo=")</f>
        <v>#REF!</v>
      </c>
      <c r="AB56" t="e">
        <f>AND('5to. Perito_A'!#REF!,"AAAAACd61Bs=")</f>
        <v>#REF!</v>
      </c>
      <c r="AC56">
        <f>IF('5to. Perito_A'!5:5,"AAAAACd61Bw=",0)</f>
        <v>0</v>
      </c>
      <c r="AD56" t="e">
        <f>AND('5to. Perito_A'!A5,"AAAAACd61B0=")</f>
        <v>#VALUE!</v>
      </c>
      <c r="AE56" t="e">
        <f>AND('5to. Perito_A'!B5,"AAAAACd61B4=")</f>
        <v>#VALUE!</v>
      </c>
      <c r="AF56" t="e">
        <f>AND('5to. Perito_A'!C5,"AAAAACd61B8=")</f>
        <v>#VALUE!</v>
      </c>
      <c r="AG56" t="e">
        <f>AND('5to. Perito_A'!D5,"AAAAACd61CA=")</f>
        <v>#VALUE!</v>
      </c>
      <c r="AH56" t="e">
        <f>AND('5to. Perito_A'!E5,"AAAAACd61CE=")</f>
        <v>#VALUE!</v>
      </c>
      <c r="AI56" t="e">
        <f>AND('5to. Perito_A'!F5,"AAAAACd61CI=")</f>
        <v>#VALUE!</v>
      </c>
      <c r="AJ56" t="e">
        <f>AND('5to. Perito_A'!G5,"AAAAACd61CM=")</f>
        <v>#VALUE!</v>
      </c>
      <c r="AK56" t="e">
        <f>AND('5to. Perito_A'!H5,"AAAAACd61CQ=")</f>
        <v>#VALUE!</v>
      </c>
      <c r="AL56" t="e">
        <f>AND('5to. Perito_A'!I5,"AAAAACd61CU=")</f>
        <v>#VALUE!</v>
      </c>
      <c r="AM56" t="e">
        <f>AND('5to. Perito_A'!J5,"AAAAACd61CY=")</f>
        <v>#VALUE!</v>
      </c>
      <c r="AN56" t="e">
        <f>AND('5to. Perito_A'!K5,"AAAAACd61Cc=")</f>
        <v>#VALUE!</v>
      </c>
      <c r="AO56" t="e">
        <f>AND('5to. Perito_A'!L5,"AAAAACd61Cg=")</f>
        <v>#VALUE!</v>
      </c>
      <c r="AP56" t="e">
        <f>AND('5to. Perito_A'!M5,"AAAAACd61Ck=")</f>
        <v>#VALUE!</v>
      </c>
      <c r="AQ56" t="e">
        <f>AND('5to. Perito_A'!N5,"AAAAACd61Co=")</f>
        <v>#VALUE!</v>
      </c>
      <c r="AR56" t="e">
        <f>AND('5to. Perito_A'!O5,"AAAAACd61Cs=")</f>
        <v>#VALUE!</v>
      </c>
      <c r="AS56" t="e">
        <f>AND('5to. Perito_A'!P5,"AAAAACd61Cw=")</f>
        <v>#VALUE!</v>
      </c>
      <c r="AT56" t="e">
        <f>AND('5to. Perito_A'!Q5,"AAAAACd61C0=")</f>
        <v>#VALUE!</v>
      </c>
      <c r="AU56" t="e">
        <f>AND('5to. Perito_A'!R5,"AAAAACd61C4=")</f>
        <v>#VALUE!</v>
      </c>
      <c r="AV56" t="e">
        <f>AND('5to. Perito_A'!S5,"AAAAACd61C8=")</f>
        <v>#VALUE!</v>
      </c>
      <c r="AW56" t="e">
        <f>AND('5to. Perito_A'!T5,"AAAAACd61DA=")</f>
        <v>#VALUE!</v>
      </c>
      <c r="AX56" t="e">
        <f>AND('5to. Perito_A'!#REF!,"AAAAACd61DE=")</f>
        <v>#REF!</v>
      </c>
      <c r="AY56" t="e">
        <f>AND('5to. Perito_A'!#REF!,"AAAAACd61DI=")</f>
        <v>#REF!</v>
      </c>
      <c r="AZ56" t="e">
        <f>AND('5to. Perito_A'!#REF!,"AAAAACd61DM=")</f>
        <v>#REF!</v>
      </c>
      <c r="BA56" t="e">
        <f>AND('5to. Perito_A'!#REF!,"AAAAACd61DQ=")</f>
        <v>#REF!</v>
      </c>
      <c r="BB56" t="e">
        <f>AND('5to. Perito_A'!#REF!,"AAAAACd61DU=")</f>
        <v>#REF!</v>
      </c>
      <c r="BC56">
        <f>IF('5to. Perito_A'!6:6,"AAAAACd61DY=",0)</f>
        <v>0</v>
      </c>
      <c r="BD56" t="e">
        <f>AND('5to. Perito_A'!A6,"AAAAACd61Dc=")</f>
        <v>#VALUE!</v>
      </c>
      <c r="BE56" t="e">
        <f>AND('5to. Perito_A'!B6,"AAAAACd61Dg=")</f>
        <v>#VALUE!</v>
      </c>
      <c r="BF56" t="e">
        <f>AND('5to. Perito_A'!C6,"AAAAACd61Dk=")</f>
        <v>#VALUE!</v>
      </c>
      <c r="BG56" t="e">
        <f>AND('5to. Perito_A'!D6,"AAAAACd61Do=")</f>
        <v>#VALUE!</v>
      </c>
      <c r="BH56" t="e">
        <f>AND('5to. Perito_A'!E6,"AAAAACd61Ds=")</f>
        <v>#VALUE!</v>
      </c>
      <c r="BI56" t="e">
        <f>AND('5to. Perito_A'!F6,"AAAAACd61Dw=")</f>
        <v>#VALUE!</v>
      </c>
      <c r="BJ56" t="e">
        <f>AND('5to. Perito_A'!G6,"AAAAACd61D0=")</f>
        <v>#VALUE!</v>
      </c>
      <c r="BK56" t="e">
        <f>AND('5to. Perito_A'!H6,"AAAAACd61D4=")</f>
        <v>#VALUE!</v>
      </c>
      <c r="BL56" t="e">
        <f>AND('5to. Perito_A'!I6,"AAAAACd61D8=")</f>
        <v>#VALUE!</v>
      </c>
      <c r="BM56" t="e">
        <f>AND('5to. Perito_A'!J6,"AAAAACd61EA=")</f>
        <v>#VALUE!</v>
      </c>
      <c r="BN56" t="e">
        <f>AND('5to. Perito_A'!K6,"AAAAACd61EE=")</f>
        <v>#VALUE!</v>
      </c>
      <c r="BO56" t="e">
        <f>AND('5to. Perito_A'!L6,"AAAAACd61EI=")</f>
        <v>#VALUE!</v>
      </c>
      <c r="BP56" t="e">
        <f>AND('5to. Perito_A'!M6,"AAAAACd61EM=")</f>
        <v>#VALUE!</v>
      </c>
      <c r="BQ56" t="e">
        <f>AND('5to. Perito_A'!N6,"AAAAACd61EQ=")</f>
        <v>#VALUE!</v>
      </c>
      <c r="BR56" t="e">
        <f>AND('5to. Perito_A'!O6,"AAAAACd61EU=")</f>
        <v>#VALUE!</v>
      </c>
      <c r="BS56" t="e">
        <f>AND('5to. Perito_A'!P6,"AAAAACd61EY=")</f>
        <v>#VALUE!</v>
      </c>
      <c r="BT56" t="e">
        <f>AND('5to. Perito_A'!Q6,"AAAAACd61Ec=")</f>
        <v>#VALUE!</v>
      </c>
      <c r="BU56" t="e">
        <f>AND('5to. Perito_A'!R6,"AAAAACd61Eg=")</f>
        <v>#VALUE!</v>
      </c>
      <c r="BV56" t="e">
        <f>AND('5to. Perito_A'!S6,"AAAAACd61Ek=")</f>
        <v>#VALUE!</v>
      </c>
      <c r="BW56" t="e">
        <f>AND('5to. Perito_A'!T6,"AAAAACd61Eo=")</f>
        <v>#VALUE!</v>
      </c>
      <c r="BX56" t="e">
        <f>AND('5to. Perito_A'!#REF!,"AAAAACd61Es=")</f>
        <v>#REF!</v>
      </c>
      <c r="BY56" t="e">
        <f>AND('5to. Perito_A'!#REF!,"AAAAACd61Ew=")</f>
        <v>#REF!</v>
      </c>
      <c r="BZ56" t="e">
        <f>AND('5to. Perito_A'!#REF!,"AAAAACd61E0=")</f>
        <v>#REF!</v>
      </c>
      <c r="CA56" t="e">
        <f>AND('5to. Perito_A'!#REF!,"AAAAACd61E4=")</f>
        <v>#REF!</v>
      </c>
      <c r="CB56" t="e">
        <f>AND('5to. Perito_A'!#REF!,"AAAAACd61E8=")</f>
        <v>#REF!</v>
      </c>
      <c r="CC56">
        <f>IF('5to. Perito_A'!7:7,"AAAAACd61FA=",0)</f>
        <v>0</v>
      </c>
      <c r="CD56" t="e">
        <f>AND('5to. Perito_A'!A7,"AAAAACd61FE=")</f>
        <v>#VALUE!</v>
      </c>
      <c r="CE56" t="e">
        <f>AND('5to. Perito_A'!B7,"AAAAACd61FI=")</f>
        <v>#VALUE!</v>
      </c>
      <c r="CF56" t="e">
        <f>AND('5to. Perito_A'!C7,"AAAAACd61FM=")</f>
        <v>#VALUE!</v>
      </c>
      <c r="CG56" t="e">
        <f>AND('5to. Perito_A'!D7,"AAAAACd61FQ=")</f>
        <v>#VALUE!</v>
      </c>
      <c r="CH56" t="e">
        <f>AND('5to. Perito_A'!E7,"AAAAACd61FU=")</f>
        <v>#VALUE!</v>
      </c>
      <c r="CI56" t="e">
        <f>AND('5to. Perito_A'!F7,"AAAAACd61FY=")</f>
        <v>#VALUE!</v>
      </c>
      <c r="CJ56" t="e">
        <f>AND('5to. Perito_A'!G7,"AAAAACd61Fc=")</f>
        <v>#VALUE!</v>
      </c>
      <c r="CK56" t="e">
        <f>AND('5to. Perito_A'!H7,"AAAAACd61Fg=")</f>
        <v>#VALUE!</v>
      </c>
      <c r="CL56" t="e">
        <f>AND('5to. Perito_A'!I7,"AAAAACd61Fk=")</f>
        <v>#VALUE!</v>
      </c>
      <c r="CM56" t="e">
        <f>AND('5to. Perito_A'!J7,"AAAAACd61Fo=")</f>
        <v>#VALUE!</v>
      </c>
      <c r="CN56" t="e">
        <f>AND('5to. Perito_A'!K7,"AAAAACd61Fs=")</f>
        <v>#VALUE!</v>
      </c>
      <c r="CO56" t="e">
        <f>AND('5to. Perito_A'!L7,"AAAAACd61Fw=")</f>
        <v>#VALUE!</v>
      </c>
      <c r="CP56" t="e">
        <f>AND('5to. Perito_A'!M7,"AAAAACd61F0=")</f>
        <v>#VALUE!</v>
      </c>
      <c r="CQ56" t="e">
        <f>AND('5to. Perito_A'!N7,"AAAAACd61F4=")</f>
        <v>#VALUE!</v>
      </c>
      <c r="CR56" t="e">
        <f>AND('5to. Perito_A'!O7,"AAAAACd61F8=")</f>
        <v>#VALUE!</v>
      </c>
      <c r="CS56" t="e">
        <f>AND('5to. Perito_A'!P7,"AAAAACd61GA=")</f>
        <v>#VALUE!</v>
      </c>
      <c r="CT56" t="e">
        <f>AND('5to. Perito_A'!Q7,"AAAAACd61GE=")</f>
        <v>#VALUE!</v>
      </c>
      <c r="CU56" t="e">
        <f>AND('5to. Perito_A'!R7,"AAAAACd61GI=")</f>
        <v>#VALUE!</v>
      </c>
      <c r="CV56" t="e">
        <f>AND('5to. Perito_A'!S7,"AAAAACd61GM=")</f>
        <v>#VALUE!</v>
      </c>
      <c r="CW56" t="e">
        <f>AND('5to. Perito_A'!T7,"AAAAACd61GQ=")</f>
        <v>#VALUE!</v>
      </c>
      <c r="CX56" t="e">
        <f>AND('5to. Perito_A'!#REF!,"AAAAACd61GU=")</f>
        <v>#REF!</v>
      </c>
      <c r="CY56" t="e">
        <f>AND('5to. Perito_A'!#REF!,"AAAAACd61GY=")</f>
        <v>#REF!</v>
      </c>
      <c r="CZ56" t="e">
        <f>AND('5to. Perito_A'!#REF!,"AAAAACd61Gc=")</f>
        <v>#REF!</v>
      </c>
      <c r="DA56" t="e">
        <f>AND('5to. Perito_A'!#REF!,"AAAAACd61Gg=")</f>
        <v>#REF!</v>
      </c>
      <c r="DB56" t="e">
        <f>AND('5to. Perito_A'!#REF!,"AAAAACd61Gk=")</f>
        <v>#REF!</v>
      </c>
      <c r="DC56">
        <f>IF('5to. Perito_A'!8:8,"AAAAACd61Go=",0)</f>
        <v>0</v>
      </c>
      <c r="DD56" t="e">
        <f>AND('5to. Perito_A'!A8,"AAAAACd61Gs=")</f>
        <v>#VALUE!</v>
      </c>
      <c r="DE56" t="e">
        <f>AND('5to. Perito_A'!B8,"AAAAACd61Gw=")</f>
        <v>#VALUE!</v>
      </c>
      <c r="DF56" t="e">
        <f>AND('5to. Perito_A'!C8,"AAAAACd61G0=")</f>
        <v>#VALUE!</v>
      </c>
      <c r="DG56" t="e">
        <f>AND('5to. Perito_A'!D8,"AAAAACd61G4=")</f>
        <v>#VALUE!</v>
      </c>
      <c r="DH56" t="e">
        <f>AND('5to. Perito_A'!E8,"AAAAACd61G8=")</f>
        <v>#VALUE!</v>
      </c>
      <c r="DI56" t="e">
        <f>AND('5to. Perito_A'!F8,"AAAAACd61HA=")</f>
        <v>#VALUE!</v>
      </c>
      <c r="DJ56" t="e">
        <f>AND('5to. Perito_A'!G8,"AAAAACd61HE=")</f>
        <v>#VALUE!</v>
      </c>
      <c r="DK56" t="e">
        <f>AND('5to. Perito_A'!H8,"AAAAACd61HI=")</f>
        <v>#VALUE!</v>
      </c>
      <c r="DL56" t="e">
        <f>AND('5to. Perito_A'!I8,"AAAAACd61HM=")</f>
        <v>#VALUE!</v>
      </c>
      <c r="DM56" t="e">
        <f>AND('5to. Perito_A'!J8,"AAAAACd61HQ=")</f>
        <v>#VALUE!</v>
      </c>
      <c r="DN56" t="e">
        <f>AND('5to. Perito_A'!K8,"AAAAACd61HU=")</f>
        <v>#VALUE!</v>
      </c>
      <c r="DO56" t="e">
        <f>AND('5to. Perito_A'!L8,"AAAAACd61HY=")</f>
        <v>#VALUE!</v>
      </c>
      <c r="DP56" t="e">
        <f>AND('5to. Perito_A'!M8,"AAAAACd61Hc=")</f>
        <v>#VALUE!</v>
      </c>
      <c r="DQ56" t="e">
        <f>AND('5to. Perito_A'!N8,"AAAAACd61Hg=")</f>
        <v>#VALUE!</v>
      </c>
      <c r="DR56" t="e">
        <f>AND('5to. Perito_A'!O8,"AAAAACd61Hk=")</f>
        <v>#VALUE!</v>
      </c>
      <c r="DS56" t="e">
        <f>AND('5to. Perito_A'!P8,"AAAAACd61Ho=")</f>
        <v>#VALUE!</v>
      </c>
      <c r="DT56" t="e">
        <f>AND('5to. Perito_A'!Q8,"AAAAACd61Hs=")</f>
        <v>#VALUE!</v>
      </c>
      <c r="DU56" t="e">
        <f>AND('5to. Perito_A'!R8,"AAAAACd61Hw=")</f>
        <v>#VALUE!</v>
      </c>
      <c r="DV56" t="e">
        <f>AND('5to. Perito_A'!S8,"AAAAACd61H0=")</f>
        <v>#VALUE!</v>
      </c>
      <c r="DW56" t="e">
        <f>AND('5to. Perito_A'!T8,"AAAAACd61H4=")</f>
        <v>#VALUE!</v>
      </c>
      <c r="DX56" t="e">
        <f>AND('5to. Perito_A'!#REF!,"AAAAACd61H8=")</f>
        <v>#REF!</v>
      </c>
      <c r="DY56" t="e">
        <f>AND('5to. Perito_A'!#REF!,"AAAAACd61IA=")</f>
        <v>#REF!</v>
      </c>
      <c r="DZ56" t="e">
        <f>AND('5to. Perito_A'!#REF!,"AAAAACd61IE=")</f>
        <v>#REF!</v>
      </c>
      <c r="EA56" t="e">
        <f>AND('5to. Perito_A'!#REF!,"AAAAACd61II=")</f>
        <v>#REF!</v>
      </c>
      <c r="EB56" t="e">
        <f>AND('5to. Perito_A'!#REF!,"AAAAACd61IM=")</f>
        <v>#REF!</v>
      </c>
      <c r="EC56">
        <f>IF('5to. Perito_A'!9:9,"AAAAACd61IQ=",0)</f>
        <v>0</v>
      </c>
      <c r="ED56" t="e">
        <f>AND('5to. Perito_A'!A9,"AAAAACd61IU=")</f>
        <v>#VALUE!</v>
      </c>
      <c r="EE56" t="e">
        <f>AND('5to. Perito_A'!B9,"AAAAACd61IY=")</f>
        <v>#VALUE!</v>
      </c>
      <c r="EF56" t="e">
        <f>AND('5to. Perito_A'!C9,"AAAAACd61Ic=")</f>
        <v>#VALUE!</v>
      </c>
      <c r="EG56" t="e">
        <f>AND('5to. Perito_A'!D9,"AAAAACd61Ig=")</f>
        <v>#VALUE!</v>
      </c>
      <c r="EH56" t="e">
        <f>AND('5to. Perito_A'!E9,"AAAAACd61Ik=")</f>
        <v>#VALUE!</v>
      </c>
      <c r="EI56" t="e">
        <f>AND('5to. Perito_A'!F9,"AAAAACd61Io=")</f>
        <v>#VALUE!</v>
      </c>
      <c r="EJ56" t="e">
        <f>AND('5to. Perito_A'!G9,"AAAAACd61Is=")</f>
        <v>#VALUE!</v>
      </c>
      <c r="EK56" t="e">
        <f>AND('5to. Perito_A'!H9,"AAAAACd61Iw=")</f>
        <v>#VALUE!</v>
      </c>
      <c r="EL56" t="e">
        <f>AND('5to. Perito_A'!I9,"AAAAACd61I0=")</f>
        <v>#VALUE!</v>
      </c>
      <c r="EM56" t="e">
        <f>AND('5to. Perito_A'!J9,"AAAAACd61I4=")</f>
        <v>#VALUE!</v>
      </c>
      <c r="EN56" t="e">
        <f>AND('5to. Perito_A'!K9,"AAAAACd61I8=")</f>
        <v>#VALUE!</v>
      </c>
      <c r="EO56" t="e">
        <f>AND('5to. Perito_A'!L9,"AAAAACd61JA=")</f>
        <v>#VALUE!</v>
      </c>
      <c r="EP56" t="e">
        <f>AND('5to. Perito_A'!M9,"AAAAACd61JE=")</f>
        <v>#VALUE!</v>
      </c>
      <c r="EQ56" t="e">
        <f>AND('5to. Perito_A'!N9,"AAAAACd61JI=")</f>
        <v>#VALUE!</v>
      </c>
      <c r="ER56" t="e">
        <f>AND('5to. Perito_A'!O9,"AAAAACd61JM=")</f>
        <v>#VALUE!</v>
      </c>
      <c r="ES56" t="e">
        <f>AND('5to. Perito_A'!P9,"AAAAACd61JQ=")</f>
        <v>#VALUE!</v>
      </c>
      <c r="ET56" t="e">
        <f>AND('5to. Perito_A'!Q9,"AAAAACd61JU=")</f>
        <v>#VALUE!</v>
      </c>
      <c r="EU56" t="e">
        <f>AND('5to. Perito_A'!R9,"AAAAACd61JY=")</f>
        <v>#VALUE!</v>
      </c>
      <c r="EV56" t="e">
        <f>AND('5to. Perito_A'!S9,"AAAAACd61Jc=")</f>
        <v>#VALUE!</v>
      </c>
      <c r="EW56" t="e">
        <f>AND('5to. Perito_A'!T9,"AAAAACd61Jg=")</f>
        <v>#VALUE!</v>
      </c>
      <c r="EX56" t="e">
        <f>AND('5to. Perito_A'!#REF!,"AAAAACd61Jk=")</f>
        <v>#REF!</v>
      </c>
      <c r="EY56" t="e">
        <f>AND('5to. Perito_A'!#REF!,"AAAAACd61Jo=")</f>
        <v>#REF!</v>
      </c>
      <c r="EZ56" t="e">
        <f>AND('5to. Perito_A'!#REF!,"AAAAACd61Js=")</f>
        <v>#REF!</v>
      </c>
      <c r="FA56" t="e">
        <f>AND('5to. Perito_A'!#REF!,"AAAAACd61Jw=")</f>
        <v>#REF!</v>
      </c>
      <c r="FB56" t="e">
        <f>AND('5to. Perito_A'!#REF!,"AAAAACd61J0=")</f>
        <v>#REF!</v>
      </c>
      <c r="FC56">
        <f>IF('5to. Perito_A'!10:10,"AAAAACd61J4=",0)</f>
        <v>0</v>
      </c>
      <c r="FD56" t="e">
        <f>AND('5to. Perito_A'!A10,"AAAAACd61J8=")</f>
        <v>#VALUE!</v>
      </c>
      <c r="FE56" t="e">
        <f>AND('5to. Perito_A'!B10,"AAAAACd61KA=")</f>
        <v>#VALUE!</v>
      </c>
      <c r="FF56" t="e">
        <f>AND('5to. Perito_A'!C10,"AAAAACd61KE=")</f>
        <v>#VALUE!</v>
      </c>
      <c r="FG56" t="e">
        <f>AND('5to. Perito_A'!D10,"AAAAACd61KI=")</f>
        <v>#VALUE!</v>
      </c>
      <c r="FH56" t="e">
        <f>AND('5to. Perito_A'!E10,"AAAAACd61KM=")</f>
        <v>#VALUE!</v>
      </c>
      <c r="FI56" t="e">
        <f>AND('5to. Perito_A'!F10,"AAAAACd61KQ=")</f>
        <v>#VALUE!</v>
      </c>
      <c r="FJ56" t="e">
        <f>AND('5to. Perito_A'!G10,"AAAAACd61KU=")</f>
        <v>#VALUE!</v>
      </c>
      <c r="FK56" t="e">
        <f>AND('5to. Perito_A'!H10,"AAAAACd61KY=")</f>
        <v>#VALUE!</v>
      </c>
      <c r="FL56" t="e">
        <f>AND('5to. Perito_A'!I10,"AAAAACd61Kc=")</f>
        <v>#VALUE!</v>
      </c>
      <c r="FM56" t="e">
        <f>AND('5to. Perito_A'!J10,"AAAAACd61Kg=")</f>
        <v>#VALUE!</v>
      </c>
      <c r="FN56" t="e">
        <f>AND('5to. Perito_A'!K10,"AAAAACd61Kk=")</f>
        <v>#VALUE!</v>
      </c>
      <c r="FO56" t="e">
        <f>AND('5to. Perito_A'!L10,"AAAAACd61Ko=")</f>
        <v>#VALUE!</v>
      </c>
      <c r="FP56" t="e">
        <f>AND('5to. Perito_A'!M10,"AAAAACd61Ks=")</f>
        <v>#VALUE!</v>
      </c>
      <c r="FQ56" t="e">
        <f>AND('5to. Perito_A'!N10,"AAAAACd61Kw=")</f>
        <v>#VALUE!</v>
      </c>
      <c r="FR56" t="e">
        <f>AND('5to. Perito_A'!O10,"AAAAACd61K0=")</f>
        <v>#VALUE!</v>
      </c>
      <c r="FS56" t="e">
        <f>AND('5to. Perito_A'!P10,"AAAAACd61K4=")</f>
        <v>#VALUE!</v>
      </c>
      <c r="FT56" t="e">
        <f>AND('5to. Perito_A'!Q10,"AAAAACd61K8=")</f>
        <v>#VALUE!</v>
      </c>
      <c r="FU56" t="e">
        <f>AND('5to. Perito_A'!R10,"AAAAACd61LA=")</f>
        <v>#VALUE!</v>
      </c>
      <c r="FV56" t="e">
        <f>AND('5to. Perito_A'!S10,"AAAAACd61LE=")</f>
        <v>#VALUE!</v>
      </c>
      <c r="FW56" t="e">
        <f>AND('5to. Perito_A'!T10,"AAAAACd61LI=")</f>
        <v>#VALUE!</v>
      </c>
      <c r="FX56" t="e">
        <f>AND('5to. Perito_A'!#REF!,"AAAAACd61LM=")</f>
        <v>#REF!</v>
      </c>
      <c r="FY56" t="e">
        <f>AND('5to. Perito_A'!#REF!,"AAAAACd61LQ=")</f>
        <v>#REF!</v>
      </c>
      <c r="FZ56" t="e">
        <f>AND('5to. Perito_A'!#REF!,"AAAAACd61LU=")</f>
        <v>#REF!</v>
      </c>
      <c r="GA56" t="e">
        <f>AND('5to. Perito_A'!#REF!,"AAAAACd61LY=")</f>
        <v>#REF!</v>
      </c>
      <c r="GB56" t="e">
        <f>AND('5to. Perito_A'!#REF!,"AAAAACd61Lc=")</f>
        <v>#REF!</v>
      </c>
      <c r="GC56">
        <f>IF('5to. Perito_A'!11:11,"AAAAACd61Lg=",0)</f>
        <v>0</v>
      </c>
      <c r="GD56" t="e">
        <f>AND('5to. Perito_A'!A11,"AAAAACd61Lk=")</f>
        <v>#VALUE!</v>
      </c>
      <c r="GE56" t="e">
        <f>AND('5to. Perito_A'!B11,"AAAAACd61Lo=")</f>
        <v>#VALUE!</v>
      </c>
      <c r="GF56" t="e">
        <f>AND('5to. Perito_A'!C11,"AAAAACd61Ls=")</f>
        <v>#VALUE!</v>
      </c>
      <c r="GG56" t="e">
        <f>AND('5to. Perito_A'!D11,"AAAAACd61Lw=")</f>
        <v>#VALUE!</v>
      </c>
      <c r="GH56" t="e">
        <f>AND('5to. Perito_A'!E11,"AAAAACd61L0=")</f>
        <v>#VALUE!</v>
      </c>
      <c r="GI56" t="e">
        <f>AND('5to. Perito_A'!F11,"AAAAACd61L4=")</f>
        <v>#VALUE!</v>
      </c>
      <c r="GJ56" t="e">
        <f>AND('5to. Perito_A'!G11,"AAAAACd61L8=")</f>
        <v>#VALUE!</v>
      </c>
      <c r="GK56" t="e">
        <f>AND('5to. Perito_A'!H11,"AAAAACd61MA=")</f>
        <v>#VALUE!</v>
      </c>
      <c r="GL56" t="e">
        <f>AND('5to. Perito_A'!I11,"AAAAACd61ME=")</f>
        <v>#VALUE!</v>
      </c>
      <c r="GM56" t="e">
        <f>AND('5to. Perito_A'!J11,"AAAAACd61MI=")</f>
        <v>#VALUE!</v>
      </c>
      <c r="GN56" t="e">
        <f>AND('5to. Perito_A'!K11,"AAAAACd61MM=")</f>
        <v>#VALUE!</v>
      </c>
      <c r="GO56" t="e">
        <f>AND('5to. Perito_A'!L11,"AAAAACd61MQ=")</f>
        <v>#VALUE!</v>
      </c>
      <c r="GP56" t="e">
        <f>AND('5to. Perito_A'!M11,"AAAAACd61MU=")</f>
        <v>#VALUE!</v>
      </c>
      <c r="GQ56" t="e">
        <f>AND('5to. Perito_A'!N11,"AAAAACd61MY=")</f>
        <v>#VALUE!</v>
      </c>
      <c r="GR56" t="e">
        <f>AND('5to. Perito_A'!O11,"AAAAACd61Mc=")</f>
        <v>#VALUE!</v>
      </c>
      <c r="GS56" t="e">
        <f>AND('5to. Perito_A'!P11,"AAAAACd61Mg=")</f>
        <v>#VALUE!</v>
      </c>
      <c r="GT56" t="e">
        <f>AND('5to. Perito_A'!Q11,"AAAAACd61Mk=")</f>
        <v>#VALUE!</v>
      </c>
      <c r="GU56" t="e">
        <f>AND('5to. Perito_A'!R11,"AAAAACd61Mo=")</f>
        <v>#VALUE!</v>
      </c>
      <c r="GV56" t="e">
        <f>AND('5to. Perito_A'!S11,"AAAAACd61Ms=")</f>
        <v>#VALUE!</v>
      </c>
      <c r="GW56" t="e">
        <f>AND('5to. Perito_A'!T11,"AAAAACd61Mw=")</f>
        <v>#VALUE!</v>
      </c>
      <c r="GX56" t="e">
        <f>AND('5to. Perito_A'!#REF!,"AAAAACd61M0=")</f>
        <v>#REF!</v>
      </c>
      <c r="GY56" t="e">
        <f>AND('5to. Perito_A'!#REF!,"AAAAACd61M4=")</f>
        <v>#REF!</v>
      </c>
      <c r="GZ56" t="e">
        <f>AND('5to. Perito_A'!#REF!,"AAAAACd61M8=")</f>
        <v>#REF!</v>
      </c>
      <c r="HA56" t="e">
        <f>AND('5to. Perito_A'!#REF!,"AAAAACd61NA=")</f>
        <v>#REF!</v>
      </c>
      <c r="HB56" t="e">
        <f>AND('5to. Perito_A'!#REF!,"AAAAACd61NE=")</f>
        <v>#REF!</v>
      </c>
      <c r="HC56">
        <f>IF('5to. Perito_A'!12:12,"AAAAACd61NI=",0)</f>
        <v>0</v>
      </c>
      <c r="HD56" t="e">
        <f>AND('5to. Perito_A'!A12,"AAAAACd61NM=")</f>
        <v>#VALUE!</v>
      </c>
      <c r="HE56" t="e">
        <f>AND('5to. Perito_A'!B12,"AAAAACd61NQ=")</f>
        <v>#VALUE!</v>
      </c>
      <c r="HF56" t="e">
        <f>AND('5to. Perito_A'!C12,"AAAAACd61NU=")</f>
        <v>#VALUE!</v>
      </c>
      <c r="HG56" t="e">
        <f>AND('5to. Perito_A'!D12,"AAAAACd61NY=")</f>
        <v>#VALUE!</v>
      </c>
      <c r="HH56" t="e">
        <f>AND('5to. Perito_A'!E12,"AAAAACd61Nc=")</f>
        <v>#VALUE!</v>
      </c>
      <c r="HI56" t="e">
        <f>AND('5to. Perito_A'!F12,"AAAAACd61Ng=")</f>
        <v>#VALUE!</v>
      </c>
      <c r="HJ56" t="e">
        <f>AND('5to. Perito_A'!G12,"AAAAACd61Nk=")</f>
        <v>#VALUE!</v>
      </c>
      <c r="HK56" t="e">
        <f>AND('5to. Perito_A'!H12,"AAAAACd61No=")</f>
        <v>#VALUE!</v>
      </c>
      <c r="HL56" t="e">
        <f>AND('5to. Perito_A'!I12,"AAAAACd61Ns=")</f>
        <v>#VALUE!</v>
      </c>
      <c r="HM56" t="e">
        <f>AND('5to. Perito_A'!J12,"AAAAACd61Nw=")</f>
        <v>#VALUE!</v>
      </c>
      <c r="HN56" t="e">
        <f>AND('5to. Perito_A'!K12,"AAAAACd61N0=")</f>
        <v>#VALUE!</v>
      </c>
      <c r="HO56" t="e">
        <f>AND('5to. Perito_A'!L12,"AAAAACd61N4=")</f>
        <v>#VALUE!</v>
      </c>
      <c r="HP56" t="e">
        <f>AND('5to. Perito_A'!M12,"AAAAACd61N8=")</f>
        <v>#VALUE!</v>
      </c>
      <c r="HQ56" t="e">
        <f>AND('5to. Perito_A'!N12,"AAAAACd61OA=")</f>
        <v>#VALUE!</v>
      </c>
      <c r="HR56" t="e">
        <f>AND('5to. Perito_A'!O12,"AAAAACd61OE=")</f>
        <v>#VALUE!</v>
      </c>
      <c r="HS56" t="e">
        <f>AND('5to. Perito_A'!P12,"AAAAACd61OI=")</f>
        <v>#VALUE!</v>
      </c>
      <c r="HT56" t="e">
        <f>AND('5to. Perito_A'!Q12,"AAAAACd61OM=")</f>
        <v>#VALUE!</v>
      </c>
      <c r="HU56" t="e">
        <f>AND('5to. Perito_A'!R12,"AAAAACd61OQ=")</f>
        <v>#VALUE!</v>
      </c>
      <c r="HV56" t="e">
        <f>AND('5to. Perito_A'!S12,"AAAAACd61OU=")</f>
        <v>#VALUE!</v>
      </c>
      <c r="HW56" t="e">
        <f>AND('5to. Perito_A'!T12,"AAAAACd61OY=")</f>
        <v>#VALUE!</v>
      </c>
      <c r="HX56" t="e">
        <f>AND('5to. Perito_A'!#REF!,"AAAAACd61Oc=")</f>
        <v>#REF!</v>
      </c>
      <c r="HY56" t="e">
        <f>AND('5to. Perito_A'!#REF!,"AAAAACd61Og=")</f>
        <v>#REF!</v>
      </c>
      <c r="HZ56" t="e">
        <f>AND('5to. Perito_A'!#REF!,"AAAAACd61Ok=")</f>
        <v>#REF!</v>
      </c>
      <c r="IA56" t="e">
        <f>AND('5to. Perito_A'!#REF!,"AAAAACd61Oo=")</f>
        <v>#REF!</v>
      </c>
      <c r="IB56" t="e">
        <f>AND('5to. Perito_A'!#REF!,"AAAAACd61Os=")</f>
        <v>#REF!</v>
      </c>
      <c r="IC56">
        <f>IF('5to. Perito_A'!13:13,"AAAAACd61Ow=",0)</f>
        <v>0</v>
      </c>
      <c r="ID56" t="e">
        <f>AND('5to. Perito_A'!A13,"AAAAACd61O0=")</f>
        <v>#VALUE!</v>
      </c>
      <c r="IE56" t="e">
        <f>AND('5to. Perito_A'!B13,"AAAAACd61O4=")</f>
        <v>#VALUE!</v>
      </c>
      <c r="IF56" t="e">
        <f>AND('5to. Perito_A'!C13,"AAAAACd61O8=")</f>
        <v>#VALUE!</v>
      </c>
      <c r="IG56" t="e">
        <f>AND('5to. Perito_A'!D13,"AAAAACd61PA=")</f>
        <v>#VALUE!</v>
      </c>
      <c r="IH56" t="e">
        <f>AND('5to. Perito_A'!E13,"AAAAACd61PE=")</f>
        <v>#VALUE!</v>
      </c>
      <c r="II56" t="e">
        <f>AND('5to. Perito_A'!F13,"AAAAACd61PI=")</f>
        <v>#VALUE!</v>
      </c>
      <c r="IJ56" t="e">
        <f>AND('5to. Perito_A'!G13,"AAAAACd61PM=")</f>
        <v>#VALUE!</v>
      </c>
      <c r="IK56" t="e">
        <f>AND('5to. Perito_A'!H13,"AAAAACd61PQ=")</f>
        <v>#VALUE!</v>
      </c>
      <c r="IL56" t="e">
        <f>AND('5to. Perito_A'!I13,"AAAAACd61PU=")</f>
        <v>#VALUE!</v>
      </c>
      <c r="IM56" t="e">
        <f>AND('5to. Perito_A'!J13,"AAAAACd61PY=")</f>
        <v>#VALUE!</v>
      </c>
      <c r="IN56" t="e">
        <f>AND('5to. Perito_A'!K13,"AAAAACd61Pc=")</f>
        <v>#VALUE!</v>
      </c>
      <c r="IO56" t="e">
        <f>AND('5to. Perito_A'!L13,"AAAAACd61Pg=")</f>
        <v>#VALUE!</v>
      </c>
      <c r="IP56" t="e">
        <f>AND('5to. Perito_A'!M13,"AAAAACd61Pk=")</f>
        <v>#VALUE!</v>
      </c>
      <c r="IQ56" t="e">
        <f>AND('5to. Perito_A'!N13,"AAAAACd61Po=")</f>
        <v>#VALUE!</v>
      </c>
      <c r="IR56" t="e">
        <f>AND('5to. Perito_A'!O13,"AAAAACd61Ps=")</f>
        <v>#VALUE!</v>
      </c>
      <c r="IS56" t="e">
        <f>AND('5to. Perito_A'!P13,"AAAAACd61Pw=")</f>
        <v>#VALUE!</v>
      </c>
      <c r="IT56" t="e">
        <f>AND('5to. Perito_A'!Q13,"AAAAACd61P0=")</f>
        <v>#VALUE!</v>
      </c>
      <c r="IU56" t="e">
        <f>AND('5to. Perito_A'!R13,"AAAAACd61P4=")</f>
        <v>#VALUE!</v>
      </c>
      <c r="IV56" t="e">
        <f>AND('5to. Perito_A'!S13,"AAAAACd61P8=")</f>
        <v>#VALUE!</v>
      </c>
    </row>
    <row r="57" spans="1:256">
      <c r="A57" t="e">
        <f>AND('5to. Perito_A'!T13,"AAAAAB223QA=")</f>
        <v>#VALUE!</v>
      </c>
      <c r="B57" t="e">
        <f>AND('5to. Perito_A'!#REF!,"AAAAAB223QE=")</f>
        <v>#REF!</v>
      </c>
      <c r="C57" t="e">
        <f>AND('5to. Perito_A'!#REF!,"AAAAAB223QI=")</f>
        <v>#REF!</v>
      </c>
      <c r="D57" t="e">
        <f>AND('5to. Perito_A'!#REF!,"AAAAAB223QM=")</f>
        <v>#REF!</v>
      </c>
      <c r="E57" t="e">
        <f>AND('5to. Perito_A'!#REF!,"AAAAAB223QQ=")</f>
        <v>#REF!</v>
      </c>
      <c r="F57" t="e">
        <f>AND('5to. Perito_A'!#REF!,"AAAAAB223QU=")</f>
        <v>#REF!</v>
      </c>
      <c r="G57">
        <f>IF('5to. Perito_A'!14:14,"AAAAAB223QY=",0)</f>
        <v>0</v>
      </c>
      <c r="H57" t="e">
        <f>AND('5to. Perito_A'!A14,"AAAAAB223Qc=")</f>
        <v>#VALUE!</v>
      </c>
      <c r="I57" t="e">
        <f>AND('5to. Perito_A'!B14,"AAAAAB223Qg=")</f>
        <v>#VALUE!</v>
      </c>
      <c r="J57" t="e">
        <f>AND('5to. Perito_A'!C14,"AAAAAB223Qk=")</f>
        <v>#VALUE!</v>
      </c>
      <c r="K57" t="e">
        <f>AND('5to. Perito_A'!D14,"AAAAAB223Qo=")</f>
        <v>#VALUE!</v>
      </c>
      <c r="L57" t="e">
        <f>AND('5to. Perito_A'!E14,"AAAAAB223Qs=")</f>
        <v>#VALUE!</v>
      </c>
      <c r="M57" t="e">
        <f>AND('5to. Perito_A'!F14,"AAAAAB223Qw=")</f>
        <v>#VALUE!</v>
      </c>
      <c r="N57" t="e">
        <f>AND('5to. Perito_A'!G14,"AAAAAB223Q0=")</f>
        <v>#VALUE!</v>
      </c>
      <c r="O57" t="e">
        <f>AND('5to. Perito_A'!H14,"AAAAAB223Q4=")</f>
        <v>#VALUE!</v>
      </c>
      <c r="P57" t="e">
        <f>AND('5to. Perito_A'!I14,"AAAAAB223Q8=")</f>
        <v>#VALUE!</v>
      </c>
      <c r="Q57" t="e">
        <f>AND('5to. Perito_A'!J14,"AAAAAB223RA=")</f>
        <v>#VALUE!</v>
      </c>
      <c r="R57" t="e">
        <f>AND('5to. Perito_A'!K14,"AAAAAB223RE=")</f>
        <v>#VALUE!</v>
      </c>
      <c r="S57" t="e">
        <f>AND('5to. Perito_A'!L14,"AAAAAB223RI=")</f>
        <v>#VALUE!</v>
      </c>
      <c r="T57" t="e">
        <f>AND('5to. Perito_A'!M14,"AAAAAB223RM=")</f>
        <v>#VALUE!</v>
      </c>
      <c r="U57" t="e">
        <f>AND('5to. Perito_A'!N14,"AAAAAB223RQ=")</f>
        <v>#VALUE!</v>
      </c>
      <c r="V57" t="e">
        <f>AND('5to. Perito_A'!O14,"AAAAAB223RU=")</f>
        <v>#VALUE!</v>
      </c>
      <c r="W57" t="e">
        <f>AND('5to. Perito_A'!P14,"AAAAAB223RY=")</f>
        <v>#VALUE!</v>
      </c>
      <c r="X57" t="e">
        <f>AND('5to. Perito_A'!Q14,"AAAAAB223Rc=")</f>
        <v>#VALUE!</v>
      </c>
      <c r="Y57" t="e">
        <f>AND('5to. Perito_A'!R14,"AAAAAB223Rg=")</f>
        <v>#VALUE!</v>
      </c>
      <c r="Z57" t="e">
        <f>AND('5to. Perito_A'!S14,"AAAAAB223Rk=")</f>
        <v>#VALUE!</v>
      </c>
      <c r="AA57" t="e">
        <f>AND('5to. Perito_A'!T14,"AAAAAB223Ro=")</f>
        <v>#VALUE!</v>
      </c>
      <c r="AB57" t="e">
        <f>AND('5to. Perito_A'!#REF!,"AAAAAB223Rs=")</f>
        <v>#REF!</v>
      </c>
      <c r="AC57" t="e">
        <f>AND('5to. Perito_A'!#REF!,"AAAAAB223Rw=")</f>
        <v>#REF!</v>
      </c>
      <c r="AD57" t="e">
        <f>AND('5to. Perito_A'!#REF!,"AAAAAB223R0=")</f>
        <v>#REF!</v>
      </c>
      <c r="AE57" t="e">
        <f>AND('5to. Perito_A'!#REF!,"AAAAAB223R4=")</f>
        <v>#REF!</v>
      </c>
      <c r="AF57" t="e">
        <f>AND('5to. Perito_A'!#REF!,"AAAAAB223R8=")</f>
        <v>#REF!</v>
      </c>
      <c r="AG57">
        <f>IF('5to. Perito_A'!15:15,"AAAAAB223SA=",0)</f>
        <v>0</v>
      </c>
      <c r="AH57" t="e">
        <f>AND('5to. Perito_A'!A15,"AAAAAB223SE=")</f>
        <v>#VALUE!</v>
      </c>
      <c r="AI57" t="e">
        <f>AND('5to. Perito_A'!B15,"AAAAAB223SI=")</f>
        <v>#VALUE!</v>
      </c>
      <c r="AJ57" t="e">
        <f>AND('5to. Perito_A'!C15,"AAAAAB223SM=")</f>
        <v>#VALUE!</v>
      </c>
      <c r="AK57" t="e">
        <f>AND('5to. Perito_A'!D15,"AAAAAB223SQ=")</f>
        <v>#VALUE!</v>
      </c>
      <c r="AL57" t="e">
        <f>AND('5to. Perito_A'!E15,"AAAAAB223SU=")</f>
        <v>#VALUE!</v>
      </c>
      <c r="AM57" t="e">
        <f>AND('5to. Perito_A'!F15,"AAAAAB223SY=")</f>
        <v>#VALUE!</v>
      </c>
      <c r="AN57" t="e">
        <f>AND('5to. Perito_A'!G15,"AAAAAB223Sc=")</f>
        <v>#VALUE!</v>
      </c>
      <c r="AO57" t="e">
        <f>AND('5to. Perito_A'!H15,"AAAAAB223Sg=")</f>
        <v>#VALUE!</v>
      </c>
      <c r="AP57" t="e">
        <f>AND('5to. Perito_A'!I15,"AAAAAB223Sk=")</f>
        <v>#VALUE!</v>
      </c>
      <c r="AQ57" t="e">
        <f>AND('5to. Perito_A'!J15,"AAAAAB223So=")</f>
        <v>#VALUE!</v>
      </c>
      <c r="AR57" t="e">
        <f>AND('5to. Perito_A'!K15,"AAAAAB223Ss=")</f>
        <v>#VALUE!</v>
      </c>
      <c r="AS57" t="e">
        <f>AND('5to. Perito_A'!L15,"AAAAAB223Sw=")</f>
        <v>#VALUE!</v>
      </c>
      <c r="AT57" t="e">
        <f>AND('5to. Perito_A'!M15,"AAAAAB223S0=")</f>
        <v>#VALUE!</v>
      </c>
      <c r="AU57" t="e">
        <f>AND('5to. Perito_A'!N15,"AAAAAB223S4=")</f>
        <v>#VALUE!</v>
      </c>
      <c r="AV57" t="e">
        <f>AND('5to. Perito_A'!O15,"AAAAAB223S8=")</f>
        <v>#VALUE!</v>
      </c>
      <c r="AW57" t="e">
        <f>AND('5to. Perito_A'!P15,"AAAAAB223TA=")</f>
        <v>#VALUE!</v>
      </c>
      <c r="AX57" t="e">
        <f>AND('5to. Perito_A'!Q15,"AAAAAB223TE=")</f>
        <v>#VALUE!</v>
      </c>
      <c r="AY57" t="e">
        <f>AND('5to. Perito_A'!R15,"AAAAAB223TI=")</f>
        <v>#VALUE!</v>
      </c>
      <c r="AZ57" t="e">
        <f>AND('5to. Perito_A'!S15,"AAAAAB223TM=")</f>
        <v>#VALUE!</v>
      </c>
      <c r="BA57" t="e">
        <f>AND('5to. Perito_A'!T15,"AAAAAB223TQ=")</f>
        <v>#VALUE!</v>
      </c>
      <c r="BB57" t="e">
        <f>AND('5to. Perito_A'!#REF!,"AAAAAB223TU=")</f>
        <v>#REF!</v>
      </c>
      <c r="BC57" t="e">
        <f>AND('5to. Perito_A'!#REF!,"AAAAAB223TY=")</f>
        <v>#REF!</v>
      </c>
      <c r="BD57" t="e">
        <f>AND('5to. Perito_A'!#REF!,"AAAAAB223Tc=")</f>
        <v>#REF!</v>
      </c>
      <c r="BE57" t="e">
        <f>AND('5to. Perito_A'!#REF!,"AAAAAB223Tg=")</f>
        <v>#REF!</v>
      </c>
      <c r="BF57" t="e">
        <f>AND('5to. Perito_A'!#REF!,"AAAAAB223Tk=")</f>
        <v>#REF!</v>
      </c>
      <c r="BG57">
        <f>IF('5to. Perito_A'!16:16,"AAAAAB223To=",0)</f>
        <v>0</v>
      </c>
      <c r="BH57" t="e">
        <f>AND('5to. Perito_A'!A16,"AAAAAB223Ts=")</f>
        <v>#VALUE!</v>
      </c>
      <c r="BI57" t="e">
        <f>AND('5to. Perito_A'!B16,"AAAAAB223Tw=")</f>
        <v>#VALUE!</v>
      </c>
      <c r="BJ57" t="e">
        <f>AND('5to. Perito_A'!C16,"AAAAAB223T0=")</f>
        <v>#VALUE!</v>
      </c>
      <c r="BK57" t="e">
        <f>AND('5to. Perito_A'!D16,"AAAAAB223T4=")</f>
        <v>#VALUE!</v>
      </c>
      <c r="BL57" t="e">
        <f>AND('5to. Perito_A'!E16,"AAAAAB223T8=")</f>
        <v>#VALUE!</v>
      </c>
      <c r="BM57" t="e">
        <f>AND('5to. Perito_A'!F16,"AAAAAB223UA=")</f>
        <v>#VALUE!</v>
      </c>
      <c r="BN57" t="e">
        <f>AND('5to. Perito_A'!G16,"AAAAAB223UE=")</f>
        <v>#VALUE!</v>
      </c>
      <c r="BO57" t="e">
        <f>AND('5to. Perito_A'!H16,"AAAAAB223UI=")</f>
        <v>#VALUE!</v>
      </c>
      <c r="BP57" t="e">
        <f>AND('5to. Perito_A'!I16,"AAAAAB223UM=")</f>
        <v>#VALUE!</v>
      </c>
      <c r="BQ57" t="e">
        <f>AND('5to. Perito_A'!J16,"AAAAAB223UQ=")</f>
        <v>#VALUE!</v>
      </c>
      <c r="BR57" t="e">
        <f>AND('5to. Perito_A'!K16,"AAAAAB223UU=")</f>
        <v>#VALUE!</v>
      </c>
      <c r="BS57" t="e">
        <f>AND('5to. Perito_A'!L16,"AAAAAB223UY=")</f>
        <v>#VALUE!</v>
      </c>
      <c r="BT57" t="e">
        <f>AND('5to. Perito_A'!M16,"AAAAAB223Uc=")</f>
        <v>#VALUE!</v>
      </c>
      <c r="BU57" t="e">
        <f>AND('5to. Perito_A'!N16,"AAAAAB223Ug=")</f>
        <v>#VALUE!</v>
      </c>
      <c r="BV57" t="e">
        <f>AND('5to. Perito_A'!O16,"AAAAAB223Uk=")</f>
        <v>#VALUE!</v>
      </c>
      <c r="BW57" t="e">
        <f>AND('5to. Perito_A'!P16,"AAAAAB223Uo=")</f>
        <v>#VALUE!</v>
      </c>
      <c r="BX57" t="e">
        <f>AND('5to. Perito_A'!Q16,"AAAAAB223Us=")</f>
        <v>#VALUE!</v>
      </c>
      <c r="BY57" t="e">
        <f>AND('5to. Perito_A'!R16,"AAAAAB223Uw=")</f>
        <v>#VALUE!</v>
      </c>
      <c r="BZ57" t="e">
        <f>AND('5to. Perito_A'!S16,"AAAAAB223U0=")</f>
        <v>#VALUE!</v>
      </c>
      <c r="CA57" t="e">
        <f>AND('5to. Perito_A'!T16,"AAAAAB223U4=")</f>
        <v>#VALUE!</v>
      </c>
      <c r="CB57" t="e">
        <f>AND('5to. Perito_A'!#REF!,"AAAAAB223U8=")</f>
        <v>#REF!</v>
      </c>
      <c r="CC57" t="e">
        <f>AND('5to. Perito_A'!#REF!,"AAAAAB223VA=")</f>
        <v>#REF!</v>
      </c>
      <c r="CD57" t="e">
        <f>AND('5to. Perito_A'!#REF!,"AAAAAB223VE=")</f>
        <v>#REF!</v>
      </c>
      <c r="CE57" t="e">
        <f>AND('5to. Perito_A'!#REF!,"AAAAAB223VI=")</f>
        <v>#REF!</v>
      </c>
      <c r="CF57" t="e">
        <f>AND('5to. Perito_A'!#REF!,"AAAAAB223VM=")</f>
        <v>#REF!</v>
      </c>
      <c r="CG57">
        <f>IF('5to. Perito_A'!17:17,"AAAAAB223VQ=",0)</f>
        <v>0</v>
      </c>
      <c r="CH57" t="e">
        <f>AND('5to. Perito_A'!A17,"AAAAAB223VU=")</f>
        <v>#VALUE!</v>
      </c>
      <c r="CI57" t="e">
        <f>AND('5to. Perito_A'!B17,"AAAAAB223VY=")</f>
        <v>#VALUE!</v>
      </c>
      <c r="CJ57" t="e">
        <f>AND('5to. Perito_A'!C17,"AAAAAB223Vc=")</f>
        <v>#VALUE!</v>
      </c>
      <c r="CK57" t="e">
        <f>AND('5to. Perito_A'!D17,"AAAAAB223Vg=")</f>
        <v>#VALUE!</v>
      </c>
      <c r="CL57" t="e">
        <f>AND('5to. Perito_A'!E17,"AAAAAB223Vk=")</f>
        <v>#VALUE!</v>
      </c>
      <c r="CM57" t="e">
        <f>AND('5to. Perito_A'!F17,"AAAAAB223Vo=")</f>
        <v>#VALUE!</v>
      </c>
      <c r="CN57" t="e">
        <f>AND('5to. Perito_A'!G17,"AAAAAB223Vs=")</f>
        <v>#VALUE!</v>
      </c>
      <c r="CO57" t="e">
        <f>AND('5to. Perito_A'!H17,"AAAAAB223Vw=")</f>
        <v>#VALUE!</v>
      </c>
      <c r="CP57" t="e">
        <f>AND('5to. Perito_A'!I17,"AAAAAB223V0=")</f>
        <v>#VALUE!</v>
      </c>
      <c r="CQ57" t="e">
        <f>AND('5to. Perito_A'!J17,"AAAAAB223V4=")</f>
        <v>#VALUE!</v>
      </c>
      <c r="CR57" t="e">
        <f>AND('5to. Perito_A'!K17,"AAAAAB223V8=")</f>
        <v>#VALUE!</v>
      </c>
      <c r="CS57" t="e">
        <f>AND('5to. Perito_A'!L17,"AAAAAB223WA=")</f>
        <v>#VALUE!</v>
      </c>
      <c r="CT57" t="e">
        <f>AND('5to. Perito_A'!M17,"AAAAAB223WE=")</f>
        <v>#VALUE!</v>
      </c>
      <c r="CU57" t="e">
        <f>AND('5to. Perito_A'!N17,"AAAAAB223WI=")</f>
        <v>#VALUE!</v>
      </c>
      <c r="CV57" t="e">
        <f>AND('5to. Perito_A'!O17,"AAAAAB223WM=")</f>
        <v>#VALUE!</v>
      </c>
      <c r="CW57" t="e">
        <f>AND('5to. Perito_A'!P17,"AAAAAB223WQ=")</f>
        <v>#VALUE!</v>
      </c>
      <c r="CX57" t="e">
        <f>AND('5to. Perito_A'!Q17,"AAAAAB223WU=")</f>
        <v>#VALUE!</v>
      </c>
      <c r="CY57" t="e">
        <f>AND('5to. Perito_A'!R17,"AAAAAB223WY=")</f>
        <v>#VALUE!</v>
      </c>
      <c r="CZ57" t="e">
        <f>AND('5to. Perito_A'!S17,"AAAAAB223Wc=")</f>
        <v>#VALUE!</v>
      </c>
      <c r="DA57" t="e">
        <f>AND('5to. Perito_A'!T17,"AAAAAB223Wg=")</f>
        <v>#VALUE!</v>
      </c>
      <c r="DB57" t="e">
        <f>AND('5to. Perito_A'!#REF!,"AAAAAB223Wk=")</f>
        <v>#REF!</v>
      </c>
      <c r="DC57" t="e">
        <f>AND('5to. Perito_A'!#REF!,"AAAAAB223Wo=")</f>
        <v>#REF!</v>
      </c>
      <c r="DD57" t="e">
        <f>AND('5to. Perito_A'!#REF!,"AAAAAB223Ws=")</f>
        <v>#REF!</v>
      </c>
      <c r="DE57" t="e">
        <f>AND('5to. Perito_A'!#REF!,"AAAAAB223Ww=")</f>
        <v>#REF!</v>
      </c>
      <c r="DF57" t="e">
        <f>AND('5to. Perito_A'!#REF!,"AAAAAB223W0=")</f>
        <v>#REF!</v>
      </c>
      <c r="DG57">
        <f>IF('5to. Perito_A'!18:18,"AAAAAB223W4=",0)</f>
        <v>0</v>
      </c>
      <c r="DH57" t="e">
        <f>AND('5to. Perito_A'!A18,"AAAAAB223W8=")</f>
        <v>#VALUE!</v>
      </c>
      <c r="DI57" t="e">
        <f>AND('5to. Perito_A'!B18,"AAAAAB223XA=")</f>
        <v>#VALUE!</v>
      </c>
      <c r="DJ57" t="e">
        <f>AND('5to. Perito_A'!C18,"AAAAAB223XE=")</f>
        <v>#VALUE!</v>
      </c>
      <c r="DK57" t="e">
        <f>AND('5to. Perito_A'!D18,"AAAAAB223XI=")</f>
        <v>#VALUE!</v>
      </c>
      <c r="DL57" t="e">
        <f>AND('5to. Perito_A'!E18,"AAAAAB223XM=")</f>
        <v>#VALUE!</v>
      </c>
      <c r="DM57" t="e">
        <f>AND('5to. Perito_A'!F18,"AAAAAB223XQ=")</f>
        <v>#VALUE!</v>
      </c>
      <c r="DN57" t="e">
        <f>AND('5to. Perito_A'!G18,"AAAAAB223XU=")</f>
        <v>#VALUE!</v>
      </c>
      <c r="DO57" t="e">
        <f>AND('5to. Perito_A'!H18,"AAAAAB223XY=")</f>
        <v>#VALUE!</v>
      </c>
      <c r="DP57" t="e">
        <f>AND('5to. Perito_A'!I18,"AAAAAB223Xc=")</f>
        <v>#VALUE!</v>
      </c>
      <c r="DQ57" t="e">
        <f>AND('5to. Perito_A'!J18,"AAAAAB223Xg=")</f>
        <v>#VALUE!</v>
      </c>
      <c r="DR57" t="e">
        <f>AND('5to. Perito_A'!K18,"AAAAAB223Xk=")</f>
        <v>#VALUE!</v>
      </c>
      <c r="DS57" t="e">
        <f>AND('5to. Perito_A'!L18,"AAAAAB223Xo=")</f>
        <v>#VALUE!</v>
      </c>
      <c r="DT57" t="e">
        <f>AND('5to. Perito_A'!M18,"AAAAAB223Xs=")</f>
        <v>#VALUE!</v>
      </c>
      <c r="DU57" t="e">
        <f>AND('5to. Perito_A'!N18,"AAAAAB223Xw=")</f>
        <v>#VALUE!</v>
      </c>
      <c r="DV57" t="e">
        <f>AND('5to. Perito_A'!O18,"AAAAAB223X0=")</f>
        <v>#VALUE!</v>
      </c>
      <c r="DW57" t="e">
        <f>AND('5to. Perito_A'!P18,"AAAAAB223X4=")</f>
        <v>#VALUE!</v>
      </c>
      <c r="DX57" t="e">
        <f>AND('5to. Perito_A'!Q18,"AAAAAB223X8=")</f>
        <v>#VALUE!</v>
      </c>
      <c r="DY57" t="e">
        <f>AND('5to. Perito_A'!R18,"AAAAAB223YA=")</f>
        <v>#VALUE!</v>
      </c>
      <c r="DZ57" t="e">
        <f>AND('5to. Perito_A'!S18,"AAAAAB223YE=")</f>
        <v>#VALUE!</v>
      </c>
      <c r="EA57" t="e">
        <f>AND('5to. Perito_A'!T18,"AAAAAB223YI=")</f>
        <v>#VALUE!</v>
      </c>
      <c r="EB57" t="e">
        <f>AND('5to. Perito_A'!#REF!,"AAAAAB223YM=")</f>
        <v>#REF!</v>
      </c>
      <c r="EC57" t="e">
        <f>AND('5to. Perito_A'!#REF!,"AAAAAB223YQ=")</f>
        <v>#REF!</v>
      </c>
      <c r="ED57" t="e">
        <f>AND('5to. Perito_A'!#REF!,"AAAAAB223YU=")</f>
        <v>#REF!</v>
      </c>
      <c r="EE57" t="e">
        <f>AND('5to. Perito_A'!#REF!,"AAAAAB223YY=")</f>
        <v>#REF!</v>
      </c>
      <c r="EF57" t="e">
        <f>AND('5to. Perito_A'!#REF!,"AAAAAB223Yc=")</f>
        <v>#REF!</v>
      </c>
      <c r="EG57">
        <f>IF('5to. Perito_A'!19:19,"AAAAAB223Yg=",0)</f>
        <v>0</v>
      </c>
      <c r="EH57" t="e">
        <f>AND('5to. Perito_A'!A19,"AAAAAB223Yk=")</f>
        <v>#VALUE!</v>
      </c>
      <c r="EI57" t="e">
        <f>AND('5to. Perito_A'!B19,"AAAAAB223Yo=")</f>
        <v>#VALUE!</v>
      </c>
      <c r="EJ57" t="e">
        <f>AND('5to. Perito_A'!C19,"AAAAAB223Ys=")</f>
        <v>#VALUE!</v>
      </c>
      <c r="EK57" t="e">
        <f>AND('5to. Perito_A'!D19,"AAAAAB223Yw=")</f>
        <v>#VALUE!</v>
      </c>
      <c r="EL57" t="e">
        <f>AND('5to. Perito_A'!E19,"AAAAAB223Y0=")</f>
        <v>#VALUE!</v>
      </c>
      <c r="EM57" t="e">
        <f>AND('5to. Perito_A'!F19,"AAAAAB223Y4=")</f>
        <v>#VALUE!</v>
      </c>
      <c r="EN57" t="e">
        <f>AND('5to. Perito_A'!G19,"AAAAAB223Y8=")</f>
        <v>#VALUE!</v>
      </c>
      <c r="EO57" t="e">
        <f>AND('5to. Perito_A'!H19,"AAAAAB223ZA=")</f>
        <v>#VALUE!</v>
      </c>
      <c r="EP57" t="e">
        <f>AND('5to. Perito_A'!I19,"AAAAAB223ZE=")</f>
        <v>#VALUE!</v>
      </c>
      <c r="EQ57" t="e">
        <f>AND('5to. Perito_A'!J19,"AAAAAB223ZI=")</f>
        <v>#VALUE!</v>
      </c>
      <c r="ER57" t="e">
        <f>AND('5to. Perito_A'!K19,"AAAAAB223ZM=")</f>
        <v>#VALUE!</v>
      </c>
      <c r="ES57" t="e">
        <f>AND('5to. Perito_A'!L19,"AAAAAB223ZQ=")</f>
        <v>#VALUE!</v>
      </c>
      <c r="ET57" t="e">
        <f>AND('5to. Perito_A'!M19,"AAAAAB223ZU=")</f>
        <v>#VALUE!</v>
      </c>
      <c r="EU57" t="e">
        <f>AND('5to. Perito_A'!N19,"AAAAAB223ZY=")</f>
        <v>#VALUE!</v>
      </c>
      <c r="EV57" t="e">
        <f>AND('5to. Perito_A'!O19,"AAAAAB223Zc=")</f>
        <v>#VALUE!</v>
      </c>
      <c r="EW57" t="e">
        <f>AND('5to. Perito_A'!P19,"AAAAAB223Zg=")</f>
        <v>#VALUE!</v>
      </c>
      <c r="EX57" t="e">
        <f>AND('5to. Perito_A'!Q19,"AAAAAB223Zk=")</f>
        <v>#VALUE!</v>
      </c>
      <c r="EY57" t="e">
        <f>AND('5to. Perito_A'!R19,"AAAAAB223Zo=")</f>
        <v>#VALUE!</v>
      </c>
      <c r="EZ57" t="e">
        <f>AND('5to. Perito_A'!S19,"AAAAAB223Zs=")</f>
        <v>#VALUE!</v>
      </c>
      <c r="FA57" t="e">
        <f>AND('5to. Perito_A'!T19,"AAAAAB223Zw=")</f>
        <v>#VALUE!</v>
      </c>
      <c r="FB57" t="e">
        <f>AND('5to. Perito_A'!#REF!,"AAAAAB223Z0=")</f>
        <v>#REF!</v>
      </c>
      <c r="FC57" t="e">
        <f>AND('5to. Perito_A'!#REF!,"AAAAAB223Z4=")</f>
        <v>#REF!</v>
      </c>
      <c r="FD57" t="e">
        <f>AND('5to. Perito_A'!#REF!,"AAAAAB223Z8=")</f>
        <v>#REF!</v>
      </c>
      <c r="FE57" t="e">
        <f>AND('5to. Perito_A'!#REF!,"AAAAAB223aA=")</f>
        <v>#REF!</v>
      </c>
      <c r="FF57" t="e">
        <f>AND('5to. Perito_A'!#REF!,"AAAAAB223aE=")</f>
        <v>#REF!</v>
      </c>
      <c r="FG57">
        <f>IF('5to. Perito_A'!20:20,"AAAAAB223aI=",0)</f>
        <v>0</v>
      </c>
      <c r="FH57" t="e">
        <f>AND('5to. Perito_A'!A20,"AAAAAB223aM=")</f>
        <v>#VALUE!</v>
      </c>
      <c r="FI57" t="e">
        <f>AND('5to. Perito_A'!B20,"AAAAAB223aQ=")</f>
        <v>#VALUE!</v>
      </c>
      <c r="FJ57" t="e">
        <f>AND('5to. Perito_A'!C20,"AAAAAB223aU=")</f>
        <v>#VALUE!</v>
      </c>
      <c r="FK57" t="e">
        <f>AND('5to. Perito_A'!D20,"AAAAAB223aY=")</f>
        <v>#VALUE!</v>
      </c>
      <c r="FL57" t="e">
        <f>AND('5to. Perito_A'!E20,"AAAAAB223ac=")</f>
        <v>#VALUE!</v>
      </c>
      <c r="FM57" t="e">
        <f>AND('5to. Perito_A'!F20,"AAAAAB223ag=")</f>
        <v>#VALUE!</v>
      </c>
      <c r="FN57" t="e">
        <f>AND('5to. Perito_A'!G20,"AAAAAB223ak=")</f>
        <v>#VALUE!</v>
      </c>
      <c r="FO57" t="e">
        <f>AND('5to. Perito_A'!H20,"AAAAAB223ao=")</f>
        <v>#VALUE!</v>
      </c>
      <c r="FP57" t="e">
        <f>AND('5to. Perito_A'!I20,"AAAAAB223as=")</f>
        <v>#VALUE!</v>
      </c>
      <c r="FQ57" t="e">
        <f>AND('5to. Perito_A'!J20,"AAAAAB223aw=")</f>
        <v>#VALUE!</v>
      </c>
      <c r="FR57" t="e">
        <f>AND('5to. Perito_A'!K20,"AAAAAB223a0=")</f>
        <v>#VALUE!</v>
      </c>
      <c r="FS57" t="e">
        <f>AND('5to. Perito_A'!L20,"AAAAAB223a4=")</f>
        <v>#VALUE!</v>
      </c>
      <c r="FT57" t="e">
        <f>AND('5to. Perito_A'!M20,"AAAAAB223a8=")</f>
        <v>#VALUE!</v>
      </c>
      <c r="FU57" t="e">
        <f>AND('5to. Perito_A'!N20,"AAAAAB223bA=")</f>
        <v>#VALUE!</v>
      </c>
      <c r="FV57" t="e">
        <f>AND('5to. Perito_A'!O20,"AAAAAB223bE=")</f>
        <v>#VALUE!</v>
      </c>
      <c r="FW57" t="e">
        <f>AND('5to. Perito_A'!P20,"AAAAAB223bI=")</f>
        <v>#VALUE!</v>
      </c>
      <c r="FX57" t="e">
        <f>AND('5to. Perito_A'!Q20,"AAAAAB223bM=")</f>
        <v>#VALUE!</v>
      </c>
      <c r="FY57" t="e">
        <f>AND('5to. Perito_A'!R20,"AAAAAB223bQ=")</f>
        <v>#VALUE!</v>
      </c>
      <c r="FZ57" t="e">
        <f>AND('5to. Perito_A'!S20,"AAAAAB223bU=")</f>
        <v>#VALUE!</v>
      </c>
      <c r="GA57" t="e">
        <f>AND('5to. Perito_A'!T20,"AAAAAB223bY=")</f>
        <v>#VALUE!</v>
      </c>
      <c r="GB57" t="e">
        <f>AND('5to. Perito_A'!#REF!,"AAAAAB223bc=")</f>
        <v>#REF!</v>
      </c>
      <c r="GC57" t="e">
        <f>AND('5to. Perito_A'!#REF!,"AAAAAB223bg=")</f>
        <v>#REF!</v>
      </c>
      <c r="GD57" t="e">
        <f>AND('5to. Perito_A'!#REF!,"AAAAAB223bk=")</f>
        <v>#REF!</v>
      </c>
      <c r="GE57" t="e">
        <f>AND('5to. Perito_A'!#REF!,"AAAAAB223bo=")</f>
        <v>#REF!</v>
      </c>
      <c r="GF57" t="e">
        <f>AND('5to. Perito_A'!#REF!,"AAAAAB223bs=")</f>
        <v>#REF!</v>
      </c>
      <c r="GG57">
        <f>IF('5to. Perito_A'!21:21,"AAAAAB223bw=",0)</f>
        <v>0</v>
      </c>
      <c r="GH57" t="e">
        <f>AND('5to. Perito_A'!A21,"AAAAAB223b0=")</f>
        <v>#VALUE!</v>
      </c>
      <c r="GI57" t="e">
        <f>AND('5to. Perito_A'!B21,"AAAAAB223b4=")</f>
        <v>#VALUE!</v>
      </c>
      <c r="GJ57" t="e">
        <f>AND('5to. Perito_A'!C21,"AAAAAB223b8=")</f>
        <v>#VALUE!</v>
      </c>
      <c r="GK57" t="e">
        <f>AND('5to. Perito_A'!D21,"AAAAAB223cA=")</f>
        <v>#VALUE!</v>
      </c>
      <c r="GL57" t="e">
        <f>AND('5to. Perito_A'!E21,"AAAAAB223cE=")</f>
        <v>#VALUE!</v>
      </c>
      <c r="GM57" t="e">
        <f>AND('5to. Perito_A'!F21,"AAAAAB223cI=")</f>
        <v>#VALUE!</v>
      </c>
      <c r="GN57" t="e">
        <f>AND('5to. Perito_A'!G21,"AAAAAB223cM=")</f>
        <v>#VALUE!</v>
      </c>
      <c r="GO57" t="e">
        <f>AND('5to. Perito_A'!H21,"AAAAAB223cQ=")</f>
        <v>#VALUE!</v>
      </c>
      <c r="GP57" t="e">
        <f>AND('5to. Perito_A'!I21,"AAAAAB223cU=")</f>
        <v>#VALUE!</v>
      </c>
      <c r="GQ57" t="e">
        <f>AND('5to. Perito_A'!J21,"AAAAAB223cY=")</f>
        <v>#VALUE!</v>
      </c>
      <c r="GR57" t="e">
        <f>AND('5to. Perito_A'!K21,"AAAAAB223cc=")</f>
        <v>#VALUE!</v>
      </c>
      <c r="GS57" t="e">
        <f>AND('5to. Perito_A'!L21,"AAAAAB223cg=")</f>
        <v>#VALUE!</v>
      </c>
      <c r="GT57" t="e">
        <f>AND('5to. Perito_A'!M21,"AAAAAB223ck=")</f>
        <v>#VALUE!</v>
      </c>
      <c r="GU57" t="e">
        <f>AND('5to. Perito_A'!N21,"AAAAAB223co=")</f>
        <v>#VALUE!</v>
      </c>
      <c r="GV57" t="e">
        <f>AND('5to. Perito_A'!O21,"AAAAAB223cs=")</f>
        <v>#VALUE!</v>
      </c>
      <c r="GW57" t="e">
        <f>AND('5to. Perito_A'!P21,"AAAAAB223cw=")</f>
        <v>#VALUE!</v>
      </c>
      <c r="GX57" t="e">
        <f>AND('5to. Perito_A'!Q21,"AAAAAB223c0=")</f>
        <v>#VALUE!</v>
      </c>
      <c r="GY57" t="e">
        <f>AND('5to. Perito_A'!R21,"AAAAAB223c4=")</f>
        <v>#VALUE!</v>
      </c>
      <c r="GZ57" t="e">
        <f>AND('5to. Perito_A'!S21,"AAAAAB223c8=")</f>
        <v>#VALUE!</v>
      </c>
      <c r="HA57" t="e">
        <f>AND('5to. Perito_A'!T21,"AAAAAB223dA=")</f>
        <v>#VALUE!</v>
      </c>
      <c r="HB57" t="e">
        <f>AND('5to. Perito_A'!#REF!,"AAAAAB223dE=")</f>
        <v>#REF!</v>
      </c>
      <c r="HC57" t="e">
        <f>AND('5to. Perito_A'!#REF!,"AAAAAB223dI=")</f>
        <v>#REF!</v>
      </c>
      <c r="HD57" t="e">
        <f>AND('5to. Perito_A'!#REF!,"AAAAAB223dM=")</f>
        <v>#REF!</v>
      </c>
      <c r="HE57" t="e">
        <f>AND('5to. Perito_A'!#REF!,"AAAAAB223dQ=")</f>
        <v>#REF!</v>
      </c>
      <c r="HF57" t="e">
        <f>AND('5to. Perito_A'!#REF!,"AAAAAB223dU=")</f>
        <v>#REF!</v>
      </c>
      <c r="HG57">
        <f>IF('5to. Perito_A'!22:22,"AAAAAB223dY=",0)</f>
        <v>0</v>
      </c>
      <c r="HH57" t="e">
        <f>AND('5to. Perito_A'!A22,"AAAAAB223dc=")</f>
        <v>#VALUE!</v>
      </c>
      <c r="HI57" t="e">
        <f>AND('5to. Perito_A'!B22,"AAAAAB223dg=")</f>
        <v>#VALUE!</v>
      </c>
      <c r="HJ57" t="e">
        <f>AND('5to. Perito_A'!C22,"AAAAAB223dk=")</f>
        <v>#VALUE!</v>
      </c>
      <c r="HK57" t="e">
        <f>AND('5to. Perito_A'!D22,"AAAAAB223do=")</f>
        <v>#VALUE!</v>
      </c>
      <c r="HL57" t="e">
        <f>AND('5to. Perito_A'!E22,"AAAAAB223ds=")</f>
        <v>#VALUE!</v>
      </c>
      <c r="HM57" t="e">
        <f>AND('5to. Perito_A'!F22,"AAAAAB223dw=")</f>
        <v>#VALUE!</v>
      </c>
      <c r="HN57" t="e">
        <f>AND('5to. Perito_A'!G22,"AAAAAB223d0=")</f>
        <v>#VALUE!</v>
      </c>
      <c r="HO57" t="e">
        <f>AND('5to. Perito_A'!H22,"AAAAAB223d4=")</f>
        <v>#VALUE!</v>
      </c>
      <c r="HP57" t="e">
        <f>AND('5to. Perito_A'!I22,"AAAAAB223d8=")</f>
        <v>#VALUE!</v>
      </c>
      <c r="HQ57" t="e">
        <f>AND('5to. Perito_A'!J22,"AAAAAB223eA=")</f>
        <v>#VALUE!</v>
      </c>
      <c r="HR57" t="e">
        <f>AND('5to. Perito_A'!K22,"AAAAAB223eE=")</f>
        <v>#VALUE!</v>
      </c>
      <c r="HS57" t="e">
        <f>AND('5to. Perito_A'!L22,"AAAAAB223eI=")</f>
        <v>#VALUE!</v>
      </c>
      <c r="HT57" t="e">
        <f>AND('5to. Perito_A'!M22,"AAAAAB223eM=")</f>
        <v>#VALUE!</v>
      </c>
      <c r="HU57" t="e">
        <f>AND('5to. Perito_A'!N22,"AAAAAB223eQ=")</f>
        <v>#VALUE!</v>
      </c>
      <c r="HV57" t="e">
        <f>AND('5to. Perito_A'!O22,"AAAAAB223eU=")</f>
        <v>#VALUE!</v>
      </c>
      <c r="HW57" t="e">
        <f>AND('5to. Perito_A'!P22,"AAAAAB223eY=")</f>
        <v>#VALUE!</v>
      </c>
      <c r="HX57" t="e">
        <f>AND('5to. Perito_A'!Q22,"AAAAAB223ec=")</f>
        <v>#VALUE!</v>
      </c>
      <c r="HY57" t="e">
        <f>AND('5to. Perito_A'!R22,"AAAAAB223eg=")</f>
        <v>#VALUE!</v>
      </c>
      <c r="HZ57" t="e">
        <f>AND('5to. Perito_A'!S22,"AAAAAB223ek=")</f>
        <v>#VALUE!</v>
      </c>
      <c r="IA57" t="e">
        <f>AND('5to. Perito_A'!T22,"AAAAAB223eo=")</f>
        <v>#VALUE!</v>
      </c>
      <c r="IB57" t="e">
        <f>AND('5to. Perito_A'!#REF!,"AAAAAB223es=")</f>
        <v>#REF!</v>
      </c>
      <c r="IC57" t="e">
        <f>AND('5to. Perito_A'!#REF!,"AAAAAB223ew=")</f>
        <v>#REF!</v>
      </c>
      <c r="ID57" t="e">
        <f>AND('5to. Perito_A'!#REF!,"AAAAAB223e0=")</f>
        <v>#REF!</v>
      </c>
      <c r="IE57" t="e">
        <f>AND('5to. Perito_A'!#REF!,"AAAAAB223e4=")</f>
        <v>#REF!</v>
      </c>
      <c r="IF57" t="e">
        <f>AND('5to. Perito_A'!#REF!,"AAAAAB223e8=")</f>
        <v>#REF!</v>
      </c>
      <c r="IG57">
        <f>IF('5to. Perito_A'!23:23,"AAAAAB223fA=",0)</f>
        <v>0</v>
      </c>
      <c r="IH57" t="e">
        <f>AND('5to. Perito_A'!A23,"AAAAAB223fE=")</f>
        <v>#VALUE!</v>
      </c>
      <c r="II57" t="e">
        <f>AND('5to. Perito_A'!B23,"AAAAAB223fI=")</f>
        <v>#VALUE!</v>
      </c>
      <c r="IJ57" t="e">
        <f>AND('5to. Perito_A'!C23,"AAAAAB223fM=")</f>
        <v>#VALUE!</v>
      </c>
      <c r="IK57" t="e">
        <f>AND('5to. Perito_A'!D23,"AAAAAB223fQ=")</f>
        <v>#VALUE!</v>
      </c>
      <c r="IL57" t="e">
        <f>AND('5to. Perito_A'!E23,"AAAAAB223fU=")</f>
        <v>#VALUE!</v>
      </c>
      <c r="IM57" t="e">
        <f>AND('5to. Perito_A'!F23,"AAAAAB223fY=")</f>
        <v>#VALUE!</v>
      </c>
      <c r="IN57" t="e">
        <f>AND('5to. Perito_A'!G23,"AAAAAB223fc=")</f>
        <v>#VALUE!</v>
      </c>
      <c r="IO57" t="e">
        <f>AND('5to. Perito_A'!H23,"AAAAAB223fg=")</f>
        <v>#VALUE!</v>
      </c>
      <c r="IP57" t="e">
        <f>AND('5to. Perito_A'!I23,"AAAAAB223fk=")</f>
        <v>#VALUE!</v>
      </c>
      <c r="IQ57" t="e">
        <f>AND('5to. Perito_A'!J23,"AAAAAB223fo=")</f>
        <v>#VALUE!</v>
      </c>
      <c r="IR57" t="e">
        <f>AND('5to. Perito_A'!K23,"AAAAAB223fs=")</f>
        <v>#VALUE!</v>
      </c>
      <c r="IS57" t="e">
        <f>AND('5to. Perito_A'!L23,"AAAAAB223fw=")</f>
        <v>#VALUE!</v>
      </c>
      <c r="IT57" t="e">
        <f>AND('5to. Perito_A'!M23,"AAAAAB223f0=")</f>
        <v>#VALUE!</v>
      </c>
      <c r="IU57" t="e">
        <f>AND('5to. Perito_A'!N23,"AAAAAB223f4=")</f>
        <v>#VALUE!</v>
      </c>
      <c r="IV57" t="e">
        <f>AND('5to. Perito_A'!O23,"AAAAAB223f8=")</f>
        <v>#VALUE!</v>
      </c>
    </row>
    <row r="58" spans="1:256">
      <c r="A58" t="e">
        <f>AND('5to. Perito_A'!P23,"AAAAAHr/rwA=")</f>
        <v>#VALUE!</v>
      </c>
      <c r="B58" t="e">
        <f>AND('5to. Perito_A'!Q23,"AAAAAHr/rwE=")</f>
        <v>#VALUE!</v>
      </c>
      <c r="C58" t="e">
        <f>AND('5to. Perito_A'!R23,"AAAAAHr/rwI=")</f>
        <v>#VALUE!</v>
      </c>
      <c r="D58" t="e">
        <f>AND('5to. Perito_A'!S23,"AAAAAHr/rwM=")</f>
        <v>#VALUE!</v>
      </c>
      <c r="E58" t="e">
        <f>AND('5to. Perito_A'!T23,"AAAAAHr/rwQ=")</f>
        <v>#VALUE!</v>
      </c>
      <c r="F58" t="e">
        <f>AND('5to. Perito_A'!#REF!,"AAAAAHr/rwU=")</f>
        <v>#REF!</v>
      </c>
      <c r="G58" t="e">
        <f>AND('5to. Perito_A'!#REF!,"AAAAAHr/rwY=")</f>
        <v>#REF!</v>
      </c>
      <c r="H58" t="e">
        <f>AND('5to. Perito_A'!#REF!,"AAAAAHr/rwc=")</f>
        <v>#REF!</v>
      </c>
      <c r="I58" t="e">
        <f>AND('5to. Perito_A'!#REF!,"AAAAAHr/rwg=")</f>
        <v>#REF!</v>
      </c>
      <c r="J58" t="e">
        <f>AND('5to. Perito_A'!#REF!,"AAAAAHr/rwk=")</f>
        <v>#REF!</v>
      </c>
      <c r="K58">
        <f>IF('5to. Perito_A'!24:24,"AAAAAHr/rwo=",0)</f>
        <v>0</v>
      </c>
      <c r="L58" t="e">
        <f>AND('5to. Perito_A'!A24,"AAAAAHr/rws=")</f>
        <v>#VALUE!</v>
      </c>
      <c r="M58" t="e">
        <f>AND('5to. Perito_A'!B24,"AAAAAHr/rww=")</f>
        <v>#VALUE!</v>
      </c>
      <c r="N58" t="e">
        <f>AND('5to. Perito_A'!C24,"AAAAAHr/rw0=")</f>
        <v>#VALUE!</v>
      </c>
      <c r="O58" t="e">
        <f>AND('5to. Perito_A'!D24,"AAAAAHr/rw4=")</f>
        <v>#VALUE!</v>
      </c>
      <c r="P58" t="e">
        <f>AND('5to. Perito_A'!E24,"AAAAAHr/rw8=")</f>
        <v>#VALUE!</v>
      </c>
      <c r="Q58" t="e">
        <f>AND('5to. Perito_A'!F24,"AAAAAHr/rxA=")</f>
        <v>#VALUE!</v>
      </c>
      <c r="R58" t="e">
        <f>AND('5to. Perito_A'!G24,"AAAAAHr/rxE=")</f>
        <v>#VALUE!</v>
      </c>
      <c r="S58" t="e">
        <f>AND('5to. Perito_A'!H24,"AAAAAHr/rxI=")</f>
        <v>#VALUE!</v>
      </c>
      <c r="T58" t="e">
        <f>AND('5to. Perito_A'!I24,"AAAAAHr/rxM=")</f>
        <v>#VALUE!</v>
      </c>
      <c r="U58" t="e">
        <f>AND('5to. Perito_A'!J24,"AAAAAHr/rxQ=")</f>
        <v>#VALUE!</v>
      </c>
      <c r="V58" t="e">
        <f>AND('5to. Perito_A'!K24,"AAAAAHr/rxU=")</f>
        <v>#VALUE!</v>
      </c>
      <c r="W58" t="e">
        <f>AND('5to. Perito_A'!L24,"AAAAAHr/rxY=")</f>
        <v>#VALUE!</v>
      </c>
      <c r="X58" t="e">
        <f>AND('5to. Perito_A'!M24,"AAAAAHr/rxc=")</f>
        <v>#VALUE!</v>
      </c>
      <c r="Y58" t="e">
        <f>AND('5to. Perito_A'!N24,"AAAAAHr/rxg=")</f>
        <v>#VALUE!</v>
      </c>
      <c r="Z58" t="e">
        <f>AND('5to. Perito_A'!O24,"AAAAAHr/rxk=")</f>
        <v>#VALUE!</v>
      </c>
      <c r="AA58" t="e">
        <f>AND('5to. Perito_A'!P24,"AAAAAHr/rxo=")</f>
        <v>#VALUE!</v>
      </c>
      <c r="AB58" t="e">
        <f>AND('5to. Perito_A'!Q24,"AAAAAHr/rxs=")</f>
        <v>#VALUE!</v>
      </c>
      <c r="AC58" t="e">
        <f>AND('5to. Perito_A'!R24,"AAAAAHr/rxw=")</f>
        <v>#VALUE!</v>
      </c>
      <c r="AD58" t="e">
        <f>AND('5to. Perito_A'!S24,"AAAAAHr/rx0=")</f>
        <v>#VALUE!</v>
      </c>
      <c r="AE58" t="e">
        <f>AND('5to. Perito_A'!T24,"AAAAAHr/rx4=")</f>
        <v>#VALUE!</v>
      </c>
      <c r="AF58" t="e">
        <f>AND('5to. Perito_A'!#REF!,"AAAAAHr/rx8=")</f>
        <v>#REF!</v>
      </c>
      <c r="AG58" t="e">
        <f>AND('5to. Perito_A'!#REF!,"AAAAAHr/ryA=")</f>
        <v>#REF!</v>
      </c>
      <c r="AH58" t="e">
        <f>AND('5to. Perito_A'!#REF!,"AAAAAHr/ryE=")</f>
        <v>#REF!</v>
      </c>
      <c r="AI58" t="e">
        <f>AND('5to. Perito_A'!#REF!,"AAAAAHr/ryI=")</f>
        <v>#REF!</v>
      </c>
      <c r="AJ58" t="e">
        <f>AND('5to. Perito_A'!#REF!,"AAAAAHr/ryM=")</f>
        <v>#REF!</v>
      </c>
      <c r="AK58">
        <f>IF('5to. Perito_A'!25:25,"AAAAAHr/ryQ=",0)</f>
        <v>0</v>
      </c>
      <c r="AL58" t="e">
        <f>AND('5to. Perito_A'!A25,"AAAAAHr/ryU=")</f>
        <v>#VALUE!</v>
      </c>
      <c r="AM58" t="e">
        <f>AND('5to. Perito_A'!B25,"AAAAAHr/ryY=")</f>
        <v>#VALUE!</v>
      </c>
      <c r="AN58" t="e">
        <f>AND('5to. Perito_A'!C25,"AAAAAHr/ryc=")</f>
        <v>#VALUE!</v>
      </c>
      <c r="AO58" t="e">
        <f>AND('5to. Perito_A'!D25,"AAAAAHr/ryg=")</f>
        <v>#VALUE!</v>
      </c>
      <c r="AP58" t="e">
        <f>AND('5to. Perito_A'!E25,"AAAAAHr/ryk=")</f>
        <v>#VALUE!</v>
      </c>
      <c r="AQ58" t="e">
        <f>AND('5to. Perito_A'!F25,"AAAAAHr/ryo=")</f>
        <v>#VALUE!</v>
      </c>
      <c r="AR58" t="e">
        <f>AND('5to. Perito_A'!G25,"AAAAAHr/rys=")</f>
        <v>#VALUE!</v>
      </c>
      <c r="AS58" t="e">
        <f>AND('5to. Perito_A'!H25,"AAAAAHr/ryw=")</f>
        <v>#VALUE!</v>
      </c>
      <c r="AT58" t="e">
        <f>AND('5to. Perito_A'!I25,"AAAAAHr/ry0=")</f>
        <v>#VALUE!</v>
      </c>
      <c r="AU58" t="e">
        <f>AND('5to. Perito_A'!J25,"AAAAAHr/ry4=")</f>
        <v>#VALUE!</v>
      </c>
      <c r="AV58" t="e">
        <f>AND('5to. Perito_A'!K25,"AAAAAHr/ry8=")</f>
        <v>#VALUE!</v>
      </c>
      <c r="AW58" t="e">
        <f>AND('5to. Perito_A'!L25,"AAAAAHr/rzA=")</f>
        <v>#VALUE!</v>
      </c>
      <c r="AX58" t="e">
        <f>AND('5to. Perito_A'!M25,"AAAAAHr/rzE=")</f>
        <v>#VALUE!</v>
      </c>
      <c r="AY58" t="e">
        <f>AND('5to. Perito_A'!N25,"AAAAAHr/rzI=")</f>
        <v>#VALUE!</v>
      </c>
      <c r="AZ58" t="e">
        <f>AND('5to. Perito_A'!O25,"AAAAAHr/rzM=")</f>
        <v>#VALUE!</v>
      </c>
      <c r="BA58" t="e">
        <f>AND('5to. Perito_A'!P25,"AAAAAHr/rzQ=")</f>
        <v>#VALUE!</v>
      </c>
      <c r="BB58" t="e">
        <f>AND('5to. Perito_A'!Q25,"AAAAAHr/rzU=")</f>
        <v>#VALUE!</v>
      </c>
      <c r="BC58" t="e">
        <f>AND('5to. Perito_A'!R25,"AAAAAHr/rzY=")</f>
        <v>#VALUE!</v>
      </c>
      <c r="BD58" t="e">
        <f>AND('5to. Perito_A'!S25,"AAAAAHr/rzc=")</f>
        <v>#VALUE!</v>
      </c>
      <c r="BE58" t="e">
        <f>AND('5to. Perito_A'!T25,"AAAAAHr/rzg=")</f>
        <v>#VALUE!</v>
      </c>
      <c r="BF58" t="e">
        <f>AND('5to. Perito_A'!#REF!,"AAAAAHr/rzk=")</f>
        <v>#REF!</v>
      </c>
      <c r="BG58" t="e">
        <f>AND('5to. Perito_A'!#REF!,"AAAAAHr/rzo=")</f>
        <v>#REF!</v>
      </c>
      <c r="BH58" t="e">
        <f>AND('5to. Perito_A'!#REF!,"AAAAAHr/rzs=")</f>
        <v>#REF!</v>
      </c>
      <c r="BI58" t="e">
        <f>AND('5to. Perito_A'!#REF!,"AAAAAHr/rzw=")</f>
        <v>#REF!</v>
      </c>
      <c r="BJ58" t="e">
        <f>AND('5to. Perito_A'!#REF!,"AAAAAHr/rz0=")</f>
        <v>#REF!</v>
      </c>
      <c r="BK58">
        <f>IF('5to. Perito_A'!26:26,"AAAAAHr/rz4=",0)</f>
        <v>0</v>
      </c>
      <c r="BL58" t="e">
        <f>AND('5to. Perito_A'!A26,"AAAAAHr/rz8=")</f>
        <v>#VALUE!</v>
      </c>
      <c r="BM58" t="e">
        <f>AND('5to. Perito_A'!B26,"AAAAAHr/r0A=")</f>
        <v>#VALUE!</v>
      </c>
      <c r="BN58" t="e">
        <f>AND('5to. Perito_A'!C26,"AAAAAHr/r0E=")</f>
        <v>#VALUE!</v>
      </c>
      <c r="BO58" t="e">
        <f>AND('5to. Perito_A'!D26,"AAAAAHr/r0I=")</f>
        <v>#VALUE!</v>
      </c>
      <c r="BP58" t="e">
        <f>AND('5to. Perito_A'!E26,"AAAAAHr/r0M=")</f>
        <v>#VALUE!</v>
      </c>
      <c r="BQ58" t="e">
        <f>AND('5to. Perito_A'!F26,"AAAAAHr/r0Q=")</f>
        <v>#VALUE!</v>
      </c>
      <c r="BR58" t="e">
        <f>AND('5to. Perito_A'!G26,"AAAAAHr/r0U=")</f>
        <v>#VALUE!</v>
      </c>
      <c r="BS58" t="e">
        <f>AND('5to. Perito_A'!H26,"AAAAAHr/r0Y=")</f>
        <v>#VALUE!</v>
      </c>
      <c r="BT58" t="e">
        <f>AND('5to. Perito_A'!I26,"AAAAAHr/r0c=")</f>
        <v>#VALUE!</v>
      </c>
      <c r="BU58" t="e">
        <f>AND('5to. Perito_A'!J26,"AAAAAHr/r0g=")</f>
        <v>#VALUE!</v>
      </c>
      <c r="BV58" t="e">
        <f>AND('5to. Perito_A'!K26,"AAAAAHr/r0k=")</f>
        <v>#VALUE!</v>
      </c>
      <c r="BW58" t="e">
        <f>AND('5to. Perito_A'!L26,"AAAAAHr/r0o=")</f>
        <v>#VALUE!</v>
      </c>
      <c r="BX58" t="e">
        <f>AND('5to. Perito_A'!M26,"AAAAAHr/r0s=")</f>
        <v>#VALUE!</v>
      </c>
      <c r="BY58" t="e">
        <f>AND('5to. Perito_A'!N26,"AAAAAHr/r0w=")</f>
        <v>#VALUE!</v>
      </c>
      <c r="BZ58" t="e">
        <f>AND('5to. Perito_A'!O26,"AAAAAHr/r00=")</f>
        <v>#VALUE!</v>
      </c>
      <c r="CA58" t="e">
        <f>AND('5to. Perito_A'!P26,"AAAAAHr/r04=")</f>
        <v>#VALUE!</v>
      </c>
      <c r="CB58" t="e">
        <f>AND('5to. Perito_A'!Q26,"AAAAAHr/r08=")</f>
        <v>#VALUE!</v>
      </c>
      <c r="CC58" t="e">
        <f>AND('5to. Perito_A'!R26,"AAAAAHr/r1A=")</f>
        <v>#VALUE!</v>
      </c>
      <c r="CD58" t="e">
        <f>AND('5to. Perito_A'!S26,"AAAAAHr/r1E=")</f>
        <v>#VALUE!</v>
      </c>
      <c r="CE58" t="e">
        <f>AND('5to. Perito_A'!T26,"AAAAAHr/r1I=")</f>
        <v>#VALUE!</v>
      </c>
      <c r="CF58" t="e">
        <f>AND('5to. Perito_A'!#REF!,"AAAAAHr/r1M=")</f>
        <v>#REF!</v>
      </c>
      <c r="CG58" t="e">
        <f>AND('5to. Perito_A'!#REF!,"AAAAAHr/r1Q=")</f>
        <v>#REF!</v>
      </c>
      <c r="CH58" t="e">
        <f>AND('5to. Perito_A'!#REF!,"AAAAAHr/r1U=")</f>
        <v>#REF!</v>
      </c>
      <c r="CI58" t="e">
        <f>AND('5to. Perito_A'!#REF!,"AAAAAHr/r1Y=")</f>
        <v>#REF!</v>
      </c>
      <c r="CJ58" t="e">
        <f>AND('5to. Perito_A'!#REF!,"AAAAAHr/r1c=")</f>
        <v>#REF!</v>
      </c>
      <c r="CK58">
        <f>IF('5to. Perito_A'!27:27,"AAAAAHr/r1g=",0)</f>
        <v>0</v>
      </c>
      <c r="CL58" t="e">
        <f>AND('5to. Perito_A'!A27,"AAAAAHr/r1k=")</f>
        <v>#VALUE!</v>
      </c>
      <c r="CM58" t="e">
        <f>AND('5to. Perito_A'!B27,"AAAAAHr/r1o=")</f>
        <v>#VALUE!</v>
      </c>
      <c r="CN58" t="e">
        <f>AND('5to. Perito_A'!C27,"AAAAAHr/r1s=")</f>
        <v>#VALUE!</v>
      </c>
      <c r="CO58" t="e">
        <f>AND('5to. Perito_A'!D27,"AAAAAHr/r1w=")</f>
        <v>#VALUE!</v>
      </c>
      <c r="CP58" t="e">
        <f>AND('5to. Perito_A'!E27,"AAAAAHr/r10=")</f>
        <v>#VALUE!</v>
      </c>
      <c r="CQ58" t="e">
        <f>AND('5to. Perito_A'!F27,"AAAAAHr/r14=")</f>
        <v>#VALUE!</v>
      </c>
      <c r="CR58" t="e">
        <f>AND('5to. Perito_A'!G27,"AAAAAHr/r18=")</f>
        <v>#VALUE!</v>
      </c>
      <c r="CS58" t="e">
        <f>AND('5to. Perito_A'!H27,"AAAAAHr/r2A=")</f>
        <v>#VALUE!</v>
      </c>
      <c r="CT58" t="e">
        <f>AND('5to. Perito_A'!I27,"AAAAAHr/r2E=")</f>
        <v>#VALUE!</v>
      </c>
      <c r="CU58" t="e">
        <f>AND('5to. Perito_A'!J27,"AAAAAHr/r2I=")</f>
        <v>#VALUE!</v>
      </c>
      <c r="CV58" t="e">
        <f>AND('5to. Perito_A'!K27,"AAAAAHr/r2M=")</f>
        <v>#VALUE!</v>
      </c>
      <c r="CW58" t="e">
        <f>AND('5to. Perito_A'!L27,"AAAAAHr/r2Q=")</f>
        <v>#VALUE!</v>
      </c>
      <c r="CX58" t="e">
        <f>AND('5to. Perito_A'!M27,"AAAAAHr/r2U=")</f>
        <v>#VALUE!</v>
      </c>
      <c r="CY58" t="e">
        <f>AND('5to. Perito_A'!N27,"AAAAAHr/r2Y=")</f>
        <v>#VALUE!</v>
      </c>
      <c r="CZ58" t="e">
        <f>AND('5to. Perito_A'!O27,"AAAAAHr/r2c=")</f>
        <v>#VALUE!</v>
      </c>
      <c r="DA58" t="e">
        <f>AND('5to. Perito_A'!P27,"AAAAAHr/r2g=")</f>
        <v>#VALUE!</v>
      </c>
      <c r="DB58" t="e">
        <f>AND('5to. Perito_A'!Q27,"AAAAAHr/r2k=")</f>
        <v>#VALUE!</v>
      </c>
      <c r="DC58" t="e">
        <f>AND('5to. Perito_A'!R27,"AAAAAHr/r2o=")</f>
        <v>#VALUE!</v>
      </c>
      <c r="DD58" t="e">
        <f>AND('5to. Perito_A'!S27,"AAAAAHr/r2s=")</f>
        <v>#VALUE!</v>
      </c>
      <c r="DE58" t="e">
        <f>AND('5to. Perito_A'!T27,"AAAAAHr/r2w=")</f>
        <v>#VALUE!</v>
      </c>
      <c r="DF58" t="e">
        <f>AND('5to. Perito_A'!#REF!,"AAAAAHr/r20=")</f>
        <v>#REF!</v>
      </c>
      <c r="DG58" t="e">
        <f>AND('5to. Perito_A'!#REF!,"AAAAAHr/r24=")</f>
        <v>#REF!</v>
      </c>
      <c r="DH58" t="e">
        <f>AND('5to. Perito_A'!#REF!,"AAAAAHr/r28=")</f>
        <v>#REF!</v>
      </c>
      <c r="DI58" t="e">
        <f>AND('5to. Perito_A'!#REF!,"AAAAAHr/r3A=")</f>
        <v>#REF!</v>
      </c>
      <c r="DJ58" t="e">
        <f>AND('5to. Perito_A'!#REF!,"AAAAAHr/r3E=")</f>
        <v>#REF!</v>
      </c>
      <c r="DK58">
        <f>IF('5to. Perito_A'!28:28,"AAAAAHr/r3I=",0)</f>
        <v>0</v>
      </c>
      <c r="DL58" t="e">
        <f>AND('5to. Perito_A'!A28,"AAAAAHr/r3M=")</f>
        <v>#VALUE!</v>
      </c>
      <c r="DM58" t="e">
        <f>AND('5to. Perito_A'!B28,"AAAAAHr/r3Q=")</f>
        <v>#VALUE!</v>
      </c>
      <c r="DN58" t="e">
        <f>AND('5to. Perito_A'!C28,"AAAAAHr/r3U=")</f>
        <v>#VALUE!</v>
      </c>
      <c r="DO58" t="e">
        <f>AND('5to. Perito_A'!D28,"AAAAAHr/r3Y=")</f>
        <v>#VALUE!</v>
      </c>
      <c r="DP58" t="e">
        <f>AND('5to. Perito_A'!E28,"AAAAAHr/r3c=")</f>
        <v>#VALUE!</v>
      </c>
      <c r="DQ58" t="e">
        <f>AND('5to. Perito_A'!F28,"AAAAAHr/r3g=")</f>
        <v>#VALUE!</v>
      </c>
      <c r="DR58" t="e">
        <f>AND('5to. Perito_A'!G28,"AAAAAHr/r3k=")</f>
        <v>#VALUE!</v>
      </c>
      <c r="DS58" t="e">
        <f>AND('5to. Perito_A'!H28,"AAAAAHr/r3o=")</f>
        <v>#VALUE!</v>
      </c>
      <c r="DT58" t="e">
        <f>AND('5to. Perito_A'!I28,"AAAAAHr/r3s=")</f>
        <v>#VALUE!</v>
      </c>
      <c r="DU58" t="e">
        <f>AND('5to. Perito_A'!J28,"AAAAAHr/r3w=")</f>
        <v>#VALUE!</v>
      </c>
      <c r="DV58" t="e">
        <f>AND('5to. Perito_A'!K28,"AAAAAHr/r30=")</f>
        <v>#VALUE!</v>
      </c>
      <c r="DW58" t="e">
        <f>AND('5to. Perito_A'!L28,"AAAAAHr/r34=")</f>
        <v>#VALUE!</v>
      </c>
      <c r="DX58" t="e">
        <f>AND('5to. Perito_A'!M28,"AAAAAHr/r38=")</f>
        <v>#VALUE!</v>
      </c>
      <c r="DY58" t="e">
        <f>AND('5to. Perito_A'!N28,"AAAAAHr/r4A=")</f>
        <v>#VALUE!</v>
      </c>
      <c r="DZ58" t="e">
        <f>AND('5to. Perito_A'!O28,"AAAAAHr/r4E=")</f>
        <v>#VALUE!</v>
      </c>
      <c r="EA58" t="e">
        <f>AND('5to. Perito_A'!P28,"AAAAAHr/r4I=")</f>
        <v>#VALUE!</v>
      </c>
      <c r="EB58" t="e">
        <f>AND('5to. Perito_A'!Q28,"AAAAAHr/r4M=")</f>
        <v>#VALUE!</v>
      </c>
      <c r="EC58" t="e">
        <f>AND('5to. Perito_A'!R28,"AAAAAHr/r4Q=")</f>
        <v>#VALUE!</v>
      </c>
      <c r="ED58" t="e">
        <f>AND('5to. Perito_A'!S28,"AAAAAHr/r4U=")</f>
        <v>#VALUE!</v>
      </c>
      <c r="EE58" t="e">
        <f>AND('5to. Perito_A'!T28,"AAAAAHr/r4Y=")</f>
        <v>#VALUE!</v>
      </c>
      <c r="EF58" t="e">
        <f>AND('5to. Perito_A'!#REF!,"AAAAAHr/r4c=")</f>
        <v>#REF!</v>
      </c>
      <c r="EG58" t="e">
        <f>AND('5to. Perito_A'!#REF!,"AAAAAHr/r4g=")</f>
        <v>#REF!</v>
      </c>
      <c r="EH58" t="e">
        <f>AND('5to. Perito_A'!#REF!,"AAAAAHr/r4k=")</f>
        <v>#REF!</v>
      </c>
      <c r="EI58" t="e">
        <f>AND('5to. Perito_A'!#REF!,"AAAAAHr/r4o=")</f>
        <v>#REF!</v>
      </c>
      <c r="EJ58" t="e">
        <f>AND('5to. Perito_A'!#REF!,"AAAAAHr/r4s=")</f>
        <v>#REF!</v>
      </c>
      <c r="EK58">
        <f>IF('5to. Perito_A'!29:29,"AAAAAHr/r4w=",0)</f>
        <v>0</v>
      </c>
      <c r="EL58" t="e">
        <f>AND('5to. Perito_A'!A29,"AAAAAHr/r40=")</f>
        <v>#VALUE!</v>
      </c>
      <c r="EM58" t="e">
        <f>AND('5to. Perito_A'!B29,"AAAAAHr/r44=")</f>
        <v>#VALUE!</v>
      </c>
      <c r="EN58" t="e">
        <f>AND('5to. Perito_A'!C29,"AAAAAHr/r48=")</f>
        <v>#VALUE!</v>
      </c>
      <c r="EO58" t="e">
        <f>AND('5to. Perito_A'!D29,"AAAAAHr/r5A=")</f>
        <v>#VALUE!</v>
      </c>
      <c r="EP58" t="e">
        <f>AND('5to. Perito_A'!E29,"AAAAAHr/r5E=")</f>
        <v>#VALUE!</v>
      </c>
      <c r="EQ58" t="e">
        <f>AND('5to. Perito_A'!F29,"AAAAAHr/r5I=")</f>
        <v>#VALUE!</v>
      </c>
      <c r="ER58" t="e">
        <f>AND('5to. Perito_A'!G29,"AAAAAHr/r5M=")</f>
        <v>#VALUE!</v>
      </c>
      <c r="ES58" t="e">
        <f>AND('5to. Perito_A'!H29,"AAAAAHr/r5Q=")</f>
        <v>#VALUE!</v>
      </c>
      <c r="ET58" t="e">
        <f>AND('5to. Perito_A'!I29,"AAAAAHr/r5U=")</f>
        <v>#VALUE!</v>
      </c>
      <c r="EU58" t="e">
        <f>AND('5to. Perito_A'!J29,"AAAAAHr/r5Y=")</f>
        <v>#VALUE!</v>
      </c>
      <c r="EV58" t="e">
        <f>AND('5to. Perito_A'!K29,"AAAAAHr/r5c=")</f>
        <v>#VALUE!</v>
      </c>
      <c r="EW58" t="e">
        <f>AND('5to. Perito_A'!L29,"AAAAAHr/r5g=")</f>
        <v>#VALUE!</v>
      </c>
      <c r="EX58" t="e">
        <f>AND('5to. Perito_A'!M29,"AAAAAHr/r5k=")</f>
        <v>#VALUE!</v>
      </c>
      <c r="EY58" t="e">
        <f>AND('5to. Perito_A'!N29,"AAAAAHr/r5o=")</f>
        <v>#VALUE!</v>
      </c>
      <c r="EZ58" t="e">
        <f>AND('5to. Perito_A'!O29,"AAAAAHr/r5s=")</f>
        <v>#VALUE!</v>
      </c>
      <c r="FA58" t="e">
        <f>AND('5to. Perito_A'!P29,"AAAAAHr/r5w=")</f>
        <v>#VALUE!</v>
      </c>
      <c r="FB58" t="e">
        <f>AND('5to. Perito_A'!Q29,"AAAAAHr/r50=")</f>
        <v>#VALUE!</v>
      </c>
      <c r="FC58" t="e">
        <f>AND('5to. Perito_A'!R29,"AAAAAHr/r54=")</f>
        <v>#VALUE!</v>
      </c>
      <c r="FD58" t="e">
        <f>AND('5to. Perito_A'!S29,"AAAAAHr/r58=")</f>
        <v>#VALUE!</v>
      </c>
      <c r="FE58" t="e">
        <f>AND('5to. Perito_A'!T29,"AAAAAHr/r6A=")</f>
        <v>#VALUE!</v>
      </c>
      <c r="FF58" t="e">
        <f>AND('5to. Perito_A'!#REF!,"AAAAAHr/r6E=")</f>
        <v>#REF!</v>
      </c>
      <c r="FG58" t="e">
        <f>AND('5to. Perito_A'!#REF!,"AAAAAHr/r6I=")</f>
        <v>#REF!</v>
      </c>
      <c r="FH58" t="e">
        <f>AND('5to. Perito_A'!#REF!,"AAAAAHr/r6M=")</f>
        <v>#REF!</v>
      </c>
      <c r="FI58" t="e">
        <f>AND('5to. Perito_A'!#REF!,"AAAAAHr/r6Q=")</f>
        <v>#REF!</v>
      </c>
      <c r="FJ58" t="e">
        <f>AND('5to. Perito_A'!#REF!,"AAAAAHr/r6U=")</f>
        <v>#REF!</v>
      </c>
      <c r="FK58">
        <f>IF('5to. Perito_A'!30:30,"AAAAAHr/r6Y=",0)</f>
        <v>0</v>
      </c>
      <c r="FL58" t="e">
        <f>AND('5to. Perito_A'!A30,"AAAAAHr/r6c=")</f>
        <v>#VALUE!</v>
      </c>
      <c r="FM58" t="e">
        <f>AND('5to. Perito_A'!B30,"AAAAAHr/r6g=")</f>
        <v>#VALUE!</v>
      </c>
      <c r="FN58" t="e">
        <f>AND('5to. Perito_A'!C30,"AAAAAHr/r6k=")</f>
        <v>#VALUE!</v>
      </c>
      <c r="FO58" t="e">
        <f>AND('5to. Perito_A'!D30,"AAAAAHr/r6o=")</f>
        <v>#VALUE!</v>
      </c>
      <c r="FP58" t="e">
        <f>AND('5to. Perito_A'!E30,"AAAAAHr/r6s=")</f>
        <v>#VALUE!</v>
      </c>
      <c r="FQ58" t="e">
        <f>AND('5to. Perito_A'!F30,"AAAAAHr/r6w=")</f>
        <v>#VALUE!</v>
      </c>
      <c r="FR58" t="e">
        <f>AND('5to. Perito_A'!G30,"AAAAAHr/r60=")</f>
        <v>#VALUE!</v>
      </c>
      <c r="FS58" t="e">
        <f>AND('5to. Perito_A'!H30,"AAAAAHr/r64=")</f>
        <v>#VALUE!</v>
      </c>
      <c r="FT58" t="e">
        <f>AND('5to. Perito_A'!I30,"AAAAAHr/r68=")</f>
        <v>#VALUE!</v>
      </c>
      <c r="FU58" t="e">
        <f>AND('5to. Perito_A'!J30,"AAAAAHr/r7A=")</f>
        <v>#VALUE!</v>
      </c>
      <c r="FV58" t="e">
        <f>AND('5to. Perito_A'!K30,"AAAAAHr/r7E=")</f>
        <v>#VALUE!</v>
      </c>
      <c r="FW58" t="e">
        <f>AND('5to. Perito_A'!L30,"AAAAAHr/r7I=")</f>
        <v>#VALUE!</v>
      </c>
      <c r="FX58" t="e">
        <f>AND('5to. Perito_A'!M30,"AAAAAHr/r7M=")</f>
        <v>#VALUE!</v>
      </c>
      <c r="FY58" t="e">
        <f>AND('5to. Perito_A'!N30,"AAAAAHr/r7Q=")</f>
        <v>#VALUE!</v>
      </c>
      <c r="FZ58" t="e">
        <f>AND('5to. Perito_A'!O30,"AAAAAHr/r7U=")</f>
        <v>#VALUE!</v>
      </c>
      <c r="GA58" t="e">
        <f>AND('5to. Perito_A'!P30,"AAAAAHr/r7Y=")</f>
        <v>#VALUE!</v>
      </c>
      <c r="GB58" t="e">
        <f>AND('5to. Perito_A'!Q30,"AAAAAHr/r7c=")</f>
        <v>#VALUE!</v>
      </c>
      <c r="GC58" t="e">
        <f>AND('5to. Perito_A'!R30,"AAAAAHr/r7g=")</f>
        <v>#VALUE!</v>
      </c>
      <c r="GD58" t="e">
        <f>AND('5to. Perito_A'!S30,"AAAAAHr/r7k=")</f>
        <v>#VALUE!</v>
      </c>
      <c r="GE58" t="e">
        <f>AND('5to. Perito_A'!T30,"AAAAAHr/r7o=")</f>
        <v>#VALUE!</v>
      </c>
      <c r="GF58" t="e">
        <f>AND('5to. Perito_A'!#REF!,"AAAAAHr/r7s=")</f>
        <v>#REF!</v>
      </c>
      <c r="GG58" t="e">
        <f>AND('5to. Perito_A'!#REF!,"AAAAAHr/r7w=")</f>
        <v>#REF!</v>
      </c>
      <c r="GH58" t="e">
        <f>AND('5to. Perito_A'!#REF!,"AAAAAHr/r70=")</f>
        <v>#REF!</v>
      </c>
      <c r="GI58" t="e">
        <f>AND('5to. Perito_A'!#REF!,"AAAAAHr/r74=")</f>
        <v>#REF!</v>
      </c>
      <c r="GJ58" t="e">
        <f>AND('5to. Perito_A'!#REF!,"AAAAAHr/r78=")</f>
        <v>#REF!</v>
      </c>
      <c r="GK58">
        <f>IF('5to. Perito_A'!31:31,"AAAAAHr/r8A=",0)</f>
        <v>0</v>
      </c>
      <c r="GL58" t="e">
        <f>AND('5to. Perito_A'!A31,"AAAAAHr/r8E=")</f>
        <v>#VALUE!</v>
      </c>
      <c r="GM58" t="e">
        <f>AND('5to. Perito_A'!B31,"AAAAAHr/r8I=")</f>
        <v>#VALUE!</v>
      </c>
      <c r="GN58" t="e">
        <f>AND('5to. Perito_A'!C31,"AAAAAHr/r8M=")</f>
        <v>#VALUE!</v>
      </c>
      <c r="GO58" t="e">
        <f>AND('5to. Perito_A'!D31,"AAAAAHr/r8Q=")</f>
        <v>#VALUE!</v>
      </c>
      <c r="GP58" t="e">
        <f>AND('5to. Perito_A'!E31,"AAAAAHr/r8U=")</f>
        <v>#VALUE!</v>
      </c>
      <c r="GQ58" t="e">
        <f>AND('5to. Perito_A'!F31,"AAAAAHr/r8Y=")</f>
        <v>#VALUE!</v>
      </c>
      <c r="GR58" t="e">
        <f>AND('5to. Perito_A'!G31,"AAAAAHr/r8c=")</f>
        <v>#VALUE!</v>
      </c>
      <c r="GS58" t="e">
        <f>AND('5to. Perito_A'!H31,"AAAAAHr/r8g=")</f>
        <v>#VALUE!</v>
      </c>
      <c r="GT58" t="e">
        <f>AND('5to. Perito_A'!I31,"AAAAAHr/r8k=")</f>
        <v>#VALUE!</v>
      </c>
      <c r="GU58" t="e">
        <f>AND('5to. Perito_A'!J31,"AAAAAHr/r8o=")</f>
        <v>#VALUE!</v>
      </c>
      <c r="GV58" t="e">
        <f>AND('5to. Perito_A'!K31,"AAAAAHr/r8s=")</f>
        <v>#VALUE!</v>
      </c>
      <c r="GW58" t="e">
        <f>AND('5to. Perito_A'!L31,"AAAAAHr/r8w=")</f>
        <v>#VALUE!</v>
      </c>
      <c r="GX58" t="e">
        <f>AND('5to. Perito_A'!M31,"AAAAAHr/r80=")</f>
        <v>#VALUE!</v>
      </c>
      <c r="GY58" t="e">
        <f>AND('5to. Perito_A'!N31,"AAAAAHr/r84=")</f>
        <v>#VALUE!</v>
      </c>
      <c r="GZ58" t="e">
        <f>AND('5to. Perito_A'!O31,"AAAAAHr/r88=")</f>
        <v>#VALUE!</v>
      </c>
      <c r="HA58" t="e">
        <f>AND('5to. Perito_A'!P31,"AAAAAHr/r9A=")</f>
        <v>#VALUE!</v>
      </c>
      <c r="HB58" t="e">
        <f>AND('5to. Perito_A'!Q31,"AAAAAHr/r9E=")</f>
        <v>#VALUE!</v>
      </c>
      <c r="HC58" t="e">
        <f>AND('5to. Perito_A'!R31,"AAAAAHr/r9I=")</f>
        <v>#VALUE!</v>
      </c>
      <c r="HD58" t="e">
        <f>AND('5to. Perito_A'!S31,"AAAAAHr/r9M=")</f>
        <v>#VALUE!</v>
      </c>
      <c r="HE58" t="e">
        <f>AND('5to. Perito_A'!T31,"AAAAAHr/r9Q=")</f>
        <v>#VALUE!</v>
      </c>
      <c r="HF58" t="e">
        <f>AND('5to. Perito_A'!#REF!,"AAAAAHr/r9U=")</f>
        <v>#REF!</v>
      </c>
      <c r="HG58" t="e">
        <f>AND('5to. Perito_A'!#REF!,"AAAAAHr/r9Y=")</f>
        <v>#REF!</v>
      </c>
      <c r="HH58" t="e">
        <f>AND('5to. Perito_A'!#REF!,"AAAAAHr/r9c=")</f>
        <v>#REF!</v>
      </c>
      <c r="HI58" t="e">
        <f>AND('5to. Perito_A'!#REF!,"AAAAAHr/r9g=")</f>
        <v>#REF!</v>
      </c>
      <c r="HJ58" t="e">
        <f>AND('5to. Perito_A'!#REF!,"AAAAAHr/r9k=")</f>
        <v>#REF!</v>
      </c>
      <c r="HK58">
        <f>IF('5to. Perito_A'!32:32,"AAAAAHr/r9o=",0)</f>
        <v>0</v>
      </c>
      <c r="HL58" t="e">
        <f>AND('5to. Perito_A'!A32,"AAAAAHr/r9s=")</f>
        <v>#VALUE!</v>
      </c>
      <c r="HM58" t="e">
        <f>AND('5to. Perito_A'!B32,"AAAAAHr/r9w=")</f>
        <v>#VALUE!</v>
      </c>
      <c r="HN58" t="e">
        <f>AND('5to. Perito_A'!C32,"AAAAAHr/r90=")</f>
        <v>#VALUE!</v>
      </c>
      <c r="HO58" t="e">
        <f>AND('5to. Perito_A'!D32,"AAAAAHr/r94=")</f>
        <v>#VALUE!</v>
      </c>
      <c r="HP58" t="e">
        <f>AND('5to. Perito_A'!E32,"AAAAAHr/r98=")</f>
        <v>#VALUE!</v>
      </c>
      <c r="HQ58" t="e">
        <f>AND('5to. Perito_A'!F32,"AAAAAHr/r+A=")</f>
        <v>#VALUE!</v>
      </c>
      <c r="HR58" t="e">
        <f>AND('5to. Perito_A'!G32,"AAAAAHr/r+E=")</f>
        <v>#VALUE!</v>
      </c>
      <c r="HS58" t="e">
        <f>AND('5to. Perito_A'!H32,"AAAAAHr/r+I=")</f>
        <v>#VALUE!</v>
      </c>
      <c r="HT58" t="e">
        <f>AND('5to. Perito_A'!I32,"AAAAAHr/r+M=")</f>
        <v>#VALUE!</v>
      </c>
      <c r="HU58" t="e">
        <f>AND('5to. Perito_A'!J32,"AAAAAHr/r+Q=")</f>
        <v>#VALUE!</v>
      </c>
      <c r="HV58" t="e">
        <f>AND('5to. Perito_A'!K32,"AAAAAHr/r+U=")</f>
        <v>#VALUE!</v>
      </c>
      <c r="HW58" t="e">
        <f>AND('5to. Perito_A'!L32,"AAAAAHr/r+Y=")</f>
        <v>#VALUE!</v>
      </c>
      <c r="HX58" t="e">
        <f>AND('5to. Perito_A'!M32,"AAAAAHr/r+c=")</f>
        <v>#VALUE!</v>
      </c>
      <c r="HY58" t="e">
        <f>AND('5to. Perito_A'!N32,"AAAAAHr/r+g=")</f>
        <v>#VALUE!</v>
      </c>
      <c r="HZ58" t="e">
        <f>AND('5to. Perito_A'!O32,"AAAAAHr/r+k=")</f>
        <v>#VALUE!</v>
      </c>
      <c r="IA58" t="e">
        <f>AND('5to. Perito_A'!P32,"AAAAAHr/r+o=")</f>
        <v>#VALUE!</v>
      </c>
      <c r="IB58" t="e">
        <f>AND('5to. Perito_A'!Q32,"AAAAAHr/r+s=")</f>
        <v>#VALUE!</v>
      </c>
      <c r="IC58" t="e">
        <f>AND('5to. Perito_A'!R32,"AAAAAHr/r+w=")</f>
        <v>#VALUE!</v>
      </c>
      <c r="ID58" t="e">
        <f>AND('5to. Perito_A'!S32,"AAAAAHr/r+0=")</f>
        <v>#VALUE!</v>
      </c>
      <c r="IE58" t="e">
        <f>AND('5to. Perito_A'!T32,"AAAAAHr/r+4=")</f>
        <v>#VALUE!</v>
      </c>
      <c r="IF58" t="e">
        <f>AND('5to. Perito_A'!#REF!,"AAAAAHr/r+8=")</f>
        <v>#REF!</v>
      </c>
      <c r="IG58" t="e">
        <f>AND('5to. Perito_A'!#REF!,"AAAAAHr/r/A=")</f>
        <v>#REF!</v>
      </c>
      <c r="IH58" t="e">
        <f>AND('5to. Perito_A'!#REF!,"AAAAAHr/r/E=")</f>
        <v>#REF!</v>
      </c>
      <c r="II58" t="e">
        <f>AND('5to. Perito_A'!#REF!,"AAAAAHr/r/I=")</f>
        <v>#REF!</v>
      </c>
      <c r="IJ58" t="e">
        <f>AND('5to. Perito_A'!#REF!,"AAAAAHr/r/M=")</f>
        <v>#REF!</v>
      </c>
      <c r="IK58">
        <f>IF('5to. Perito_A'!33:33,"AAAAAHr/r/Q=",0)</f>
        <v>0</v>
      </c>
      <c r="IL58" t="e">
        <f>AND('5to. Perito_A'!A33,"AAAAAHr/r/U=")</f>
        <v>#VALUE!</v>
      </c>
      <c r="IM58" t="e">
        <f>AND('5to. Perito_A'!B33,"AAAAAHr/r/Y=")</f>
        <v>#VALUE!</v>
      </c>
      <c r="IN58" t="e">
        <f>AND('5to. Perito_A'!C33,"AAAAAHr/r/c=")</f>
        <v>#VALUE!</v>
      </c>
      <c r="IO58" t="e">
        <f>AND('5to. Perito_A'!D33,"AAAAAHr/r/g=")</f>
        <v>#VALUE!</v>
      </c>
      <c r="IP58" t="e">
        <f>AND('5to. Perito_A'!E33,"AAAAAHr/r/k=")</f>
        <v>#VALUE!</v>
      </c>
      <c r="IQ58" t="e">
        <f>AND('5to. Perito_A'!F33,"AAAAAHr/r/o=")</f>
        <v>#VALUE!</v>
      </c>
      <c r="IR58" t="e">
        <f>AND('5to. Perito_A'!G33,"AAAAAHr/r/s=")</f>
        <v>#VALUE!</v>
      </c>
      <c r="IS58" t="e">
        <f>AND('5to. Perito_A'!H33,"AAAAAHr/r/w=")</f>
        <v>#VALUE!</v>
      </c>
      <c r="IT58" t="e">
        <f>AND('5to. Perito_A'!I33,"AAAAAHr/r/0=")</f>
        <v>#VALUE!</v>
      </c>
      <c r="IU58" t="e">
        <f>AND('5to. Perito_A'!J33,"AAAAAHr/r/4=")</f>
        <v>#VALUE!</v>
      </c>
      <c r="IV58" t="e">
        <f>AND('5to. Perito_A'!K33,"AAAAAHr/r/8=")</f>
        <v>#VALUE!</v>
      </c>
    </row>
    <row r="59" spans="1:256">
      <c r="A59" t="e">
        <f>AND('5to. Perito_A'!L33,"AAAAAH5/vwA=")</f>
        <v>#VALUE!</v>
      </c>
      <c r="B59" t="e">
        <f>AND('5to. Perito_A'!M33,"AAAAAH5/vwE=")</f>
        <v>#VALUE!</v>
      </c>
      <c r="C59" t="e">
        <f>AND('5to. Perito_A'!N33,"AAAAAH5/vwI=")</f>
        <v>#VALUE!</v>
      </c>
      <c r="D59" t="e">
        <f>AND('5to. Perito_A'!O33,"AAAAAH5/vwM=")</f>
        <v>#VALUE!</v>
      </c>
      <c r="E59" t="e">
        <f>AND('5to. Perito_A'!P33,"AAAAAH5/vwQ=")</f>
        <v>#VALUE!</v>
      </c>
      <c r="F59" t="e">
        <f>AND('5to. Perito_A'!Q33,"AAAAAH5/vwU=")</f>
        <v>#VALUE!</v>
      </c>
      <c r="G59" t="e">
        <f>AND('5to. Perito_A'!R33,"AAAAAH5/vwY=")</f>
        <v>#VALUE!</v>
      </c>
      <c r="H59" t="e">
        <f>AND('5to. Perito_A'!S33,"AAAAAH5/vwc=")</f>
        <v>#VALUE!</v>
      </c>
      <c r="I59" t="e">
        <f>AND('5to. Perito_A'!T33,"AAAAAH5/vwg=")</f>
        <v>#VALUE!</v>
      </c>
      <c r="J59" t="e">
        <f>AND('5to. Perito_A'!#REF!,"AAAAAH5/vwk=")</f>
        <v>#REF!</v>
      </c>
      <c r="K59" t="e">
        <f>AND('5to. Perito_A'!#REF!,"AAAAAH5/vwo=")</f>
        <v>#REF!</v>
      </c>
      <c r="L59" t="e">
        <f>AND('5to. Perito_A'!#REF!,"AAAAAH5/vws=")</f>
        <v>#REF!</v>
      </c>
      <c r="M59" t="e">
        <f>AND('5to. Perito_A'!#REF!,"AAAAAH5/vww=")</f>
        <v>#REF!</v>
      </c>
      <c r="N59" t="e">
        <f>AND('5to. Perito_A'!#REF!,"AAAAAH5/vw0=")</f>
        <v>#REF!</v>
      </c>
      <c r="O59">
        <f>IF('5to. Perito_A'!34:34,"AAAAAH5/vw4=",0)</f>
        <v>0</v>
      </c>
      <c r="P59" t="e">
        <f>AND('5to. Perito_A'!A34,"AAAAAH5/vw8=")</f>
        <v>#VALUE!</v>
      </c>
      <c r="Q59" t="e">
        <f>AND('5to. Perito_A'!B34,"AAAAAH5/vxA=")</f>
        <v>#VALUE!</v>
      </c>
      <c r="R59" t="e">
        <f>AND('5to. Perito_A'!C34,"AAAAAH5/vxE=")</f>
        <v>#VALUE!</v>
      </c>
      <c r="S59" t="e">
        <f>AND('5to. Perito_A'!D34,"AAAAAH5/vxI=")</f>
        <v>#VALUE!</v>
      </c>
      <c r="T59" t="e">
        <f>AND('5to. Perito_A'!E34,"AAAAAH5/vxM=")</f>
        <v>#VALUE!</v>
      </c>
      <c r="U59" t="e">
        <f>AND('5to. Perito_A'!F34,"AAAAAH5/vxQ=")</f>
        <v>#VALUE!</v>
      </c>
      <c r="V59" t="e">
        <f>AND('5to. Perito_A'!G34,"AAAAAH5/vxU=")</f>
        <v>#VALUE!</v>
      </c>
      <c r="W59" t="e">
        <f>AND('5to. Perito_A'!H34,"AAAAAH5/vxY=")</f>
        <v>#VALUE!</v>
      </c>
      <c r="X59" t="e">
        <f>AND('5to. Perito_A'!I34,"AAAAAH5/vxc=")</f>
        <v>#VALUE!</v>
      </c>
      <c r="Y59" t="e">
        <f>AND('5to. Perito_A'!J34,"AAAAAH5/vxg=")</f>
        <v>#VALUE!</v>
      </c>
      <c r="Z59" t="e">
        <f>AND('5to. Perito_A'!K34,"AAAAAH5/vxk=")</f>
        <v>#VALUE!</v>
      </c>
      <c r="AA59" t="e">
        <f>AND('5to. Perito_A'!L34,"AAAAAH5/vxo=")</f>
        <v>#VALUE!</v>
      </c>
      <c r="AB59" t="e">
        <f>AND('5to. Perito_A'!M34,"AAAAAH5/vxs=")</f>
        <v>#VALUE!</v>
      </c>
      <c r="AC59" t="e">
        <f>AND('5to. Perito_A'!N34,"AAAAAH5/vxw=")</f>
        <v>#VALUE!</v>
      </c>
      <c r="AD59" t="e">
        <f>AND('5to. Perito_A'!O34,"AAAAAH5/vx0=")</f>
        <v>#VALUE!</v>
      </c>
      <c r="AE59" t="e">
        <f>AND('5to. Perito_A'!P34,"AAAAAH5/vx4=")</f>
        <v>#VALUE!</v>
      </c>
      <c r="AF59" t="e">
        <f>AND('5to. Perito_A'!Q34,"AAAAAH5/vx8=")</f>
        <v>#VALUE!</v>
      </c>
      <c r="AG59" t="e">
        <f>AND('5to. Perito_A'!R34,"AAAAAH5/vyA=")</f>
        <v>#VALUE!</v>
      </c>
      <c r="AH59" t="e">
        <f>AND('5to. Perito_A'!S34,"AAAAAH5/vyE=")</f>
        <v>#VALUE!</v>
      </c>
      <c r="AI59" t="e">
        <f>AND('5to. Perito_A'!T34,"AAAAAH5/vyI=")</f>
        <v>#VALUE!</v>
      </c>
      <c r="AJ59" t="e">
        <f>AND('5to. Perito_A'!#REF!,"AAAAAH5/vyM=")</f>
        <v>#REF!</v>
      </c>
      <c r="AK59" t="e">
        <f>AND('5to. Perito_A'!#REF!,"AAAAAH5/vyQ=")</f>
        <v>#REF!</v>
      </c>
      <c r="AL59" t="e">
        <f>AND('5to. Perito_A'!#REF!,"AAAAAH5/vyU=")</f>
        <v>#REF!</v>
      </c>
      <c r="AM59" t="e">
        <f>AND('5to. Perito_A'!#REF!,"AAAAAH5/vyY=")</f>
        <v>#REF!</v>
      </c>
      <c r="AN59" t="e">
        <f>AND('5to. Perito_A'!#REF!,"AAAAAH5/vyc=")</f>
        <v>#REF!</v>
      </c>
      <c r="AO59">
        <f>IF('5to. Perito_A'!35:35,"AAAAAH5/vyg=",0)</f>
        <v>0</v>
      </c>
      <c r="AP59" t="e">
        <f>AND('5to. Perito_A'!A35,"AAAAAH5/vyk=")</f>
        <v>#VALUE!</v>
      </c>
      <c r="AQ59" t="e">
        <f>AND('5to. Perito_A'!B35,"AAAAAH5/vyo=")</f>
        <v>#VALUE!</v>
      </c>
      <c r="AR59" t="e">
        <f>AND('5to. Perito_A'!C35,"AAAAAH5/vys=")</f>
        <v>#VALUE!</v>
      </c>
      <c r="AS59" t="e">
        <f>AND('5to. Perito_A'!D35,"AAAAAH5/vyw=")</f>
        <v>#VALUE!</v>
      </c>
      <c r="AT59" t="e">
        <f>AND('5to. Perito_A'!E35,"AAAAAH5/vy0=")</f>
        <v>#VALUE!</v>
      </c>
      <c r="AU59" t="e">
        <f>AND('5to. Perito_A'!F35,"AAAAAH5/vy4=")</f>
        <v>#VALUE!</v>
      </c>
      <c r="AV59" t="e">
        <f>AND('5to. Perito_A'!G35,"AAAAAH5/vy8=")</f>
        <v>#VALUE!</v>
      </c>
      <c r="AW59" t="e">
        <f>AND('5to. Perito_A'!H35,"AAAAAH5/vzA=")</f>
        <v>#VALUE!</v>
      </c>
      <c r="AX59" t="e">
        <f>AND('5to. Perito_A'!I35,"AAAAAH5/vzE=")</f>
        <v>#VALUE!</v>
      </c>
      <c r="AY59" t="e">
        <f>AND('5to. Perito_A'!J35,"AAAAAH5/vzI=")</f>
        <v>#VALUE!</v>
      </c>
      <c r="AZ59" t="e">
        <f>AND('5to. Perito_A'!K35,"AAAAAH5/vzM=")</f>
        <v>#VALUE!</v>
      </c>
      <c r="BA59" t="e">
        <f>AND('5to. Perito_A'!L35,"AAAAAH5/vzQ=")</f>
        <v>#VALUE!</v>
      </c>
      <c r="BB59" t="e">
        <f>AND('5to. Perito_A'!M35,"AAAAAH5/vzU=")</f>
        <v>#VALUE!</v>
      </c>
      <c r="BC59" t="e">
        <f>AND('5to. Perito_A'!N35,"AAAAAH5/vzY=")</f>
        <v>#VALUE!</v>
      </c>
      <c r="BD59" t="e">
        <f>AND('5to. Perito_A'!O35,"AAAAAH5/vzc=")</f>
        <v>#VALUE!</v>
      </c>
      <c r="BE59" t="e">
        <f>AND('5to. Perito_A'!P35,"AAAAAH5/vzg=")</f>
        <v>#VALUE!</v>
      </c>
      <c r="BF59" t="e">
        <f>AND('5to. Perito_A'!Q35,"AAAAAH5/vzk=")</f>
        <v>#VALUE!</v>
      </c>
      <c r="BG59" t="e">
        <f>AND('5to. Perito_A'!R35,"AAAAAH5/vzo=")</f>
        <v>#VALUE!</v>
      </c>
      <c r="BH59" t="e">
        <f>AND('5to. Perito_A'!S35,"AAAAAH5/vzs=")</f>
        <v>#VALUE!</v>
      </c>
      <c r="BI59" t="e">
        <f>AND('5to. Perito_A'!T35,"AAAAAH5/vzw=")</f>
        <v>#VALUE!</v>
      </c>
      <c r="BJ59" t="e">
        <f>AND('5to. Perito_A'!#REF!,"AAAAAH5/vz0=")</f>
        <v>#REF!</v>
      </c>
      <c r="BK59" t="e">
        <f>AND('5to. Perito_A'!#REF!,"AAAAAH5/vz4=")</f>
        <v>#REF!</v>
      </c>
      <c r="BL59" t="e">
        <f>AND('5to. Perito_A'!#REF!,"AAAAAH5/vz8=")</f>
        <v>#REF!</v>
      </c>
      <c r="BM59" t="e">
        <f>AND('5to. Perito_A'!#REF!,"AAAAAH5/v0A=")</f>
        <v>#REF!</v>
      </c>
      <c r="BN59" t="e">
        <f>AND('5to. Perito_A'!#REF!,"AAAAAH5/v0E=")</f>
        <v>#REF!</v>
      </c>
      <c r="BO59">
        <f>IF('5to. Perito_A'!36:36,"AAAAAH5/v0I=",0)</f>
        <v>0</v>
      </c>
      <c r="BP59" t="e">
        <f>AND('5to. Perito_A'!A36,"AAAAAH5/v0M=")</f>
        <v>#VALUE!</v>
      </c>
      <c r="BQ59" t="e">
        <f>AND('5to. Perito_A'!B36,"AAAAAH5/v0Q=")</f>
        <v>#VALUE!</v>
      </c>
      <c r="BR59" t="e">
        <f>AND('5to. Perito_A'!C36,"AAAAAH5/v0U=")</f>
        <v>#VALUE!</v>
      </c>
      <c r="BS59" t="e">
        <f>AND('5to. Perito_A'!D36,"AAAAAH5/v0Y=")</f>
        <v>#VALUE!</v>
      </c>
      <c r="BT59" t="e">
        <f>AND('5to. Perito_A'!E36,"AAAAAH5/v0c=")</f>
        <v>#VALUE!</v>
      </c>
      <c r="BU59" t="e">
        <f>AND('5to. Perito_A'!F36,"AAAAAH5/v0g=")</f>
        <v>#VALUE!</v>
      </c>
      <c r="BV59" t="e">
        <f>AND('5to. Perito_A'!G36,"AAAAAH5/v0k=")</f>
        <v>#VALUE!</v>
      </c>
      <c r="BW59" t="e">
        <f>AND('5to. Perito_A'!H36,"AAAAAH5/v0o=")</f>
        <v>#VALUE!</v>
      </c>
      <c r="BX59" t="e">
        <f>AND('5to. Perito_A'!I36,"AAAAAH5/v0s=")</f>
        <v>#VALUE!</v>
      </c>
      <c r="BY59" t="e">
        <f>AND('5to. Perito_A'!J36,"AAAAAH5/v0w=")</f>
        <v>#VALUE!</v>
      </c>
      <c r="BZ59" t="e">
        <f>AND('5to. Perito_A'!K36,"AAAAAH5/v00=")</f>
        <v>#VALUE!</v>
      </c>
      <c r="CA59" t="e">
        <f>AND('5to. Perito_A'!L36,"AAAAAH5/v04=")</f>
        <v>#VALUE!</v>
      </c>
      <c r="CB59" t="e">
        <f>AND('5to. Perito_A'!M36,"AAAAAH5/v08=")</f>
        <v>#VALUE!</v>
      </c>
      <c r="CC59" t="e">
        <f>AND('5to. Perito_A'!N36,"AAAAAH5/v1A=")</f>
        <v>#VALUE!</v>
      </c>
      <c r="CD59" t="e">
        <f>AND('5to. Perito_A'!O36,"AAAAAH5/v1E=")</f>
        <v>#VALUE!</v>
      </c>
      <c r="CE59" t="e">
        <f>AND('5to. Perito_A'!P36,"AAAAAH5/v1I=")</f>
        <v>#VALUE!</v>
      </c>
      <c r="CF59" t="e">
        <f>AND('5to. Perito_A'!Q36,"AAAAAH5/v1M=")</f>
        <v>#VALUE!</v>
      </c>
      <c r="CG59" t="e">
        <f>AND('5to. Perito_A'!R36,"AAAAAH5/v1Q=")</f>
        <v>#VALUE!</v>
      </c>
      <c r="CH59" t="e">
        <f>AND('5to. Perito_A'!S36,"AAAAAH5/v1U=")</f>
        <v>#VALUE!</v>
      </c>
      <c r="CI59" t="e">
        <f>AND('5to. Perito_A'!T36,"AAAAAH5/v1Y=")</f>
        <v>#VALUE!</v>
      </c>
      <c r="CJ59" t="e">
        <f>AND('5to. Perito_A'!#REF!,"AAAAAH5/v1c=")</f>
        <v>#REF!</v>
      </c>
      <c r="CK59" t="e">
        <f>AND('5to. Perito_A'!#REF!,"AAAAAH5/v1g=")</f>
        <v>#REF!</v>
      </c>
      <c r="CL59" t="e">
        <f>AND('5to. Perito_A'!#REF!,"AAAAAH5/v1k=")</f>
        <v>#REF!</v>
      </c>
      <c r="CM59" t="e">
        <f>AND('5to. Perito_A'!#REF!,"AAAAAH5/v1o=")</f>
        <v>#REF!</v>
      </c>
      <c r="CN59" t="e">
        <f>AND('5to. Perito_A'!#REF!,"AAAAAH5/v1s=")</f>
        <v>#REF!</v>
      </c>
      <c r="CO59">
        <f>IF('5to. Perito_A'!37:37,"AAAAAH5/v1w=",0)</f>
        <v>0</v>
      </c>
      <c r="CP59" t="e">
        <f>AND('5to. Perito_A'!A37,"AAAAAH5/v10=")</f>
        <v>#VALUE!</v>
      </c>
      <c r="CQ59" t="e">
        <f>AND('5to. Perito_A'!B37,"AAAAAH5/v14=")</f>
        <v>#VALUE!</v>
      </c>
      <c r="CR59" t="e">
        <f>AND('5to. Perito_A'!C37,"AAAAAH5/v18=")</f>
        <v>#VALUE!</v>
      </c>
      <c r="CS59" t="e">
        <f>AND('5to. Perito_A'!D37,"AAAAAH5/v2A=")</f>
        <v>#VALUE!</v>
      </c>
      <c r="CT59" t="e">
        <f>AND('5to. Perito_A'!E37,"AAAAAH5/v2E=")</f>
        <v>#VALUE!</v>
      </c>
      <c r="CU59" t="e">
        <f>AND('5to. Perito_A'!F37,"AAAAAH5/v2I=")</f>
        <v>#VALUE!</v>
      </c>
      <c r="CV59" t="e">
        <f>AND('5to. Perito_A'!G37,"AAAAAH5/v2M=")</f>
        <v>#VALUE!</v>
      </c>
      <c r="CW59" t="e">
        <f>AND('5to. Perito_A'!H37,"AAAAAH5/v2Q=")</f>
        <v>#VALUE!</v>
      </c>
      <c r="CX59" t="e">
        <f>AND('5to. Perito_A'!I37,"AAAAAH5/v2U=")</f>
        <v>#VALUE!</v>
      </c>
      <c r="CY59" t="e">
        <f>AND('5to. Perito_A'!J37,"AAAAAH5/v2Y=")</f>
        <v>#VALUE!</v>
      </c>
      <c r="CZ59" t="e">
        <f>AND('5to. Perito_A'!K37,"AAAAAH5/v2c=")</f>
        <v>#VALUE!</v>
      </c>
      <c r="DA59" t="e">
        <f>AND('5to. Perito_A'!L37,"AAAAAH5/v2g=")</f>
        <v>#VALUE!</v>
      </c>
      <c r="DB59" t="e">
        <f>AND('5to. Perito_A'!M37,"AAAAAH5/v2k=")</f>
        <v>#VALUE!</v>
      </c>
      <c r="DC59" t="e">
        <f>AND('5to. Perito_A'!N37,"AAAAAH5/v2o=")</f>
        <v>#VALUE!</v>
      </c>
      <c r="DD59" t="e">
        <f>AND('5to. Perito_A'!O37,"AAAAAH5/v2s=")</f>
        <v>#VALUE!</v>
      </c>
      <c r="DE59" t="e">
        <f>AND('5to. Perito_A'!P37,"AAAAAH5/v2w=")</f>
        <v>#VALUE!</v>
      </c>
      <c r="DF59" t="e">
        <f>AND('5to. Perito_A'!Q37,"AAAAAH5/v20=")</f>
        <v>#VALUE!</v>
      </c>
      <c r="DG59" t="e">
        <f>AND('5to. Perito_A'!R37,"AAAAAH5/v24=")</f>
        <v>#VALUE!</v>
      </c>
      <c r="DH59" t="e">
        <f>AND('5to. Perito_A'!S37,"AAAAAH5/v28=")</f>
        <v>#VALUE!</v>
      </c>
      <c r="DI59" t="e">
        <f>AND('5to. Perito_A'!T37,"AAAAAH5/v3A=")</f>
        <v>#VALUE!</v>
      </c>
      <c r="DJ59" t="e">
        <f>AND('5to. Perito_A'!#REF!,"AAAAAH5/v3E=")</f>
        <v>#REF!</v>
      </c>
      <c r="DK59" t="e">
        <f>AND('5to. Perito_A'!#REF!,"AAAAAH5/v3I=")</f>
        <v>#REF!</v>
      </c>
      <c r="DL59" t="e">
        <f>AND('5to. Perito_A'!#REF!,"AAAAAH5/v3M=")</f>
        <v>#REF!</v>
      </c>
      <c r="DM59" t="e">
        <f>AND('5to. Perito_A'!#REF!,"AAAAAH5/v3Q=")</f>
        <v>#REF!</v>
      </c>
      <c r="DN59" t="e">
        <f>AND('5to. Perito_A'!#REF!,"AAAAAH5/v3U=")</f>
        <v>#REF!</v>
      </c>
      <c r="DO59">
        <f>IF('5to. Perito_A'!38:38,"AAAAAH5/v3Y=",0)</f>
        <v>0</v>
      </c>
      <c r="DP59" t="e">
        <f>AND('5to. Perito_A'!A38,"AAAAAH5/v3c=")</f>
        <v>#VALUE!</v>
      </c>
      <c r="DQ59" t="e">
        <f>AND('5to. Perito_A'!B38,"AAAAAH5/v3g=")</f>
        <v>#VALUE!</v>
      </c>
      <c r="DR59" t="e">
        <f>AND('5to. Perito_A'!C38,"AAAAAH5/v3k=")</f>
        <v>#VALUE!</v>
      </c>
      <c r="DS59" t="e">
        <f>AND('5to. Perito_A'!D38,"AAAAAH5/v3o=")</f>
        <v>#VALUE!</v>
      </c>
      <c r="DT59" t="e">
        <f>AND('5to. Perito_A'!E38,"AAAAAH5/v3s=")</f>
        <v>#VALUE!</v>
      </c>
      <c r="DU59" t="e">
        <f>AND('5to. Perito_A'!F38,"AAAAAH5/v3w=")</f>
        <v>#VALUE!</v>
      </c>
      <c r="DV59" t="e">
        <f>AND('5to. Perito_A'!G38,"AAAAAH5/v30=")</f>
        <v>#VALUE!</v>
      </c>
      <c r="DW59" t="e">
        <f>AND('5to. Perito_A'!H38,"AAAAAH5/v34=")</f>
        <v>#VALUE!</v>
      </c>
      <c r="DX59" t="e">
        <f>AND('5to. Perito_A'!I38,"AAAAAH5/v38=")</f>
        <v>#VALUE!</v>
      </c>
      <c r="DY59" t="e">
        <f>AND('5to. Perito_A'!J38,"AAAAAH5/v4A=")</f>
        <v>#VALUE!</v>
      </c>
      <c r="DZ59" t="e">
        <f>AND('5to. Perito_A'!K38,"AAAAAH5/v4E=")</f>
        <v>#VALUE!</v>
      </c>
      <c r="EA59" t="e">
        <f>AND('5to. Perito_A'!L38,"AAAAAH5/v4I=")</f>
        <v>#VALUE!</v>
      </c>
      <c r="EB59" t="e">
        <f>AND('5to. Perito_A'!M38,"AAAAAH5/v4M=")</f>
        <v>#VALUE!</v>
      </c>
      <c r="EC59" t="e">
        <f>AND('5to. Perito_A'!N38,"AAAAAH5/v4Q=")</f>
        <v>#VALUE!</v>
      </c>
      <c r="ED59" t="e">
        <f>AND('5to. Perito_A'!O38,"AAAAAH5/v4U=")</f>
        <v>#VALUE!</v>
      </c>
      <c r="EE59" t="e">
        <f>AND('5to. Perito_A'!P38,"AAAAAH5/v4Y=")</f>
        <v>#VALUE!</v>
      </c>
      <c r="EF59" t="e">
        <f>AND('5to. Perito_A'!Q38,"AAAAAH5/v4c=")</f>
        <v>#VALUE!</v>
      </c>
      <c r="EG59" t="e">
        <f>AND('5to. Perito_A'!R38,"AAAAAH5/v4g=")</f>
        <v>#VALUE!</v>
      </c>
      <c r="EH59" t="e">
        <f>AND('5to. Perito_A'!S38,"AAAAAH5/v4k=")</f>
        <v>#VALUE!</v>
      </c>
      <c r="EI59" t="e">
        <f>AND('5to. Perito_A'!T38,"AAAAAH5/v4o=")</f>
        <v>#VALUE!</v>
      </c>
      <c r="EJ59" t="e">
        <f>AND('5to. Perito_A'!#REF!,"AAAAAH5/v4s=")</f>
        <v>#REF!</v>
      </c>
      <c r="EK59" t="e">
        <f>AND('5to. Perito_A'!#REF!,"AAAAAH5/v4w=")</f>
        <v>#REF!</v>
      </c>
      <c r="EL59" t="e">
        <f>AND('5to. Perito_A'!#REF!,"AAAAAH5/v40=")</f>
        <v>#REF!</v>
      </c>
      <c r="EM59" t="e">
        <f>AND('5to. Perito_A'!#REF!,"AAAAAH5/v44=")</f>
        <v>#REF!</v>
      </c>
      <c r="EN59" t="e">
        <f>AND('5to. Perito_A'!#REF!,"AAAAAH5/v48=")</f>
        <v>#REF!</v>
      </c>
      <c r="EO59">
        <f>IF('5to. Perito_A'!39:39,"AAAAAH5/v5A=",0)</f>
        <v>0</v>
      </c>
      <c r="EP59" t="e">
        <f>AND('5to. Perito_A'!A39,"AAAAAH5/v5E=")</f>
        <v>#VALUE!</v>
      </c>
      <c r="EQ59" t="e">
        <f>AND('5to. Perito_A'!B39,"AAAAAH5/v5I=")</f>
        <v>#VALUE!</v>
      </c>
      <c r="ER59" t="e">
        <f>AND('5to. Perito_A'!C39,"AAAAAH5/v5M=")</f>
        <v>#VALUE!</v>
      </c>
      <c r="ES59" t="e">
        <f>AND('5to. Perito_A'!D39,"AAAAAH5/v5Q=")</f>
        <v>#VALUE!</v>
      </c>
      <c r="ET59" t="e">
        <f>AND('5to. Perito_A'!E39,"AAAAAH5/v5U=")</f>
        <v>#VALUE!</v>
      </c>
      <c r="EU59" t="e">
        <f>AND('5to. Perito_A'!F39,"AAAAAH5/v5Y=")</f>
        <v>#VALUE!</v>
      </c>
      <c r="EV59" t="e">
        <f>AND('5to. Perito_A'!G39,"AAAAAH5/v5c=")</f>
        <v>#VALUE!</v>
      </c>
      <c r="EW59" t="e">
        <f>AND('5to. Perito_A'!H39,"AAAAAH5/v5g=")</f>
        <v>#VALUE!</v>
      </c>
      <c r="EX59" t="e">
        <f>AND('5to. Perito_A'!I39,"AAAAAH5/v5k=")</f>
        <v>#VALUE!</v>
      </c>
      <c r="EY59" t="e">
        <f>AND('5to. Perito_A'!J39,"AAAAAH5/v5o=")</f>
        <v>#VALUE!</v>
      </c>
      <c r="EZ59" t="e">
        <f>AND('5to. Perito_A'!K39,"AAAAAH5/v5s=")</f>
        <v>#VALUE!</v>
      </c>
      <c r="FA59" t="e">
        <f>AND('5to. Perito_A'!L39,"AAAAAH5/v5w=")</f>
        <v>#VALUE!</v>
      </c>
      <c r="FB59" t="e">
        <f>AND('5to. Perito_A'!M39,"AAAAAH5/v50=")</f>
        <v>#VALUE!</v>
      </c>
      <c r="FC59" t="e">
        <f>AND('5to. Perito_A'!N39,"AAAAAH5/v54=")</f>
        <v>#VALUE!</v>
      </c>
      <c r="FD59" t="e">
        <f>AND('5to. Perito_A'!O39,"AAAAAH5/v58=")</f>
        <v>#VALUE!</v>
      </c>
      <c r="FE59" t="e">
        <f>AND('5to. Perito_A'!P39,"AAAAAH5/v6A=")</f>
        <v>#VALUE!</v>
      </c>
      <c r="FF59" t="e">
        <f>AND('5to. Perito_A'!Q39,"AAAAAH5/v6E=")</f>
        <v>#VALUE!</v>
      </c>
      <c r="FG59" t="e">
        <f>AND('5to. Perito_A'!R39,"AAAAAH5/v6I=")</f>
        <v>#VALUE!</v>
      </c>
      <c r="FH59" t="e">
        <f>AND('5to. Perito_A'!S39,"AAAAAH5/v6M=")</f>
        <v>#VALUE!</v>
      </c>
      <c r="FI59" t="e">
        <f>AND('5to. Perito_A'!T39,"AAAAAH5/v6Q=")</f>
        <v>#VALUE!</v>
      </c>
      <c r="FJ59" t="e">
        <f>AND('5to. Perito_A'!#REF!,"AAAAAH5/v6U=")</f>
        <v>#REF!</v>
      </c>
      <c r="FK59" t="e">
        <f>AND('5to. Perito_A'!#REF!,"AAAAAH5/v6Y=")</f>
        <v>#REF!</v>
      </c>
      <c r="FL59" t="e">
        <f>AND('5to. Perito_A'!#REF!,"AAAAAH5/v6c=")</f>
        <v>#REF!</v>
      </c>
      <c r="FM59" t="e">
        <f>AND('5to. Perito_A'!#REF!,"AAAAAH5/v6g=")</f>
        <v>#REF!</v>
      </c>
      <c r="FN59" t="e">
        <f>AND('5to. Perito_A'!#REF!,"AAAAAH5/v6k=")</f>
        <v>#REF!</v>
      </c>
      <c r="FO59">
        <f>IF('5to. Perito_A'!40:40,"AAAAAH5/v6o=",0)</f>
        <v>0</v>
      </c>
      <c r="FP59" t="e">
        <f>AND('5to. Perito_A'!A40,"AAAAAH5/v6s=")</f>
        <v>#VALUE!</v>
      </c>
      <c r="FQ59" t="e">
        <f>AND('5to. Perito_A'!B40,"AAAAAH5/v6w=")</f>
        <v>#VALUE!</v>
      </c>
      <c r="FR59" t="e">
        <f>AND('5to. Perito_A'!C40,"AAAAAH5/v60=")</f>
        <v>#VALUE!</v>
      </c>
      <c r="FS59" t="e">
        <f>AND('5to. Perito_A'!D40,"AAAAAH5/v64=")</f>
        <v>#VALUE!</v>
      </c>
      <c r="FT59" t="e">
        <f>AND('5to. Perito_A'!E40,"AAAAAH5/v68=")</f>
        <v>#VALUE!</v>
      </c>
      <c r="FU59" t="e">
        <f>AND('5to. Perito_A'!F40,"AAAAAH5/v7A=")</f>
        <v>#VALUE!</v>
      </c>
      <c r="FV59" t="e">
        <f>AND('5to. Perito_A'!G40,"AAAAAH5/v7E=")</f>
        <v>#VALUE!</v>
      </c>
      <c r="FW59" t="e">
        <f>AND('5to. Perito_A'!H40,"AAAAAH5/v7I=")</f>
        <v>#VALUE!</v>
      </c>
      <c r="FX59" t="e">
        <f>AND('5to. Perito_A'!I40,"AAAAAH5/v7M=")</f>
        <v>#VALUE!</v>
      </c>
      <c r="FY59" t="e">
        <f>AND('5to. Perito_A'!J40,"AAAAAH5/v7Q=")</f>
        <v>#VALUE!</v>
      </c>
      <c r="FZ59" t="e">
        <f>AND('5to. Perito_A'!K40,"AAAAAH5/v7U=")</f>
        <v>#VALUE!</v>
      </c>
      <c r="GA59" t="e">
        <f>AND('5to. Perito_A'!L40,"AAAAAH5/v7Y=")</f>
        <v>#VALUE!</v>
      </c>
      <c r="GB59" t="e">
        <f>AND('5to. Perito_A'!M40,"AAAAAH5/v7c=")</f>
        <v>#VALUE!</v>
      </c>
      <c r="GC59" t="e">
        <f>AND('5to. Perito_A'!N40,"AAAAAH5/v7g=")</f>
        <v>#VALUE!</v>
      </c>
      <c r="GD59" t="e">
        <f>AND('5to. Perito_A'!O40,"AAAAAH5/v7k=")</f>
        <v>#VALUE!</v>
      </c>
      <c r="GE59" t="e">
        <f>AND('5to. Perito_A'!P40,"AAAAAH5/v7o=")</f>
        <v>#VALUE!</v>
      </c>
      <c r="GF59" t="e">
        <f>AND('5to. Perito_A'!Q40,"AAAAAH5/v7s=")</f>
        <v>#VALUE!</v>
      </c>
      <c r="GG59" t="e">
        <f>AND('5to. Perito_A'!R40,"AAAAAH5/v7w=")</f>
        <v>#VALUE!</v>
      </c>
      <c r="GH59" t="e">
        <f>AND('5to. Perito_A'!S40,"AAAAAH5/v70=")</f>
        <v>#VALUE!</v>
      </c>
      <c r="GI59" t="e">
        <f>AND('5to. Perito_A'!T40,"AAAAAH5/v74=")</f>
        <v>#VALUE!</v>
      </c>
      <c r="GJ59" t="e">
        <f>AND('5to. Perito_A'!#REF!,"AAAAAH5/v78=")</f>
        <v>#REF!</v>
      </c>
      <c r="GK59" t="e">
        <f>AND('5to. Perito_A'!#REF!,"AAAAAH5/v8A=")</f>
        <v>#REF!</v>
      </c>
      <c r="GL59" t="e">
        <f>AND('5to. Perito_A'!#REF!,"AAAAAH5/v8E=")</f>
        <v>#REF!</v>
      </c>
      <c r="GM59" t="e">
        <f>AND('5to. Perito_A'!#REF!,"AAAAAH5/v8I=")</f>
        <v>#REF!</v>
      </c>
      <c r="GN59" t="e">
        <f>AND('5to. Perito_A'!#REF!,"AAAAAH5/v8M=")</f>
        <v>#REF!</v>
      </c>
      <c r="GO59" t="e">
        <f>IF('5to. Perito_A'!#REF!,"AAAAAH5/v8Q=",0)</f>
        <v>#REF!</v>
      </c>
      <c r="GP59" t="e">
        <f>AND('5to. Perito_A'!#REF!,"AAAAAH5/v8U=")</f>
        <v>#REF!</v>
      </c>
      <c r="GQ59" t="e">
        <f>AND('5to. Perito_A'!#REF!,"AAAAAH5/v8Y=")</f>
        <v>#REF!</v>
      </c>
      <c r="GR59" t="e">
        <f>AND('5to. Perito_A'!#REF!,"AAAAAH5/v8c=")</f>
        <v>#REF!</v>
      </c>
      <c r="GS59" t="e">
        <f>AND('5to. Perito_A'!#REF!,"AAAAAH5/v8g=")</f>
        <v>#REF!</v>
      </c>
      <c r="GT59" t="e">
        <f>AND('5to. Perito_A'!#REF!,"AAAAAH5/v8k=")</f>
        <v>#REF!</v>
      </c>
      <c r="GU59" t="e">
        <f>AND('5to. Perito_A'!#REF!,"AAAAAH5/v8o=")</f>
        <v>#REF!</v>
      </c>
      <c r="GV59" t="e">
        <f>AND('5to. Perito_A'!#REF!,"AAAAAH5/v8s=")</f>
        <v>#REF!</v>
      </c>
      <c r="GW59" t="e">
        <f>AND('5to. Perito_A'!#REF!,"AAAAAH5/v8w=")</f>
        <v>#REF!</v>
      </c>
      <c r="GX59" t="e">
        <f>AND('5to. Perito_A'!#REF!,"AAAAAH5/v80=")</f>
        <v>#REF!</v>
      </c>
      <c r="GY59" t="e">
        <f>AND('5to. Perito_A'!#REF!,"AAAAAH5/v84=")</f>
        <v>#REF!</v>
      </c>
      <c r="GZ59" t="e">
        <f>AND('5to. Perito_A'!#REF!,"AAAAAH5/v88=")</f>
        <v>#REF!</v>
      </c>
      <c r="HA59" t="e">
        <f>AND('5to. Perito_A'!#REF!,"AAAAAH5/v9A=")</f>
        <v>#REF!</v>
      </c>
      <c r="HB59" t="e">
        <f>AND('5to. Perito_A'!#REF!,"AAAAAH5/v9E=")</f>
        <v>#REF!</v>
      </c>
      <c r="HC59" t="e">
        <f>AND('5to. Perito_A'!#REF!,"AAAAAH5/v9I=")</f>
        <v>#REF!</v>
      </c>
      <c r="HD59" t="e">
        <f>AND('5to. Perito_A'!#REF!,"AAAAAH5/v9M=")</f>
        <v>#REF!</v>
      </c>
      <c r="HE59" t="e">
        <f>AND('5to. Perito_A'!#REF!,"AAAAAH5/v9Q=")</f>
        <v>#REF!</v>
      </c>
      <c r="HF59" t="e">
        <f>AND('5to. Perito_A'!#REF!,"AAAAAH5/v9U=")</f>
        <v>#REF!</v>
      </c>
      <c r="HG59" t="e">
        <f>AND('5to. Perito_A'!#REF!,"AAAAAH5/v9Y=")</f>
        <v>#REF!</v>
      </c>
      <c r="HH59" t="e">
        <f>AND('5to. Perito_A'!#REF!,"AAAAAH5/v9c=")</f>
        <v>#REF!</v>
      </c>
      <c r="HI59" t="e">
        <f>AND('5to. Perito_A'!#REF!,"AAAAAH5/v9g=")</f>
        <v>#REF!</v>
      </c>
      <c r="HJ59" t="e">
        <f>AND('5to. Perito_A'!#REF!,"AAAAAH5/v9k=")</f>
        <v>#REF!</v>
      </c>
      <c r="HK59" t="e">
        <f>AND('5to. Perito_A'!#REF!,"AAAAAH5/v9o=")</f>
        <v>#REF!</v>
      </c>
      <c r="HL59" t="e">
        <f>AND('5to. Perito_A'!#REF!,"AAAAAH5/v9s=")</f>
        <v>#REF!</v>
      </c>
      <c r="HM59" t="e">
        <f>AND('5to. Perito_A'!#REF!,"AAAAAH5/v9w=")</f>
        <v>#REF!</v>
      </c>
      <c r="HN59" t="e">
        <f>AND('5to. Perito_A'!#REF!,"AAAAAH5/v90=")</f>
        <v>#REF!</v>
      </c>
      <c r="HO59" t="e">
        <f>IF('5to. Perito_A'!#REF!,"AAAAAH5/v94=",0)</f>
        <v>#REF!</v>
      </c>
      <c r="HP59" t="e">
        <f>AND('5to. Perito_A'!#REF!,"AAAAAH5/v98=")</f>
        <v>#REF!</v>
      </c>
      <c r="HQ59" t="e">
        <f>AND('5to. Perito_A'!#REF!,"AAAAAH5/v+A=")</f>
        <v>#REF!</v>
      </c>
      <c r="HR59" t="e">
        <f>AND('5to. Perito_A'!#REF!,"AAAAAH5/v+E=")</f>
        <v>#REF!</v>
      </c>
      <c r="HS59" t="e">
        <f>AND('5to. Perito_A'!#REF!,"AAAAAH5/v+I=")</f>
        <v>#REF!</v>
      </c>
      <c r="HT59" t="e">
        <f>AND('5to. Perito_A'!#REF!,"AAAAAH5/v+M=")</f>
        <v>#REF!</v>
      </c>
      <c r="HU59" t="e">
        <f>AND('5to. Perito_A'!#REF!,"AAAAAH5/v+Q=")</f>
        <v>#REF!</v>
      </c>
      <c r="HV59" t="e">
        <f>AND('5to. Perito_A'!#REF!,"AAAAAH5/v+U=")</f>
        <v>#REF!</v>
      </c>
      <c r="HW59" t="e">
        <f>AND('5to. Perito_A'!#REF!,"AAAAAH5/v+Y=")</f>
        <v>#REF!</v>
      </c>
      <c r="HX59" t="e">
        <f>AND('5to. Perito_A'!#REF!,"AAAAAH5/v+c=")</f>
        <v>#REF!</v>
      </c>
      <c r="HY59" t="e">
        <f>AND('5to. Perito_A'!#REF!,"AAAAAH5/v+g=")</f>
        <v>#REF!</v>
      </c>
      <c r="HZ59" t="e">
        <f>AND('5to. Perito_A'!#REF!,"AAAAAH5/v+k=")</f>
        <v>#REF!</v>
      </c>
      <c r="IA59" t="e">
        <f>AND('5to. Perito_A'!#REF!,"AAAAAH5/v+o=")</f>
        <v>#REF!</v>
      </c>
      <c r="IB59" t="e">
        <f>AND('5to. Perito_A'!#REF!,"AAAAAH5/v+s=")</f>
        <v>#REF!</v>
      </c>
      <c r="IC59" t="e">
        <f>AND('5to. Perito_A'!#REF!,"AAAAAH5/v+w=")</f>
        <v>#REF!</v>
      </c>
      <c r="ID59" t="e">
        <f>AND('5to. Perito_A'!#REF!,"AAAAAH5/v+0=")</f>
        <v>#REF!</v>
      </c>
      <c r="IE59" t="e">
        <f>AND('5to. Perito_A'!#REF!,"AAAAAH5/v+4=")</f>
        <v>#REF!</v>
      </c>
      <c r="IF59" t="e">
        <f>AND('5to. Perito_A'!#REF!,"AAAAAH5/v+8=")</f>
        <v>#REF!</v>
      </c>
      <c r="IG59" t="e">
        <f>AND('5to. Perito_A'!#REF!,"AAAAAH5/v/A=")</f>
        <v>#REF!</v>
      </c>
      <c r="IH59" t="e">
        <f>AND('5to. Perito_A'!#REF!,"AAAAAH5/v/E=")</f>
        <v>#REF!</v>
      </c>
      <c r="II59" t="e">
        <f>AND('5to. Perito_A'!#REF!,"AAAAAH5/v/I=")</f>
        <v>#REF!</v>
      </c>
      <c r="IJ59" t="e">
        <f>AND('5to. Perito_A'!#REF!,"AAAAAH5/v/M=")</f>
        <v>#REF!</v>
      </c>
      <c r="IK59" t="e">
        <f>AND('5to. Perito_A'!#REF!,"AAAAAH5/v/Q=")</f>
        <v>#REF!</v>
      </c>
      <c r="IL59" t="e">
        <f>AND('5to. Perito_A'!#REF!,"AAAAAH5/v/U=")</f>
        <v>#REF!</v>
      </c>
      <c r="IM59" t="e">
        <f>AND('5to. Perito_A'!#REF!,"AAAAAH5/v/Y=")</f>
        <v>#REF!</v>
      </c>
      <c r="IN59" t="e">
        <f>AND('5to. Perito_A'!#REF!,"AAAAAH5/v/c=")</f>
        <v>#REF!</v>
      </c>
      <c r="IO59" t="e">
        <f>IF('5to. Perito_A'!#REF!,"AAAAAH5/v/g=",0)</f>
        <v>#REF!</v>
      </c>
      <c r="IP59" t="e">
        <f>AND('5to. Perito_A'!#REF!,"AAAAAH5/v/k=")</f>
        <v>#REF!</v>
      </c>
      <c r="IQ59" t="e">
        <f>AND('5to. Perito_A'!#REF!,"AAAAAH5/v/o=")</f>
        <v>#REF!</v>
      </c>
      <c r="IR59" t="e">
        <f>AND('5to. Perito_A'!#REF!,"AAAAAH5/v/s=")</f>
        <v>#REF!</v>
      </c>
      <c r="IS59" t="e">
        <f>AND('5to. Perito_A'!#REF!,"AAAAAH5/v/w=")</f>
        <v>#REF!</v>
      </c>
      <c r="IT59" t="e">
        <f>AND('5to. Perito_A'!#REF!,"AAAAAH5/v/0=")</f>
        <v>#REF!</v>
      </c>
      <c r="IU59" t="e">
        <f>AND('5to. Perito_A'!#REF!,"AAAAAH5/v/4=")</f>
        <v>#REF!</v>
      </c>
      <c r="IV59" t="e">
        <f>AND('5to. Perito_A'!#REF!,"AAAAAH5/v/8=")</f>
        <v>#REF!</v>
      </c>
    </row>
    <row r="60" spans="1:256">
      <c r="A60" t="e">
        <f>AND('5to. Perito_A'!#REF!,"AAAAAFP3/QA=")</f>
        <v>#REF!</v>
      </c>
      <c r="B60" t="e">
        <f>AND('5to. Perito_A'!#REF!,"AAAAAFP3/QE=")</f>
        <v>#REF!</v>
      </c>
      <c r="C60" t="e">
        <f>AND('5to. Perito_A'!#REF!,"AAAAAFP3/QI=")</f>
        <v>#REF!</v>
      </c>
      <c r="D60" t="e">
        <f>AND('5to. Perito_A'!#REF!,"AAAAAFP3/QM=")</f>
        <v>#REF!</v>
      </c>
      <c r="E60" t="e">
        <f>AND('5to. Perito_A'!#REF!,"AAAAAFP3/QQ=")</f>
        <v>#REF!</v>
      </c>
      <c r="F60" t="e">
        <f>AND('5to. Perito_A'!#REF!,"AAAAAFP3/QU=")</f>
        <v>#REF!</v>
      </c>
      <c r="G60" t="e">
        <f>AND('5to. Perito_A'!#REF!,"AAAAAFP3/QY=")</f>
        <v>#REF!</v>
      </c>
      <c r="H60" t="e">
        <f>AND('5to. Perito_A'!#REF!,"AAAAAFP3/Qc=")</f>
        <v>#REF!</v>
      </c>
      <c r="I60" t="e">
        <f>AND('5to. Perito_A'!#REF!,"AAAAAFP3/Qg=")</f>
        <v>#REF!</v>
      </c>
      <c r="J60" t="e">
        <f>AND('5to. Perito_A'!#REF!,"AAAAAFP3/Qk=")</f>
        <v>#REF!</v>
      </c>
      <c r="K60" t="e">
        <f>AND('5to. Perito_A'!#REF!,"AAAAAFP3/Qo=")</f>
        <v>#REF!</v>
      </c>
      <c r="L60" t="e">
        <f>AND('5to. Perito_A'!#REF!,"AAAAAFP3/Qs=")</f>
        <v>#REF!</v>
      </c>
      <c r="M60" t="e">
        <f>AND('5to. Perito_A'!#REF!,"AAAAAFP3/Qw=")</f>
        <v>#REF!</v>
      </c>
      <c r="N60" t="e">
        <f>AND('5to. Perito_A'!#REF!,"AAAAAFP3/Q0=")</f>
        <v>#REF!</v>
      </c>
      <c r="O60" t="e">
        <f>AND('5to. Perito_A'!#REF!,"AAAAAFP3/Q4=")</f>
        <v>#REF!</v>
      </c>
      <c r="P60" t="e">
        <f>AND('5to. Perito_A'!#REF!,"AAAAAFP3/Q8=")</f>
        <v>#REF!</v>
      </c>
      <c r="Q60" t="e">
        <f>AND('5to. Perito_A'!#REF!,"AAAAAFP3/RA=")</f>
        <v>#REF!</v>
      </c>
      <c r="R60" t="e">
        <f>AND('5to. Perito_A'!#REF!,"AAAAAFP3/RE=")</f>
        <v>#REF!</v>
      </c>
      <c r="S60" t="e">
        <f>IF('5to. Perito_A'!#REF!,"AAAAAFP3/RI=",0)</f>
        <v>#REF!</v>
      </c>
      <c r="T60" t="e">
        <f>AND('5to. Perito_A'!#REF!,"AAAAAFP3/RM=")</f>
        <v>#REF!</v>
      </c>
      <c r="U60" t="e">
        <f>AND('5to. Perito_A'!#REF!,"AAAAAFP3/RQ=")</f>
        <v>#REF!</v>
      </c>
      <c r="V60" t="e">
        <f>AND('5to. Perito_A'!#REF!,"AAAAAFP3/RU=")</f>
        <v>#REF!</v>
      </c>
      <c r="W60" t="e">
        <f>AND('5to. Perito_A'!#REF!,"AAAAAFP3/RY=")</f>
        <v>#REF!</v>
      </c>
      <c r="X60" t="e">
        <f>AND('5to. Perito_A'!#REF!,"AAAAAFP3/Rc=")</f>
        <v>#REF!</v>
      </c>
      <c r="Y60" t="e">
        <f>AND('5to. Perito_A'!#REF!,"AAAAAFP3/Rg=")</f>
        <v>#REF!</v>
      </c>
      <c r="Z60" t="e">
        <f>AND('5to. Perito_A'!#REF!,"AAAAAFP3/Rk=")</f>
        <v>#REF!</v>
      </c>
      <c r="AA60" t="e">
        <f>AND('5to. Perito_A'!#REF!,"AAAAAFP3/Ro=")</f>
        <v>#REF!</v>
      </c>
      <c r="AB60" t="e">
        <f>AND('5to. Perito_A'!#REF!,"AAAAAFP3/Rs=")</f>
        <v>#REF!</v>
      </c>
      <c r="AC60" t="e">
        <f>AND('5to. Perito_A'!#REF!,"AAAAAFP3/Rw=")</f>
        <v>#REF!</v>
      </c>
      <c r="AD60" t="e">
        <f>AND('5to. Perito_A'!#REF!,"AAAAAFP3/R0=")</f>
        <v>#REF!</v>
      </c>
      <c r="AE60" t="e">
        <f>AND('5to. Perito_A'!#REF!,"AAAAAFP3/R4=")</f>
        <v>#REF!</v>
      </c>
      <c r="AF60" t="e">
        <f>AND('5to. Perito_A'!#REF!,"AAAAAFP3/R8=")</f>
        <v>#REF!</v>
      </c>
      <c r="AG60" t="e">
        <f>AND('5to. Perito_A'!#REF!,"AAAAAFP3/SA=")</f>
        <v>#REF!</v>
      </c>
      <c r="AH60" t="e">
        <f>AND('5to. Perito_A'!#REF!,"AAAAAFP3/SE=")</f>
        <v>#REF!</v>
      </c>
      <c r="AI60" t="e">
        <f>AND('5to. Perito_A'!#REF!,"AAAAAFP3/SI=")</f>
        <v>#REF!</v>
      </c>
      <c r="AJ60" t="e">
        <f>AND('5to. Perito_A'!#REF!,"AAAAAFP3/SM=")</f>
        <v>#REF!</v>
      </c>
      <c r="AK60" t="e">
        <f>AND('5to. Perito_A'!#REF!,"AAAAAFP3/SQ=")</f>
        <v>#REF!</v>
      </c>
      <c r="AL60" t="e">
        <f>AND('5to. Perito_A'!#REF!,"AAAAAFP3/SU=")</f>
        <v>#REF!</v>
      </c>
      <c r="AM60" t="e">
        <f>AND('5to. Perito_A'!#REF!,"AAAAAFP3/SY=")</f>
        <v>#REF!</v>
      </c>
      <c r="AN60" t="e">
        <f>AND('5to. Perito_A'!#REF!,"AAAAAFP3/Sc=")</f>
        <v>#REF!</v>
      </c>
      <c r="AO60" t="e">
        <f>AND('5to. Perito_A'!#REF!,"AAAAAFP3/Sg=")</f>
        <v>#REF!</v>
      </c>
      <c r="AP60" t="e">
        <f>AND('5to. Perito_A'!#REF!,"AAAAAFP3/Sk=")</f>
        <v>#REF!</v>
      </c>
      <c r="AQ60" t="e">
        <f>AND('5to. Perito_A'!#REF!,"AAAAAFP3/So=")</f>
        <v>#REF!</v>
      </c>
      <c r="AR60" t="e">
        <f>AND('5to. Perito_A'!#REF!,"AAAAAFP3/Ss=")</f>
        <v>#REF!</v>
      </c>
      <c r="AS60" t="e">
        <f>IF('5to. Perito_A'!#REF!,"AAAAAFP3/Sw=",0)</f>
        <v>#REF!</v>
      </c>
      <c r="AT60" t="e">
        <f>AND('5to. Perito_A'!#REF!,"AAAAAFP3/S0=")</f>
        <v>#REF!</v>
      </c>
      <c r="AU60" t="e">
        <f>AND('5to. Perito_A'!#REF!,"AAAAAFP3/S4=")</f>
        <v>#REF!</v>
      </c>
      <c r="AV60" t="e">
        <f>AND('5to. Perito_A'!#REF!,"AAAAAFP3/S8=")</f>
        <v>#REF!</v>
      </c>
      <c r="AW60" t="e">
        <f>AND('5to. Perito_A'!#REF!,"AAAAAFP3/TA=")</f>
        <v>#REF!</v>
      </c>
      <c r="AX60" t="e">
        <f>AND('5to. Perito_A'!#REF!,"AAAAAFP3/TE=")</f>
        <v>#REF!</v>
      </c>
      <c r="AY60" t="e">
        <f>AND('5to. Perito_A'!#REF!,"AAAAAFP3/TI=")</f>
        <v>#REF!</v>
      </c>
      <c r="AZ60" t="e">
        <f>AND('5to. Perito_A'!#REF!,"AAAAAFP3/TM=")</f>
        <v>#REF!</v>
      </c>
      <c r="BA60" t="e">
        <f>AND('5to. Perito_A'!#REF!,"AAAAAFP3/TQ=")</f>
        <v>#REF!</v>
      </c>
      <c r="BB60" t="e">
        <f>AND('5to. Perito_A'!#REF!,"AAAAAFP3/TU=")</f>
        <v>#REF!</v>
      </c>
      <c r="BC60" t="e">
        <f>AND('5to. Perito_A'!#REF!,"AAAAAFP3/TY=")</f>
        <v>#REF!</v>
      </c>
      <c r="BD60" t="e">
        <f>AND('5to. Perito_A'!#REF!,"AAAAAFP3/Tc=")</f>
        <v>#REF!</v>
      </c>
      <c r="BE60" t="e">
        <f>AND('5to. Perito_A'!#REF!,"AAAAAFP3/Tg=")</f>
        <v>#REF!</v>
      </c>
      <c r="BF60" t="e">
        <f>AND('5to. Perito_A'!#REF!,"AAAAAFP3/Tk=")</f>
        <v>#REF!</v>
      </c>
      <c r="BG60" t="e">
        <f>AND('5to. Perito_A'!#REF!,"AAAAAFP3/To=")</f>
        <v>#REF!</v>
      </c>
      <c r="BH60" t="e">
        <f>AND('5to. Perito_A'!#REF!,"AAAAAFP3/Ts=")</f>
        <v>#REF!</v>
      </c>
      <c r="BI60" t="e">
        <f>AND('5to. Perito_A'!#REF!,"AAAAAFP3/Tw=")</f>
        <v>#REF!</v>
      </c>
      <c r="BJ60" t="e">
        <f>AND('5to. Perito_A'!#REF!,"AAAAAFP3/T0=")</f>
        <v>#REF!</v>
      </c>
      <c r="BK60" t="e">
        <f>AND('5to. Perito_A'!#REF!,"AAAAAFP3/T4=")</f>
        <v>#REF!</v>
      </c>
      <c r="BL60" t="e">
        <f>AND('5to. Perito_A'!#REF!,"AAAAAFP3/T8=")</f>
        <v>#REF!</v>
      </c>
      <c r="BM60" t="e">
        <f>AND('5to. Perito_A'!#REF!,"AAAAAFP3/UA=")</f>
        <v>#REF!</v>
      </c>
      <c r="BN60" t="e">
        <f>AND('5to. Perito_A'!#REF!,"AAAAAFP3/UE=")</f>
        <v>#REF!</v>
      </c>
      <c r="BO60" t="e">
        <f>AND('5to. Perito_A'!#REF!,"AAAAAFP3/UI=")</f>
        <v>#REF!</v>
      </c>
      <c r="BP60" t="e">
        <f>AND('5to. Perito_A'!#REF!,"AAAAAFP3/UM=")</f>
        <v>#REF!</v>
      </c>
      <c r="BQ60" t="e">
        <f>AND('5to. Perito_A'!#REF!,"AAAAAFP3/UQ=")</f>
        <v>#REF!</v>
      </c>
      <c r="BR60" t="e">
        <f>AND('5to. Perito_A'!#REF!,"AAAAAFP3/UU=")</f>
        <v>#REF!</v>
      </c>
      <c r="BS60" t="e">
        <f>IF('5to. Perito_A'!#REF!,"AAAAAFP3/UY=",0)</f>
        <v>#REF!</v>
      </c>
      <c r="BT60" t="e">
        <f>AND('5to. Perito_A'!#REF!,"AAAAAFP3/Uc=")</f>
        <v>#REF!</v>
      </c>
      <c r="BU60" t="e">
        <f>AND('5to. Perito_A'!#REF!,"AAAAAFP3/Ug=")</f>
        <v>#REF!</v>
      </c>
      <c r="BV60" t="e">
        <f>AND('5to. Perito_A'!#REF!,"AAAAAFP3/Uk=")</f>
        <v>#REF!</v>
      </c>
      <c r="BW60" t="e">
        <f>AND('5to. Perito_A'!#REF!,"AAAAAFP3/Uo=")</f>
        <v>#REF!</v>
      </c>
      <c r="BX60" t="e">
        <f>AND('5to. Perito_A'!#REF!,"AAAAAFP3/Us=")</f>
        <v>#REF!</v>
      </c>
      <c r="BY60" t="e">
        <f>AND('5to. Perito_A'!#REF!,"AAAAAFP3/Uw=")</f>
        <v>#REF!</v>
      </c>
      <c r="BZ60" t="e">
        <f>AND('5to. Perito_A'!#REF!,"AAAAAFP3/U0=")</f>
        <v>#REF!</v>
      </c>
      <c r="CA60" t="e">
        <f>AND('5to. Perito_A'!#REF!,"AAAAAFP3/U4=")</f>
        <v>#REF!</v>
      </c>
      <c r="CB60" t="e">
        <f>AND('5to. Perito_A'!#REF!,"AAAAAFP3/U8=")</f>
        <v>#REF!</v>
      </c>
      <c r="CC60" t="e">
        <f>AND('5to. Perito_A'!#REF!,"AAAAAFP3/VA=")</f>
        <v>#REF!</v>
      </c>
      <c r="CD60" t="e">
        <f>AND('5to. Perito_A'!#REF!,"AAAAAFP3/VE=")</f>
        <v>#REF!</v>
      </c>
      <c r="CE60" t="e">
        <f>AND('5to. Perito_A'!#REF!,"AAAAAFP3/VI=")</f>
        <v>#REF!</v>
      </c>
      <c r="CF60" t="e">
        <f>AND('5to. Perito_A'!#REF!,"AAAAAFP3/VM=")</f>
        <v>#REF!</v>
      </c>
      <c r="CG60" t="e">
        <f>AND('5to. Perito_A'!#REF!,"AAAAAFP3/VQ=")</f>
        <v>#REF!</v>
      </c>
      <c r="CH60" t="e">
        <f>AND('5to. Perito_A'!#REF!,"AAAAAFP3/VU=")</f>
        <v>#REF!</v>
      </c>
      <c r="CI60" t="e">
        <f>AND('5to. Perito_A'!#REF!,"AAAAAFP3/VY=")</f>
        <v>#REF!</v>
      </c>
      <c r="CJ60" t="e">
        <f>AND('5to. Perito_A'!#REF!,"AAAAAFP3/Vc=")</f>
        <v>#REF!</v>
      </c>
      <c r="CK60" t="e">
        <f>AND('5to. Perito_A'!#REF!,"AAAAAFP3/Vg=")</f>
        <v>#REF!</v>
      </c>
      <c r="CL60" t="e">
        <f>AND('5to. Perito_A'!#REF!,"AAAAAFP3/Vk=")</f>
        <v>#REF!</v>
      </c>
      <c r="CM60" t="e">
        <f>AND('5to. Perito_A'!#REF!,"AAAAAFP3/Vo=")</f>
        <v>#REF!</v>
      </c>
      <c r="CN60" t="e">
        <f>AND('5to. Perito_A'!#REF!,"AAAAAFP3/Vs=")</f>
        <v>#REF!</v>
      </c>
      <c r="CO60" t="e">
        <f>AND('5to. Perito_A'!#REF!,"AAAAAFP3/Vw=")</f>
        <v>#REF!</v>
      </c>
      <c r="CP60" t="e">
        <f>AND('5to. Perito_A'!#REF!,"AAAAAFP3/V0=")</f>
        <v>#REF!</v>
      </c>
      <c r="CQ60" t="e">
        <f>AND('5to. Perito_A'!#REF!,"AAAAAFP3/V4=")</f>
        <v>#REF!</v>
      </c>
      <c r="CR60" t="e">
        <f>AND('5to. Perito_A'!#REF!,"AAAAAFP3/V8=")</f>
        <v>#REF!</v>
      </c>
      <c r="CS60" t="e">
        <f>IF('5to. Perito_A'!#REF!,"AAAAAFP3/WA=",0)</f>
        <v>#REF!</v>
      </c>
      <c r="CT60" t="e">
        <f>AND('5to. Perito_A'!#REF!,"AAAAAFP3/WE=")</f>
        <v>#REF!</v>
      </c>
      <c r="CU60" t="e">
        <f>AND('5to. Perito_A'!#REF!,"AAAAAFP3/WI=")</f>
        <v>#REF!</v>
      </c>
      <c r="CV60" t="e">
        <f>AND('5to. Perito_A'!#REF!,"AAAAAFP3/WM=")</f>
        <v>#REF!</v>
      </c>
      <c r="CW60" t="e">
        <f>AND('5to. Perito_A'!#REF!,"AAAAAFP3/WQ=")</f>
        <v>#REF!</v>
      </c>
      <c r="CX60" t="e">
        <f>AND('5to. Perito_A'!#REF!,"AAAAAFP3/WU=")</f>
        <v>#REF!</v>
      </c>
      <c r="CY60" t="e">
        <f>AND('5to. Perito_A'!#REF!,"AAAAAFP3/WY=")</f>
        <v>#REF!</v>
      </c>
      <c r="CZ60" t="e">
        <f>AND('5to. Perito_A'!#REF!,"AAAAAFP3/Wc=")</f>
        <v>#REF!</v>
      </c>
      <c r="DA60" t="e">
        <f>AND('5to. Perito_A'!#REF!,"AAAAAFP3/Wg=")</f>
        <v>#REF!</v>
      </c>
      <c r="DB60" t="e">
        <f>AND('5to. Perito_A'!#REF!,"AAAAAFP3/Wk=")</f>
        <v>#REF!</v>
      </c>
      <c r="DC60" t="e">
        <f>AND('5to. Perito_A'!#REF!,"AAAAAFP3/Wo=")</f>
        <v>#REF!</v>
      </c>
      <c r="DD60" t="e">
        <f>AND('5to. Perito_A'!#REF!,"AAAAAFP3/Ws=")</f>
        <v>#REF!</v>
      </c>
      <c r="DE60" t="e">
        <f>AND('5to. Perito_A'!#REF!,"AAAAAFP3/Ww=")</f>
        <v>#REF!</v>
      </c>
      <c r="DF60" t="e">
        <f>AND('5to. Perito_A'!#REF!,"AAAAAFP3/W0=")</f>
        <v>#REF!</v>
      </c>
      <c r="DG60" t="e">
        <f>AND('5to. Perito_A'!#REF!,"AAAAAFP3/W4=")</f>
        <v>#REF!</v>
      </c>
      <c r="DH60" t="e">
        <f>AND('5to. Perito_A'!#REF!,"AAAAAFP3/W8=")</f>
        <v>#REF!</v>
      </c>
      <c r="DI60" t="e">
        <f>AND('5to. Perito_A'!#REF!,"AAAAAFP3/XA=")</f>
        <v>#REF!</v>
      </c>
      <c r="DJ60" t="e">
        <f>AND('5to. Perito_A'!#REF!,"AAAAAFP3/XE=")</f>
        <v>#REF!</v>
      </c>
      <c r="DK60" t="e">
        <f>AND('5to. Perito_A'!#REF!,"AAAAAFP3/XI=")</f>
        <v>#REF!</v>
      </c>
      <c r="DL60" t="e">
        <f>AND('5to. Perito_A'!#REF!,"AAAAAFP3/XM=")</f>
        <v>#REF!</v>
      </c>
      <c r="DM60" t="e">
        <f>AND('5to. Perito_A'!#REF!,"AAAAAFP3/XQ=")</f>
        <v>#REF!</v>
      </c>
      <c r="DN60" t="e">
        <f>AND('5to. Perito_A'!#REF!,"AAAAAFP3/XU=")</f>
        <v>#REF!</v>
      </c>
      <c r="DO60" t="e">
        <f>AND('5to. Perito_A'!#REF!,"AAAAAFP3/XY=")</f>
        <v>#REF!</v>
      </c>
      <c r="DP60" t="e">
        <f>AND('5to. Perito_A'!#REF!,"AAAAAFP3/Xc=")</f>
        <v>#REF!</v>
      </c>
      <c r="DQ60" t="e">
        <f>AND('5to. Perito_A'!#REF!,"AAAAAFP3/Xg=")</f>
        <v>#REF!</v>
      </c>
      <c r="DR60" t="e">
        <f>AND('5to. Perito_A'!#REF!,"AAAAAFP3/Xk=")</f>
        <v>#REF!</v>
      </c>
      <c r="DS60" t="e">
        <f>IF('5to. Perito_A'!#REF!,"AAAAAFP3/Xo=",0)</f>
        <v>#REF!</v>
      </c>
      <c r="DT60" t="e">
        <f>AND('5to. Perito_A'!#REF!,"AAAAAFP3/Xs=")</f>
        <v>#REF!</v>
      </c>
      <c r="DU60" t="e">
        <f>AND('5to. Perito_A'!#REF!,"AAAAAFP3/Xw=")</f>
        <v>#REF!</v>
      </c>
      <c r="DV60" t="e">
        <f>AND('5to. Perito_A'!#REF!,"AAAAAFP3/X0=")</f>
        <v>#REF!</v>
      </c>
      <c r="DW60" t="e">
        <f>AND('5to. Perito_A'!#REF!,"AAAAAFP3/X4=")</f>
        <v>#REF!</v>
      </c>
      <c r="DX60" t="e">
        <f>AND('5to. Perito_A'!#REF!,"AAAAAFP3/X8=")</f>
        <v>#REF!</v>
      </c>
      <c r="DY60" t="e">
        <f>AND('5to. Perito_A'!#REF!,"AAAAAFP3/YA=")</f>
        <v>#REF!</v>
      </c>
      <c r="DZ60" t="e">
        <f>AND('5to. Perito_A'!#REF!,"AAAAAFP3/YE=")</f>
        <v>#REF!</v>
      </c>
      <c r="EA60" t="e">
        <f>AND('5to. Perito_A'!#REF!,"AAAAAFP3/YI=")</f>
        <v>#REF!</v>
      </c>
      <c r="EB60" t="e">
        <f>AND('5to. Perito_A'!#REF!,"AAAAAFP3/YM=")</f>
        <v>#REF!</v>
      </c>
      <c r="EC60" t="e">
        <f>AND('5to. Perito_A'!#REF!,"AAAAAFP3/YQ=")</f>
        <v>#REF!</v>
      </c>
      <c r="ED60" t="e">
        <f>AND('5to. Perito_A'!#REF!,"AAAAAFP3/YU=")</f>
        <v>#REF!</v>
      </c>
      <c r="EE60" t="e">
        <f>AND('5to. Perito_A'!#REF!,"AAAAAFP3/YY=")</f>
        <v>#REF!</v>
      </c>
      <c r="EF60" t="e">
        <f>AND('5to. Perito_A'!#REF!,"AAAAAFP3/Yc=")</f>
        <v>#REF!</v>
      </c>
      <c r="EG60" t="e">
        <f>AND('5to. Perito_A'!#REF!,"AAAAAFP3/Yg=")</f>
        <v>#REF!</v>
      </c>
      <c r="EH60" t="e">
        <f>AND('5to. Perito_A'!#REF!,"AAAAAFP3/Yk=")</f>
        <v>#REF!</v>
      </c>
      <c r="EI60" t="e">
        <f>AND('5to. Perito_A'!#REF!,"AAAAAFP3/Yo=")</f>
        <v>#REF!</v>
      </c>
      <c r="EJ60" t="e">
        <f>AND('5to. Perito_A'!#REF!,"AAAAAFP3/Ys=")</f>
        <v>#REF!</v>
      </c>
      <c r="EK60" t="e">
        <f>AND('5to. Perito_A'!#REF!,"AAAAAFP3/Yw=")</f>
        <v>#REF!</v>
      </c>
      <c r="EL60" t="e">
        <f>AND('5to. Perito_A'!#REF!,"AAAAAFP3/Y0=")</f>
        <v>#REF!</v>
      </c>
      <c r="EM60" t="e">
        <f>AND('5to. Perito_A'!#REF!,"AAAAAFP3/Y4=")</f>
        <v>#REF!</v>
      </c>
      <c r="EN60" t="e">
        <f>AND('5to. Perito_A'!#REF!,"AAAAAFP3/Y8=")</f>
        <v>#REF!</v>
      </c>
      <c r="EO60" t="e">
        <f>AND('5to. Perito_A'!#REF!,"AAAAAFP3/ZA=")</f>
        <v>#REF!</v>
      </c>
      <c r="EP60" t="e">
        <f>AND('5to. Perito_A'!#REF!,"AAAAAFP3/ZE=")</f>
        <v>#REF!</v>
      </c>
      <c r="EQ60" t="e">
        <f>AND('5to. Perito_A'!#REF!,"AAAAAFP3/ZI=")</f>
        <v>#REF!</v>
      </c>
      <c r="ER60" t="e">
        <f>AND('5to. Perito_A'!#REF!,"AAAAAFP3/ZM=")</f>
        <v>#REF!</v>
      </c>
      <c r="ES60" t="e">
        <f>IF('5to. Perito_A'!#REF!,"AAAAAFP3/ZQ=",0)</f>
        <v>#REF!</v>
      </c>
      <c r="ET60" t="e">
        <f>AND('5to. Perito_A'!#REF!,"AAAAAFP3/ZU=")</f>
        <v>#REF!</v>
      </c>
      <c r="EU60" t="e">
        <f>AND('5to. Perito_A'!#REF!,"AAAAAFP3/ZY=")</f>
        <v>#REF!</v>
      </c>
      <c r="EV60" t="e">
        <f>AND('5to. Perito_A'!#REF!,"AAAAAFP3/Zc=")</f>
        <v>#REF!</v>
      </c>
      <c r="EW60" t="e">
        <f>AND('5to. Perito_A'!#REF!,"AAAAAFP3/Zg=")</f>
        <v>#REF!</v>
      </c>
      <c r="EX60" t="e">
        <f>AND('5to. Perito_A'!#REF!,"AAAAAFP3/Zk=")</f>
        <v>#REF!</v>
      </c>
      <c r="EY60" t="e">
        <f>AND('5to. Perito_A'!#REF!,"AAAAAFP3/Zo=")</f>
        <v>#REF!</v>
      </c>
      <c r="EZ60" t="e">
        <f>AND('5to. Perito_A'!#REF!,"AAAAAFP3/Zs=")</f>
        <v>#REF!</v>
      </c>
      <c r="FA60" t="e">
        <f>AND('5to. Perito_A'!#REF!,"AAAAAFP3/Zw=")</f>
        <v>#REF!</v>
      </c>
      <c r="FB60" t="e">
        <f>AND('5to. Perito_A'!#REF!,"AAAAAFP3/Z0=")</f>
        <v>#REF!</v>
      </c>
      <c r="FC60" t="e">
        <f>AND('5to. Perito_A'!#REF!,"AAAAAFP3/Z4=")</f>
        <v>#REF!</v>
      </c>
      <c r="FD60" t="e">
        <f>AND('5to. Perito_A'!#REF!,"AAAAAFP3/Z8=")</f>
        <v>#REF!</v>
      </c>
      <c r="FE60" t="e">
        <f>AND('5to. Perito_A'!#REF!,"AAAAAFP3/aA=")</f>
        <v>#REF!</v>
      </c>
      <c r="FF60" t="e">
        <f>AND('5to. Perito_A'!#REF!,"AAAAAFP3/aE=")</f>
        <v>#REF!</v>
      </c>
      <c r="FG60" t="e">
        <f>AND('5to. Perito_A'!#REF!,"AAAAAFP3/aI=")</f>
        <v>#REF!</v>
      </c>
      <c r="FH60" t="e">
        <f>AND('5to. Perito_A'!#REF!,"AAAAAFP3/aM=")</f>
        <v>#REF!</v>
      </c>
      <c r="FI60" t="e">
        <f>AND('5to. Perito_A'!#REF!,"AAAAAFP3/aQ=")</f>
        <v>#REF!</v>
      </c>
      <c r="FJ60" t="e">
        <f>AND('5to. Perito_A'!#REF!,"AAAAAFP3/aU=")</f>
        <v>#REF!</v>
      </c>
      <c r="FK60" t="e">
        <f>AND('5to. Perito_A'!#REF!,"AAAAAFP3/aY=")</f>
        <v>#REF!</v>
      </c>
      <c r="FL60" t="e">
        <f>AND('5to. Perito_A'!#REF!,"AAAAAFP3/ac=")</f>
        <v>#REF!</v>
      </c>
      <c r="FM60" t="e">
        <f>AND('5to. Perito_A'!#REF!,"AAAAAFP3/ag=")</f>
        <v>#REF!</v>
      </c>
      <c r="FN60" t="e">
        <f>AND('5to. Perito_A'!#REF!,"AAAAAFP3/ak=")</f>
        <v>#REF!</v>
      </c>
      <c r="FO60" t="e">
        <f>AND('5to. Perito_A'!#REF!,"AAAAAFP3/ao=")</f>
        <v>#REF!</v>
      </c>
      <c r="FP60" t="e">
        <f>AND('5to. Perito_A'!#REF!,"AAAAAFP3/as=")</f>
        <v>#REF!</v>
      </c>
      <c r="FQ60" t="e">
        <f>AND('5to. Perito_A'!#REF!,"AAAAAFP3/aw=")</f>
        <v>#REF!</v>
      </c>
      <c r="FR60" t="e">
        <f>AND('5to. Perito_A'!#REF!,"AAAAAFP3/a0=")</f>
        <v>#REF!</v>
      </c>
      <c r="FS60">
        <f>IF('5to. Perito_A'!41:41,"AAAAAFP3/a4=",0)</f>
        <v>0</v>
      </c>
      <c r="FT60" t="e">
        <f>AND('5to. Perito_A'!A41,"AAAAAFP3/a8=")</f>
        <v>#VALUE!</v>
      </c>
      <c r="FU60" t="e">
        <f>AND('5to. Perito_A'!B41,"AAAAAFP3/bA=")</f>
        <v>#VALUE!</v>
      </c>
      <c r="FV60" t="e">
        <f>AND('5to. Perito_A'!C41,"AAAAAFP3/bE=")</f>
        <v>#VALUE!</v>
      </c>
      <c r="FW60" t="e">
        <f>AND('5to. Perito_A'!D41,"AAAAAFP3/bI=")</f>
        <v>#VALUE!</v>
      </c>
      <c r="FX60" t="e">
        <f>AND('5to. Perito_A'!E41,"AAAAAFP3/bM=")</f>
        <v>#VALUE!</v>
      </c>
      <c r="FY60" t="e">
        <f>AND('5to. Perito_A'!F41,"AAAAAFP3/bQ=")</f>
        <v>#VALUE!</v>
      </c>
      <c r="FZ60" t="e">
        <f>AND('5to. Perito_A'!G41,"AAAAAFP3/bU=")</f>
        <v>#VALUE!</v>
      </c>
      <c r="GA60" t="e">
        <f>AND('5to. Perito_A'!H41,"AAAAAFP3/bY=")</f>
        <v>#VALUE!</v>
      </c>
      <c r="GB60" t="e">
        <f>AND('5to. Perito_A'!I41,"AAAAAFP3/bc=")</f>
        <v>#VALUE!</v>
      </c>
      <c r="GC60" t="e">
        <f>AND('5to. Perito_A'!J41,"AAAAAFP3/bg=")</f>
        <v>#VALUE!</v>
      </c>
      <c r="GD60" t="e">
        <f>AND('5to. Perito_A'!K41,"AAAAAFP3/bk=")</f>
        <v>#VALUE!</v>
      </c>
      <c r="GE60" t="e">
        <f>AND('5to. Perito_A'!L41,"AAAAAFP3/bo=")</f>
        <v>#VALUE!</v>
      </c>
      <c r="GF60" t="e">
        <f>AND('5to. Perito_A'!M41,"AAAAAFP3/bs=")</f>
        <v>#VALUE!</v>
      </c>
      <c r="GG60" t="e">
        <f>AND('5to. Perito_A'!N41,"AAAAAFP3/bw=")</f>
        <v>#VALUE!</v>
      </c>
      <c r="GH60" t="e">
        <f>AND('5to. Perito_A'!O41,"AAAAAFP3/b0=")</f>
        <v>#VALUE!</v>
      </c>
      <c r="GI60" t="e">
        <f>AND('5to. Perito_A'!P41,"AAAAAFP3/b4=")</f>
        <v>#VALUE!</v>
      </c>
      <c r="GJ60" t="e">
        <f>AND('5to. Perito_A'!Q41,"AAAAAFP3/b8=")</f>
        <v>#VALUE!</v>
      </c>
      <c r="GK60" t="e">
        <f>AND('5to. Perito_A'!R41,"AAAAAFP3/cA=")</f>
        <v>#VALUE!</v>
      </c>
      <c r="GL60" t="e">
        <f>AND('5to. Perito_A'!S41,"AAAAAFP3/cE=")</f>
        <v>#VALUE!</v>
      </c>
      <c r="GM60" t="e">
        <f>AND('5to. Perito_A'!T41,"AAAAAFP3/cI=")</f>
        <v>#VALUE!</v>
      </c>
      <c r="GN60" t="e">
        <f>AND('5to. Perito_A'!#REF!,"AAAAAFP3/cM=")</f>
        <v>#REF!</v>
      </c>
      <c r="GO60" t="e">
        <f>AND('5to. Perito_A'!#REF!,"AAAAAFP3/cQ=")</f>
        <v>#REF!</v>
      </c>
      <c r="GP60" t="e">
        <f>AND('5to. Perito_A'!#REF!,"AAAAAFP3/cU=")</f>
        <v>#REF!</v>
      </c>
      <c r="GQ60" t="e">
        <f>AND('5to. Perito_A'!#REF!,"AAAAAFP3/cY=")</f>
        <v>#REF!</v>
      </c>
      <c r="GR60" t="e">
        <f>AND('5to. Perito_A'!#REF!,"AAAAAFP3/cc=")</f>
        <v>#REF!</v>
      </c>
      <c r="GS60" t="e">
        <f>IF('5to. Perito_A'!#REF!,"AAAAAFP3/cg=",0)</f>
        <v>#REF!</v>
      </c>
      <c r="GT60" t="e">
        <f>AND('5to. Perito_A'!#REF!,"AAAAAFP3/ck=")</f>
        <v>#REF!</v>
      </c>
      <c r="GU60" t="e">
        <f>AND('5to. Perito_A'!#REF!,"AAAAAFP3/co=")</f>
        <v>#REF!</v>
      </c>
      <c r="GV60" t="e">
        <f>AND('5to. Perito_A'!#REF!,"AAAAAFP3/cs=")</f>
        <v>#REF!</v>
      </c>
      <c r="GW60" t="e">
        <f>AND('5to. Perito_A'!#REF!,"AAAAAFP3/cw=")</f>
        <v>#REF!</v>
      </c>
      <c r="GX60" t="e">
        <f>AND('5to. Perito_A'!#REF!,"AAAAAFP3/c0=")</f>
        <v>#REF!</v>
      </c>
      <c r="GY60" t="e">
        <f>AND('5to. Perito_A'!#REF!,"AAAAAFP3/c4=")</f>
        <v>#REF!</v>
      </c>
      <c r="GZ60" t="e">
        <f>AND('5to. Perito_A'!#REF!,"AAAAAFP3/c8=")</f>
        <v>#REF!</v>
      </c>
      <c r="HA60" t="e">
        <f>AND('5to. Perito_A'!#REF!,"AAAAAFP3/dA=")</f>
        <v>#REF!</v>
      </c>
      <c r="HB60" t="e">
        <f>AND('5to. Perito_A'!#REF!,"AAAAAFP3/dE=")</f>
        <v>#REF!</v>
      </c>
      <c r="HC60" t="e">
        <f>AND('5to. Perito_A'!#REF!,"AAAAAFP3/dI=")</f>
        <v>#REF!</v>
      </c>
      <c r="HD60" t="e">
        <f>AND('5to. Perito_A'!#REF!,"AAAAAFP3/dM=")</f>
        <v>#REF!</v>
      </c>
      <c r="HE60" t="e">
        <f>AND('5to. Perito_A'!#REF!,"AAAAAFP3/dQ=")</f>
        <v>#REF!</v>
      </c>
      <c r="HF60" t="e">
        <f>AND('5to. Perito_A'!#REF!,"AAAAAFP3/dU=")</f>
        <v>#REF!</v>
      </c>
      <c r="HG60" t="e">
        <f>AND('5to. Perito_A'!#REF!,"AAAAAFP3/dY=")</f>
        <v>#REF!</v>
      </c>
      <c r="HH60" t="e">
        <f>AND('5to. Perito_A'!#REF!,"AAAAAFP3/dc=")</f>
        <v>#REF!</v>
      </c>
      <c r="HI60" t="e">
        <f>AND('5to. Perito_A'!#REF!,"AAAAAFP3/dg=")</f>
        <v>#REF!</v>
      </c>
      <c r="HJ60" t="e">
        <f>AND('5to. Perito_A'!#REF!,"AAAAAFP3/dk=")</f>
        <v>#REF!</v>
      </c>
      <c r="HK60" t="e">
        <f>AND('5to. Perito_A'!#REF!,"AAAAAFP3/do=")</f>
        <v>#REF!</v>
      </c>
      <c r="HL60" t="e">
        <f>AND('5to. Perito_A'!#REF!,"AAAAAFP3/ds=")</f>
        <v>#REF!</v>
      </c>
      <c r="HM60" t="e">
        <f>AND('5to. Perito_A'!#REF!,"AAAAAFP3/dw=")</f>
        <v>#REF!</v>
      </c>
      <c r="HN60" t="e">
        <f>AND('5to. Perito_A'!#REF!,"AAAAAFP3/d0=")</f>
        <v>#REF!</v>
      </c>
      <c r="HO60" t="e">
        <f>AND('5to. Perito_A'!#REF!,"AAAAAFP3/d4=")</f>
        <v>#REF!</v>
      </c>
      <c r="HP60" t="e">
        <f>AND('5to. Perito_A'!#REF!,"AAAAAFP3/d8=")</f>
        <v>#REF!</v>
      </c>
      <c r="HQ60" t="e">
        <f>AND('5to. Perito_A'!#REF!,"AAAAAFP3/eA=")</f>
        <v>#REF!</v>
      </c>
      <c r="HR60" t="e">
        <f>AND('5to. Perito_A'!#REF!,"AAAAAFP3/eE=")</f>
        <v>#REF!</v>
      </c>
      <c r="HS60" t="e">
        <f>IF('5to. Perito_A'!#REF!,"AAAAAFP3/eI=",0)</f>
        <v>#REF!</v>
      </c>
      <c r="HT60" t="e">
        <f>AND('5to. Perito_A'!#REF!,"AAAAAFP3/eM=")</f>
        <v>#REF!</v>
      </c>
      <c r="HU60" t="e">
        <f>AND('5to. Perito_A'!#REF!,"AAAAAFP3/eQ=")</f>
        <v>#REF!</v>
      </c>
      <c r="HV60" t="e">
        <f>AND('5to. Perito_A'!#REF!,"AAAAAFP3/eU=")</f>
        <v>#REF!</v>
      </c>
      <c r="HW60" t="e">
        <f>AND('5to. Perito_A'!#REF!,"AAAAAFP3/eY=")</f>
        <v>#REF!</v>
      </c>
      <c r="HX60" t="e">
        <f>AND('5to. Perito_A'!#REF!,"AAAAAFP3/ec=")</f>
        <v>#REF!</v>
      </c>
      <c r="HY60" t="e">
        <f>AND('5to. Perito_A'!#REF!,"AAAAAFP3/eg=")</f>
        <v>#REF!</v>
      </c>
      <c r="HZ60" t="e">
        <f>AND('5to. Perito_A'!#REF!,"AAAAAFP3/ek=")</f>
        <v>#REF!</v>
      </c>
      <c r="IA60" t="e">
        <f>AND('5to. Perito_A'!#REF!,"AAAAAFP3/eo=")</f>
        <v>#REF!</v>
      </c>
      <c r="IB60" t="e">
        <f>AND('5to. Perito_A'!#REF!,"AAAAAFP3/es=")</f>
        <v>#REF!</v>
      </c>
      <c r="IC60" t="e">
        <f>AND('5to. Perito_A'!#REF!,"AAAAAFP3/ew=")</f>
        <v>#REF!</v>
      </c>
      <c r="ID60" t="e">
        <f>AND('5to. Perito_A'!#REF!,"AAAAAFP3/e0=")</f>
        <v>#REF!</v>
      </c>
      <c r="IE60" t="e">
        <f>AND('5to. Perito_A'!#REF!,"AAAAAFP3/e4=")</f>
        <v>#REF!</v>
      </c>
      <c r="IF60" t="e">
        <f>AND('5to. Perito_A'!#REF!,"AAAAAFP3/e8=")</f>
        <v>#REF!</v>
      </c>
      <c r="IG60" t="e">
        <f>AND('5to. Perito_A'!#REF!,"AAAAAFP3/fA=")</f>
        <v>#REF!</v>
      </c>
      <c r="IH60" t="e">
        <f>AND('5to. Perito_A'!#REF!,"AAAAAFP3/fE=")</f>
        <v>#REF!</v>
      </c>
      <c r="II60" t="e">
        <f>AND('5to. Perito_A'!#REF!,"AAAAAFP3/fI=")</f>
        <v>#REF!</v>
      </c>
      <c r="IJ60" t="e">
        <f>AND('5to. Perito_A'!#REF!,"AAAAAFP3/fM=")</f>
        <v>#REF!</v>
      </c>
      <c r="IK60" t="e">
        <f>AND('5to. Perito_A'!#REF!,"AAAAAFP3/fQ=")</f>
        <v>#REF!</v>
      </c>
      <c r="IL60" t="e">
        <f>AND('5to. Perito_A'!#REF!,"AAAAAFP3/fU=")</f>
        <v>#REF!</v>
      </c>
      <c r="IM60" t="e">
        <f>AND('5to. Perito_A'!#REF!,"AAAAAFP3/fY=")</f>
        <v>#REF!</v>
      </c>
      <c r="IN60" t="e">
        <f>AND('5to. Perito_A'!#REF!,"AAAAAFP3/fc=")</f>
        <v>#REF!</v>
      </c>
      <c r="IO60" t="e">
        <f>AND('5to. Perito_A'!#REF!,"AAAAAFP3/fg=")</f>
        <v>#REF!</v>
      </c>
      <c r="IP60" t="e">
        <f>AND('5to. Perito_A'!#REF!,"AAAAAFP3/fk=")</f>
        <v>#REF!</v>
      </c>
      <c r="IQ60" t="e">
        <f>AND('5to. Perito_A'!#REF!,"AAAAAFP3/fo=")</f>
        <v>#REF!</v>
      </c>
      <c r="IR60" t="e">
        <f>AND('5to. Perito_A'!#REF!,"AAAAAFP3/fs=")</f>
        <v>#REF!</v>
      </c>
      <c r="IS60" t="e">
        <f>IF('5to. Perito_A'!#REF!,"AAAAAFP3/fw=",0)</f>
        <v>#REF!</v>
      </c>
      <c r="IT60" t="e">
        <f>AND('5to. Perito_A'!#REF!,"AAAAAFP3/f0=")</f>
        <v>#REF!</v>
      </c>
      <c r="IU60" t="e">
        <f>AND('5to. Perito_A'!#REF!,"AAAAAFP3/f4=")</f>
        <v>#REF!</v>
      </c>
      <c r="IV60" t="e">
        <f>AND('5to. Perito_A'!#REF!,"AAAAAFP3/f8=")</f>
        <v>#REF!</v>
      </c>
    </row>
    <row r="61" spans="1:256">
      <c r="A61" t="e">
        <f>AND('5to. Perito_A'!#REF!,"AAAAAGLtOgA=")</f>
        <v>#REF!</v>
      </c>
      <c r="B61" t="e">
        <f>AND('5to. Perito_A'!#REF!,"AAAAAGLtOgE=")</f>
        <v>#REF!</v>
      </c>
      <c r="C61" t="e">
        <f>AND('5to. Perito_A'!#REF!,"AAAAAGLtOgI=")</f>
        <v>#REF!</v>
      </c>
      <c r="D61" t="e">
        <f>AND('5to. Perito_A'!#REF!,"AAAAAGLtOgM=")</f>
        <v>#REF!</v>
      </c>
      <c r="E61" t="e">
        <f>AND('5to. Perito_A'!#REF!,"AAAAAGLtOgQ=")</f>
        <v>#REF!</v>
      </c>
      <c r="F61" t="e">
        <f>AND('5to. Perito_A'!#REF!,"AAAAAGLtOgU=")</f>
        <v>#REF!</v>
      </c>
      <c r="G61" t="e">
        <f>AND('5to. Perito_A'!#REF!,"AAAAAGLtOgY=")</f>
        <v>#REF!</v>
      </c>
      <c r="H61" t="e">
        <f>AND('5to. Perito_A'!#REF!,"AAAAAGLtOgc=")</f>
        <v>#REF!</v>
      </c>
      <c r="I61" t="e">
        <f>AND('5to. Perito_A'!#REF!,"AAAAAGLtOgg=")</f>
        <v>#REF!</v>
      </c>
      <c r="J61" t="e">
        <f>AND('5to. Perito_A'!#REF!,"AAAAAGLtOgk=")</f>
        <v>#REF!</v>
      </c>
      <c r="K61" t="e">
        <f>AND('5to. Perito_A'!#REF!,"AAAAAGLtOgo=")</f>
        <v>#REF!</v>
      </c>
      <c r="L61" t="e">
        <f>AND('5to. Perito_A'!#REF!,"AAAAAGLtOgs=")</f>
        <v>#REF!</v>
      </c>
      <c r="M61" t="e">
        <f>AND('5to. Perito_A'!#REF!,"AAAAAGLtOgw=")</f>
        <v>#REF!</v>
      </c>
      <c r="N61" t="e">
        <f>AND('5to. Perito_A'!#REF!,"AAAAAGLtOg0=")</f>
        <v>#REF!</v>
      </c>
      <c r="O61" t="e">
        <f>AND('5to. Perito_A'!#REF!,"AAAAAGLtOg4=")</f>
        <v>#REF!</v>
      </c>
      <c r="P61" t="e">
        <f>AND('5to. Perito_A'!#REF!,"AAAAAGLtOg8=")</f>
        <v>#REF!</v>
      </c>
      <c r="Q61" t="e">
        <f>AND('5to. Perito_A'!#REF!,"AAAAAGLtOhA=")</f>
        <v>#REF!</v>
      </c>
      <c r="R61" t="e">
        <f>AND('5to. Perito_A'!#REF!,"AAAAAGLtOhE=")</f>
        <v>#REF!</v>
      </c>
      <c r="S61" t="e">
        <f>AND('5to. Perito_A'!#REF!,"AAAAAGLtOhI=")</f>
        <v>#REF!</v>
      </c>
      <c r="T61" t="e">
        <f>AND('5to. Perito_A'!#REF!,"AAAAAGLtOhM=")</f>
        <v>#REF!</v>
      </c>
      <c r="U61" t="e">
        <f>AND('5to. Perito_A'!#REF!,"AAAAAGLtOhQ=")</f>
        <v>#REF!</v>
      </c>
      <c r="V61" t="e">
        <f>AND('5to. Perito_A'!#REF!,"AAAAAGLtOhU=")</f>
        <v>#REF!</v>
      </c>
      <c r="W61" t="e">
        <f>IF('5to. Perito_A'!#REF!,"AAAAAGLtOhY=",0)</f>
        <v>#REF!</v>
      </c>
      <c r="X61" t="e">
        <f>AND('5to. Perito_A'!#REF!,"AAAAAGLtOhc=")</f>
        <v>#REF!</v>
      </c>
      <c r="Y61" t="e">
        <f>AND('5to. Perito_A'!#REF!,"AAAAAGLtOhg=")</f>
        <v>#REF!</v>
      </c>
      <c r="Z61" t="e">
        <f>AND('5to. Perito_A'!#REF!,"AAAAAGLtOhk=")</f>
        <v>#REF!</v>
      </c>
      <c r="AA61" t="e">
        <f>AND('5to. Perito_A'!#REF!,"AAAAAGLtOho=")</f>
        <v>#REF!</v>
      </c>
      <c r="AB61" t="e">
        <f>AND('5to. Perito_A'!#REF!,"AAAAAGLtOhs=")</f>
        <v>#REF!</v>
      </c>
      <c r="AC61" t="e">
        <f>AND('5to. Perito_A'!#REF!,"AAAAAGLtOhw=")</f>
        <v>#REF!</v>
      </c>
      <c r="AD61" t="e">
        <f>AND('5to. Perito_A'!#REF!,"AAAAAGLtOh0=")</f>
        <v>#REF!</v>
      </c>
      <c r="AE61" t="e">
        <f>AND('5to. Perito_A'!#REF!,"AAAAAGLtOh4=")</f>
        <v>#REF!</v>
      </c>
      <c r="AF61" t="e">
        <f>AND('5to. Perito_A'!#REF!,"AAAAAGLtOh8=")</f>
        <v>#REF!</v>
      </c>
      <c r="AG61" t="e">
        <f>AND('5to. Perito_A'!#REF!,"AAAAAGLtOiA=")</f>
        <v>#REF!</v>
      </c>
      <c r="AH61" t="e">
        <f>AND('5to. Perito_A'!#REF!,"AAAAAGLtOiE=")</f>
        <v>#REF!</v>
      </c>
      <c r="AI61" t="e">
        <f>AND('5to. Perito_A'!#REF!,"AAAAAGLtOiI=")</f>
        <v>#REF!</v>
      </c>
      <c r="AJ61" t="e">
        <f>AND('5to. Perito_A'!#REF!,"AAAAAGLtOiM=")</f>
        <v>#REF!</v>
      </c>
      <c r="AK61" t="e">
        <f>AND('5to. Perito_A'!#REF!,"AAAAAGLtOiQ=")</f>
        <v>#REF!</v>
      </c>
      <c r="AL61" t="e">
        <f>AND('5to. Perito_A'!#REF!,"AAAAAGLtOiU=")</f>
        <v>#REF!</v>
      </c>
      <c r="AM61" t="e">
        <f>AND('5to. Perito_A'!#REF!,"AAAAAGLtOiY=")</f>
        <v>#REF!</v>
      </c>
      <c r="AN61" t="e">
        <f>AND('5to. Perito_A'!#REF!,"AAAAAGLtOic=")</f>
        <v>#REF!</v>
      </c>
      <c r="AO61" t="e">
        <f>AND('5to. Perito_A'!#REF!,"AAAAAGLtOig=")</f>
        <v>#REF!</v>
      </c>
      <c r="AP61" t="e">
        <f>AND('5to. Perito_A'!#REF!,"AAAAAGLtOik=")</f>
        <v>#REF!</v>
      </c>
      <c r="AQ61" t="e">
        <f>AND('5to. Perito_A'!#REF!,"AAAAAGLtOio=")</f>
        <v>#REF!</v>
      </c>
      <c r="AR61" t="e">
        <f>AND('5to. Perito_A'!#REF!,"AAAAAGLtOis=")</f>
        <v>#REF!</v>
      </c>
      <c r="AS61" t="e">
        <f>AND('5to. Perito_A'!#REF!,"AAAAAGLtOiw=")</f>
        <v>#REF!</v>
      </c>
      <c r="AT61" t="e">
        <f>AND('5to. Perito_A'!#REF!,"AAAAAGLtOi0=")</f>
        <v>#REF!</v>
      </c>
      <c r="AU61" t="e">
        <f>AND('5to. Perito_A'!#REF!,"AAAAAGLtOi4=")</f>
        <v>#REF!</v>
      </c>
      <c r="AV61" t="e">
        <f>AND('5to. Perito_A'!#REF!,"AAAAAGLtOi8=")</f>
        <v>#REF!</v>
      </c>
      <c r="AW61" t="e">
        <f>IF('5to. Perito_A'!#REF!,"AAAAAGLtOjA=",0)</f>
        <v>#REF!</v>
      </c>
      <c r="AX61" t="e">
        <f>AND('5to. Perito_A'!#REF!,"AAAAAGLtOjE=")</f>
        <v>#REF!</v>
      </c>
      <c r="AY61" t="e">
        <f>AND('5to. Perito_A'!#REF!,"AAAAAGLtOjI=")</f>
        <v>#REF!</v>
      </c>
      <c r="AZ61" t="e">
        <f>AND('5to. Perito_A'!#REF!,"AAAAAGLtOjM=")</f>
        <v>#REF!</v>
      </c>
      <c r="BA61" t="e">
        <f>AND('5to. Perito_A'!#REF!,"AAAAAGLtOjQ=")</f>
        <v>#REF!</v>
      </c>
      <c r="BB61" t="e">
        <f>AND('5to. Perito_A'!#REF!,"AAAAAGLtOjU=")</f>
        <v>#REF!</v>
      </c>
      <c r="BC61" t="e">
        <f>AND('5to. Perito_A'!#REF!,"AAAAAGLtOjY=")</f>
        <v>#REF!</v>
      </c>
      <c r="BD61" t="e">
        <f>AND('5to. Perito_A'!#REF!,"AAAAAGLtOjc=")</f>
        <v>#REF!</v>
      </c>
      <c r="BE61" t="e">
        <f>AND('5to. Perito_A'!#REF!,"AAAAAGLtOjg=")</f>
        <v>#REF!</v>
      </c>
      <c r="BF61" t="e">
        <f>AND('5to. Perito_A'!#REF!,"AAAAAGLtOjk=")</f>
        <v>#REF!</v>
      </c>
      <c r="BG61" t="e">
        <f>AND('5to. Perito_A'!#REF!,"AAAAAGLtOjo=")</f>
        <v>#REF!</v>
      </c>
      <c r="BH61" t="e">
        <f>AND('5to. Perito_A'!#REF!,"AAAAAGLtOjs=")</f>
        <v>#REF!</v>
      </c>
      <c r="BI61" t="e">
        <f>AND('5to. Perito_A'!#REF!,"AAAAAGLtOjw=")</f>
        <v>#REF!</v>
      </c>
      <c r="BJ61" t="e">
        <f>AND('5to. Perito_A'!#REF!,"AAAAAGLtOj0=")</f>
        <v>#REF!</v>
      </c>
      <c r="BK61" t="e">
        <f>AND('5to. Perito_A'!#REF!,"AAAAAGLtOj4=")</f>
        <v>#REF!</v>
      </c>
      <c r="BL61" t="e">
        <f>AND('5to. Perito_A'!#REF!,"AAAAAGLtOj8=")</f>
        <v>#REF!</v>
      </c>
      <c r="BM61" t="e">
        <f>AND('5to. Perito_A'!#REF!,"AAAAAGLtOkA=")</f>
        <v>#REF!</v>
      </c>
      <c r="BN61" t="e">
        <f>AND('5to. Perito_A'!#REF!,"AAAAAGLtOkE=")</f>
        <v>#REF!</v>
      </c>
      <c r="BO61" t="e">
        <f>AND('5to. Perito_A'!#REF!,"AAAAAGLtOkI=")</f>
        <v>#REF!</v>
      </c>
      <c r="BP61" t="e">
        <f>AND('5to. Perito_A'!#REF!,"AAAAAGLtOkM=")</f>
        <v>#REF!</v>
      </c>
      <c r="BQ61" t="e">
        <f>AND('5to. Perito_A'!#REF!,"AAAAAGLtOkQ=")</f>
        <v>#REF!</v>
      </c>
      <c r="BR61" t="e">
        <f>AND('5to. Perito_A'!#REF!,"AAAAAGLtOkU=")</f>
        <v>#REF!</v>
      </c>
      <c r="BS61" t="e">
        <f>AND('5to. Perito_A'!#REF!,"AAAAAGLtOkY=")</f>
        <v>#REF!</v>
      </c>
      <c r="BT61" t="e">
        <f>AND('5to. Perito_A'!#REF!,"AAAAAGLtOkc=")</f>
        <v>#REF!</v>
      </c>
      <c r="BU61" t="e">
        <f>AND('5to. Perito_A'!#REF!,"AAAAAGLtOkg=")</f>
        <v>#REF!</v>
      </c>
      <c r="BV61" t="e">
        <f>AND('5to. Perito_A'!#REF!,"AAAAAGLtOkk=")</f>
        <v>#REF!</v>
      </c>
      <c r="BW61" t="e">
        <f>IF('5to. Perito_A'!#REF!,"AAAAAGLtOko=",0)</f>
        <v>#REF!</v>
      </c>
      <c r="BX61" t="e">
        <f>AND('5to. Perito_A'!#REF!,"AAAAAGLtOks=")</f>
        <v>#REF!</v>
      </c>
      <c r="BY61" t="e">
        <f>AND('5to. Perito_A'!#REF!,"AAAAAGLtOkw=")</f>
        <v>#REF!</v>
      </c>
      <c r="BZ61" t="e">
        <f>AND('5to. Perito_A'!#REF!,"AAAAAGLtOk0=")</f>
        <v>#REF!</v>
      </c>
      <c r="CA61" t="e">
        <f>AND('5to. Perito_A'!#REF!,"AAAAAGLtOk4=")</f>
        <v>#REF!</v>
      </c>
      <c r="CB61" t="e">
        <f>AND('5to. Perito_A'!#REF!,"AAAAAGLtOk8=")</f>
        <v>#REF!</v>
      </c>
      <c r="CC61" t="e">
        <f>AND('5to. Perito_A'!#REF!,"AAAAAGLtOlA=")</f>
        <v>#REF!</v>
      </c>
      <c r="CD61" t="e">
        <f>AND('5to. Perito_A'!#REF!,"AAAAAGLtOlE=")</f>
        <v>#REF!</v>
      </c>
      <c r="CE61" t="e">
        <f>AND('5to. Perito_A'!#REF!,"AAAAAGLtOlI=")</f>
        <v>#REF!</v>
      </c>
      <c r="CF61" t="e">
        <f>AND('5to. Perito_A'!#REF!,"AAAAAGLtOlM=")</f>
        <v>#REF!</v>
      </c>
      <c r="CG61" t="e">
        <f>AND('5to. Perito_A'!#REF!,"AAAAAGLtOlQ=")</f>
        <v>#REF!</v>
      </c>
      <c r="CH61" t="e">
        <f>AND('5to. Perito_A'!#REF!,"AAAAAGLtOlU=")</f>
        <v>#REF!</v>
      </c>
      <c r="CI61" t="e">
        <f>AND('5to. Perito_A'!#REF!,"AAAAAGLtOlY=")</f>
        <v>#REF!</v>
      </c>
      <c r="CJ61" t="e">
        <f>AND('5to. Perito_A'!#REF!,"AAAAAGLtOlc=")</f>
        <v>#REF!</v>
      </c>
      <c r="CK61" t="e">
        <f>AND('5to. Perito_A'!#REF!,"AAAAAGLtOlg=")</f>
        <v>#REF!</v>
      </c>
      <c r="CL61" t="e">
        <f>AND('5to. Perito_A'!#REF!,"AAAAAGLtOlk=")</f>
        <v>#REF!</v>
      </c>
      <c r="CM61" t="e">
        <f>AND('5to. Perito_A'!#REF!,"AAAAAGLtOlo=")</f>
        <v>#REF!</v>
      </c>
      <c r="CN61" t="e">
        <f>AND('5to. Perito_A'!#REF!,"AAAAAGLtOls=")</f>
        <v>#REF!</v>
      </c>
      <c r="CO61" t="e">
        <f>AND('5to. Perito_A'!#REF!,"AAAAAGLtOlw=")</f>
        <v>#REF!</v>
      </c>
      <c r="CP61" t="e">
        <f>AND('5to. Perito_A'!#REF!,"AAAAAGLtOl0=")</f>
        <v>#REF!</v>
      </c>
      <c r="CQ61" t="e">
        <f>AND('5to. Perito_A'!#REF!,"AAAAAGLtOl4=")</f>
        <v>#REF!</v>
      </c>
      <c r="CR61" t="e">
        <f>AND('5to. Perito_A'!#REF!,"AAAAAGLtOl8=")</f>
        <v>#REF!</v>
      </c>
      <c r="CS61" t="e">
        <f>AND('5to. Perito_A'!#REF!,"AAAAAGLtOmA=")</f>
        <v>#REF!</v>
      </c>
      <c r="CT61" t="e">
        <f>AND('5to. Perito_A'!#REF!,"AAAAAGLtOmE=")</f>
        <v>#REF!</v>
      </c>
      <c r="CU61" t="e">
        <f>AND('5to. Perito_A'!#REF!,"AAAAAGLtOmI=")</f>
        <v>#REF!</v>
      </c>
      <c r="CV61" t="e">
        <f>AND('5to. Perito_A'!#REF!,"AAAAAGLtOmM=")</f>
        <v>#REF!</v>
      </c>
      <c r="CW61" t="e">
        <f>IF('5to. Perito_A'!#REF!,"AAAAAGLtOmQ=",0)</f>
        <v>#REF!</v>
      </c>
      <c r="CX61" t="e">
        <f>AND('5to. Perito_A'!#REF!,"AAAAAGLtOmU=")</f>
        <v>#REF!</v>
      </c>
      <c r="CY61" t="e">
        <f>AND('5to. Perito_A'!#REF!,"AAAAAGLtOmY=")</f>
        <v>#REF!</v>
      </c>
      <c r="CZ61" t="e">
        <f>AND('5to. Perito_A'!#REF!,"AAAAAGLtOmc=")</f>
        <v>#REF!</v>
      </c>
      <c r="DA61" t="e">
        <f>AND('5to. Perito_A'!#REF!,"AAAAAGLtOmg=")</f>
        <v>#REF!</v>
      </c>
      <c r="DB61" t="e">
        <f>AND('5to. Perito_A'!#REF!,"AAAAAGLtOmk=")</f>
        <v>#REF!</v>
      </c>
      <c r="DC61" t="e">
        <f>AND('5to. Perito_A'!#REF!,"AAAAAGLtOmo=")</f>
        <v>#REF!</v>
      </c>
      <c r="DD61" t="e">
        <f>AND('5to. Perito_A'!#REF!,"AAAAAGLtOms=")</f>
        <v>#REF!</v>
      </c>
      <c r="DE61" t="e">
        <f>AND('5to. Perito_A'!#REF!,"AAAAAGLtOmw=")</f>
        <v>#REF!</v>
      </c>
      <c r="DF61" t="e">
        <f>AND('5to. Perito_A'!#REF!,"AAAAAGLtOm0=")</f>
        <v>#REF!</v>
      </c>
      <c r="DG61" t="e">
        <f>AND('5to. Perito_A'!#REF!,"AAAAAGLtOm4=")</f>
        <v>#REF!</v>
      </c>
      <c r="DH61" t="e">
        <f>AND('5to. Perito_A'!#REF!,"AAAAAGLtOm8=")</f>
        <v>#REF!</v>
      </c>
      <c r="DI61" t="e">
        <f>AND('5to. Perito_A'!#REF!,"AAAAAGLtOnA=")</f>
        <v>#REF!</v>
      </c>
      <c r="DJ61" t="e">
        <f>AND('5to. Perito_A'!#REF!,"AAAAAGLtOnE=")</f>
        <v>#REF!</v>
      </c>
      <c r="DK61" t="e">
        <f>AND('5to. Perito_A'!#REF!,"AAAAAGLtOnI=")</f>
        <v>#REF!</v>
      </c>
      <c r="DL61" t="e">
        <f>AND('5to. Perito_A'!#REF!,"AAAAAGLtOnM=")</f>
        <v>#REF!</v>
      </c>
      <c r="DM61" t="e">
        <f>AND('5to. Perito_A'!#REF!,"AAAAAGLtOnQ=")</f>
        <v>#REF!</v>
      </c>
      <c r="DN61" t="e">
        <f>AND('5to. Perito_A'!#REF!,"AAAAAGLtOnU=")</f>
        <v>#REF!</v>
      </c>
      <c r="DO61" t="e">
        <f>AND('5to. Perito_A'!#REF!,"AAAAAGLtOnY=")</f>
        <v>#REF!</v>
      </c>
      <c r="DP61" t="e">
        <f>AND('5to. Perito_A'!#REF!,"AAAAAGLtOnc=")</f>
        <v>#REF!</v>
      </c>
      <c r="DQ61" t="e">
        <f>AND('5to. Perito_A'!#REF!,"AAAAAGLtOng=")</f>
        <v>#REF!</v>
      </c>
      <c r="DR61" t="e">
        <f>AND('5to. Perito_A'!#REF!,"AAAAAGLtOnk=")</f>
        <v>#REF!</v>
      </c>
      <c r="DS61" t="e">
        <f>AND('5to. Perito_A'!#REF!,"AAAAAGLtOno=")</f>
        <v>#REF!</v>
      </c>
      <c r="DT61" t="e">
        <f>AND('5to. Perito_A'!#REF!,"AAAAAGLtOns=")</f>
        <v>#REF!</v>
      </c>
      <c r="DU61" t="e">
        <f>AND('5to. Perito_A'!#REF!,"AAAAAGLtOnw=")</f>
        <v>#REF!</v>
      </c>
      <c r="DV61" t="e">
        <f>AND('5to. Perito_A'!#REF!,"AAAAAGLtOn0=")</f>
        <v>#REF!</v>
      </c>
      <c r="DW61" t="e">
        <f>IF('5to. Perito_A'!#REF!,"AAAAAGLtOn4=",0)</f>
        <v>#REF!</v>
      </c>
      <c r="DX61" t="e">
        <f>AND('5to. Perito_A'!#REF!,"AAAAAGLtOn8=")</f>
        <v>#REF!</v>
      </c>
      <c r="DY61" t="e">
        <f>AND('5to. Perito_A'!#REF!,"AAAAAGLtOoA=")</f>
        <v>#REF!</v>
      </c>
      <c r="DZ61" t="e">
        <f>AND('5to. Perito_A'!#REF!,"AAAAAGLtOoE=")</f>
        <v>#REF!</v>
      </c>
      <c r="EA61" t="e">
        <f>AND('5to. Perito_A'!#REF!,"AAAAAGLtOoI=")</f>
        <v>#REF!</v>
      </c>
      <c r="EB61" t="e">
        <f>AND('5to. Perito_A'!#REF!,"AAAAAGLtOoM=")</f>
        <v>#REF!</v>
      </c>
      <c r="EC61" t="e">
        <f>AND('5to. Perito_A'!#REF!,"AAAAAGLtOoQ=")</f>
        <v>#REF!</v>
      </c>
      <c r="ED61" t="e">
        <f>AND('5to. Perito_A'!#REF!,"AAAAAGLtOoU=")</f>
        <v>#REF!</v>
      </c>
      <c r="EE61" t="e">
        <f>AND('5to. Perito_A'!#REF!,"AAAAAGLtOoY=")</f>
        <v>#REF!</v>
      </c>
      <c r="EF61" t="e">
        <f>AND('5to. Perito_A'!#REF!,"AAAAAGLtOoc=")</f>
        <v>#REF!</v>
      </c>
      <c r="EG61" t="e">
        <f>AND('5to. Perito_A'!#REF!,"AAAAAGLtOog=")</f>
        <v>#REF!</v>
      </c>
      <c r="EH61" t="e">
        <f>AND('5to. Perito_A'!#REF!,"AAAAAGLtOok=")</f>
        <v>#REF!</v>
      </c>
      <c r="EI61" t="e">
        <f>AND('5to. Perito_A'!#REF!,"AAAAAGLtOoo=")</f>
        <v>#REF!</v>
      </c>
      <c r="EJ61" t="e">
        <f>AND('5to. Perito_A'!#REF!,"AAAAAGLtOos=")</f>
        <v>#REF!</v>
      </c>
      <c r="EK61" t="e">
        <f>AND('5to. Perito_A'!#REF!,"AAAAAGLtOow=")</f>
        <v>#REF!</v>
      </c>
      <c r="EL61" t="e">
        <f>AND('5to. Perito_A'!#REF!,"AAAAAGLtOo0=")</f>
        <v>#REF!</v>
      </c>
      <c r="EM61" t="e">
        <f>AND('5to. Perito_A'!#REF!,"AAAAAGLtOo4=")</f>
        <v>#REF!</v>
      </c>
      <c r="EN61" t="e">
        <f>AND('5to. Perito_A'!#REF!,"AAAAAGLtOo8=")</f>
        <v>#REF!</v>
      </c>
      <c r="EO61" t="e">
        <f>AND('5to. Perito_A'!#REF!,"AAAAAGLtOpA=")</f>
        <v>#REF!</v>
      </c>
      <c r="EP61" t="e">
        <f>AND('5to. Perito_A'!#REF!,"AAAAAGLtOpE=")</f>
        <v>#REF!</v>
      </c>
      <c r="EQ61" t="e">
        <f>AND('5to. Perito_A'!#REF!,"AAAAAGLtOpI=")</f>
        <v>#REF!</v>
      </c>
      <c r="ER61" t="e">
        <f>AND('5to. Perito_A'!#REF!,"AAAAAGLtOpM=")</f>
        <v>#REF!</v>
      </c>
      <c r="ES61" t="e">
        <f>AND('5to. Perito_A'!#REF!,"AAAAAGLtOpQ=")</f>
        <v>#REF!</v>
      </c>
      <c r="ET61" t="e">
        <f>AND('5to. Perito_A'!#REF!,"AAAAAGLtOpU=")</f>
        <v>#REF!</v>
      </c>
      <c r="EU61" t="e">
        <f>AND('5to. Perito_A'!#REF!,"AAAAAGLtOpY=")</f>
        <v>#REF!</v>
      </c>
      <c r="EV61" t="e">
        <f>AND('5to. Perito_A'!#REF!,"AAAAAGLtOpc=")</f>
        <v>#REF!</v>
      </c>
      <c r="EW61" t="e">
        <f>IF('5to. Perito_A'!#REF!,"AAAAAGLtOpg=",0)</f>
        <v>#REF!</v>
      </c>
      <c r="EX61" t="e">
        <f>AND('5to. Perito_A'!#REF!,"AAAAAGLtOpk=")</f>
        <v>#REF!</v>
      </c>
      <c r="EY61" t="e">
        <f>AND('5to. Perito_A'!#REF!,"AAAAAGLtOpo=")</f>
        <v>#REF!</v>
      </c>
      <c r="EZ61" t="e">
        <f>AND('5to. Perito_A'!#REF!,"AAAAAGLtOps=")</f>
        <v>#REF!</v>
      </c>
      <c r="FA61" t="e">
        <f>AND('5to. Perito_A'!#REF!,"AAAAAGLtOpw=")</f>
        <v>#REF!</v>
      </c>
      <c r="FB61" t="e">
        <f>AND('5to. Perito_A'!#REF!,"AAAAAGLtOp0=")</f>
        <v>#REF!</v>
      </c>
      <c r="FC61" t="e">
        <f>AND('5to. Perito_A'!#REF!,"AAAAAGLtOp4=")</f>
        <v>#REF!</v>
      </c>
      <c r="FD61" t="e">
        <f>AND('5to. Perito_A'!#REF!,"AAAAAGLtOp8=")</f>
        <v>#REF!</v>
      </c>
      <c r="FE61" t="e">
        <f>AND('5to. Perito_A'!#REF!,"AAAAAGLtOqA=")</f>
        <v>#REF!</v>
      </c>
      <c r="FF61" t="e">
        <f>AND('5to. Perito_A'!#REF!,"AAAAAGLtOqE=")</f>
        <v>#REF!</v>
      </c>
      <c r="FG61" t="e">
        <f>AND('5to. Perito_A'!#REF!,"AAAAAGLtOqI=")</f>
        <v>#REF!</v>
      </c>
      <c r="FH61" t="e">
        <f>AND('5to. Perito_A'!#REF!,"AAAAAGLtOqM=")</f>
        <v>#REF!</v>
      </c>
      <c r="FI61" t="e">
        <f>AND('5to. Perito_A'!#REF!,"AAAAAGLtOqQ=")</f>
        <v>#REF!</v>
      </c>
      <c r="FJ61" t="e">
        <f>AND('5to. Perito_A'!#REF!,"AAAAAGLtOqU=")</f>
        <v>#REF!</v>
      </c>
      <c r="FK61" t="e">
        <f>AND('5to. Perito_A'!#REF!,"AAAAAGLtOqY=")</f>
        <v>#REF!</v>
      </c>
      <c r="FL61" t="e">
        <f>AND('5to. Perito_A'!#REF!,"AAAAAGLtOqc=")</f>
        <v>#REF!</v>
      </c>
      <c r="FM61" t="e">
        <f>AND('5to. Perito_A'!#REF!,"AAAAAGLtOqg=")</f>
        <v>#REF!</v>
      </c>
      <c r="FN61" t="e">
        <f>AND('5to. Perito_A'!#REF!,"AAAAAGLtOqk=")</f>
        <v>#REF!</v>
      </c>
      <c r="FO61" t="e">
        <f>AND('5to. Perito_A'!#REF!,"AAAAAGLtOqo=")</f>
        <v>#REF!</v>
      </c>
      <c r="FP61" t="e">
        <f>AND('5to. Perito_A'!#REF!,"AAAAAGLtOqs=")</f>
        <v>#REF!</v>
      </c>
      <c r="FQ61" t="e">
        <f>AND('5to. Perito_A'!#REF!,"AAAAAGLtOqw=")</f>
        <v>#REF!</v>
      </c>
      <c r="FR61" t="e">
        <f>AND('5to. Perito_A'!#REF!,"AAAAAGLtOq0=")</f>
        <v>#REF!</v>
      </c>
      <c r="FS61" t="e">
        <f>AND('5to. Perito_A'!#REF!,"AAAAAGLtOq4=")</f>
        <v>#REF!</v>
      </c>
      <c r="FT61" t="e">
        <f>AND('5to. Perito_A'!#REF!,"AAAAAGLtOq8=")</f>
        <v>#REF!</v>
      </c>
      <c r="FU61" t="e">
        <f>AND('5to. Perito_A'!#REF!,"AAAAAGLtOrA=")</f>
        <v>#REF!</v>
      </c>
      <c r="FV61" t="e">
        <f>AND('5to. Perito_A'!#REF!,"AAAAAGLtOrE=")</f>
        <v>#REF!</v>
      </c>
      <c r="FW61" t="e">
        <f>IF('5to. Perito_A'!#REF!,"AAAAAGLtOrI=",0)</f>
        <v>#REF!</v>
      </c>
      <c r="FX61" t="e">
        <f>AND('5to. Perito_A'!#REF!,"AAAAAGLtOrM=")</f>
        <v>#REF!</v>
      </c>
      <c r="FY61" t="e">
        <f>AND('5to. Perito_A'!#REF!,"AAAAAGLtOrQ=")</f>
        <v>#REF!</v>
      </c>
      <c r="FZ61" t="e">
        <f>AND('5to. Perito_A'!#REF!,"AAAAAGLtOrU=")</f>
        <v>#REF!</v>
      </c>
      <c r="GA61" t="e">
        <f>AND('5to. Perito_A'!#REF!,"AAAAAGLtOrY=")</f>
        <v>#REF!</v>
      </c>
      <c r="GB61" t="e">
        <f>AND('5to. Perito_A'!#REF!,"AAAAAGLtOrc=")</f>
        <v>#REF!</v>
      </c>
      <c r="GC61" t="e">
        <f>AND('5to. Perito_A'!#REF!,"AAAAAGLtOrg=")</f>
        <v>#REF!</v>
      </c>
      <c r="GD61" t="e">
        <f>AND('5to. Perito_A'!#REF!,"AAAAAGLtOrk=")</f>
        <v>#REF!</v>
      </c>
      <c r="GE61" t="e">
        <f>AND('5to. Perito_A'!#REF!,"AAAAAGLtOro=")</f>
        <v>#REF!</v>
      </c>
      <c r="GF61" t="e">
        <f>AND('5to. Perito_A'!#REF!,"AAAAAGLtOrs=")</f>
        <v>#REF!</v>
      </c>
      <c r="GG61" t="e">
        <f>AND('5to. Perito_A'!#REF!,"AAAAAGLtOrw=")</f>
        <v>#REF!</v>
      </c>
      <c r="GH61" t="e">
        <f>AND('5to. Perito_A'!#REF!,"AAAAAGLtOr0=")</f>
        <v>#REF!</v>
      </c>
      <c r="GI61" t="e">
        <f>AND('5to. Perito_A'!#REF!,"AAAAAGLtOr4=")</f>
        <v>#REF!</v>
      </c>
      <c r="GJ61" t="e">
        <f>AND('5to. Perito_A'!#REF!,"AAAAAGLtOr8=")</f>
        <v>#REF!</v>
      </c>
      <c r="GK61" t="e">
        <f>AND('5to. Perito_A'!#REF!,"AAAAAGLtOsA=")</f>
        <v>#REF!</v>
      </c>
      <c r="GL61" t="e">
        <f>AND('5to. Perito_A'!#REF!,"AAAAAGLtOsE=")</f>
        <v>#REF!</v>
      </c>
      <c r="GM61" t="e">
        <f>AND('5to. Perito_A'!#REF!,"AAAAAGLtOsI=")</f>
        <v>#REF!</v>
      </c>
      <c r="GN61" t="e">
        <f>AND('5to. Perito_A'!#REF!,"AAAAAGLtOsM=")</f>
        <v>#REF!</v>
      </c>
      <c r="GO61" t="e">
        <f>AND('5to. Perito_A'!#REF!,"AAAAAGLtOsQ=")</f>
        <v>#REF!</v>
      </c>
      <c r="GP61" t="e">
        <f>AND('5to. Perito_A'!#REF!,"AAAAAGLtOsU=")</f>
        <v>#REF!</v>
      </c>
      <c r="GQ61" t="e">
        <f>AND('5to. Perito_A'!#REF!,"AAAAAGLtOsY=")</f>
        <v>#REF!</v>
      </c>
      <c r="GR61" t="e">
        <f>AND('5to. Perito_A'!#REF!,"AAAAAGLtOsc=")</f>
        <v>#REF!</v>
      </c>
      <c r="GS61" t="e">
        <f>AND('5to. Perito_A'!#REF!,"AAAAAGLtOsg=")</f>
        <v>#REF!</v>
      </c>
      <c r="GT61" t="e">
        <f>AND('5to. Perito_A'!#REF!,"AAAAAGLtOsk=")</f>
        <v>#REF!</v>
      </c>
      <c r="GU61" t="e">
        <f>AND('5to. Perito_A'!#REF!,"AAAAAGLtOso=")</f>
        <v>#REF!</v>
      </c>
      <c r="GV61" t="e">
        <f>AND('5to. Perito_A'!#REF!,"AAAAAGLtOss=")</f>
        <v>#REF!</v>
      </c>
      <c r="GW61" t="e">
        <f>IF('5to. Perito_A'!#REF!,"AAAAAGLtOsw=",0)</f>
        <v>#REF!</v>
      </c>
      <c r="GX61" t="e">
        <f>AND('5to. Perito_A'!#REF!,"AAAAAGLtOs0=")</f>
        <v>#REF!</v>
      </c>
      <c r="GY61" t="e">
        <f>AND('5to. Perito_A'!#REF!,"AAAAAGLtOs4=")</f>
        <v>#REF!</v>
      </c>
      <c r="GZ61" t="e">
        <f>AND('5to. Perito_A'!#REF!,"AAAAAGLtOs8=")</f>
        <v>#REF!</v>
      </c>
      <c r="HA61" t="e">
        <f>AND('5to. Perito_A'!#REF!,"AAAAAGLtOtA=")</f>
        <v>#REF!</v>
      </c>
      <c r="HB61" t="e">
        <f>AND('5to. Perito_A'!#REF!,"AAAAAGLtOtE=")</f>
        <v>#REF!</v>
      </c>
      <c r="HC61" t="e">
        <f>AND('5to. Perito_A'!#REF!,"AAAAAGLtOtI=")</f>
        <v>#REF!</v>
      </c>
      <c r="HD61" t="e">
        <f>AND('5to. Perito_A'!#REF!,"AAAAAGLtOtM=")</f>
        <v>#REF!</v>
      </c>
      <c r="HE61" t="e">
        <f>AND('5to. Perito_A'!#REF!,"AAAAAGLtOtQ=")</f>
        <v>#REF!</v>
      </c>
      <c r="HF61" t="e">
        <f>AND('5to. Perito_A'!#REF!,"AAAAAGLtOtU=")</f>
        <v>#REF!</v>
      </c>
      <c r="HG61" t="e">
        <f>AND('5to. Perito_A'!#REF!,"AAAAAGLtOtY=")</f>
        <v>#REF!</v>
      </c>
      <c r="HH61" t="e">
        <f>AND('5to. Perito_A'!#REF!,"AAAAAGLtOtc=")</f>
        <v>#REF!</v>
      </c>
      <c r="HI61" t="e">
        <f>AND('5to. Perito_A'!#REF!,"AAAAAGLtOtg=")</f>
        <v>#REF!</v>
      </c>
      <c r="HJ61" t="e">
        <f>AND('5to. Perito_A'!#REF!,"AAAAAGLtOtk=")</f>
        <v>#REF!</v>
      </c>
      <c r="HK61" t="e">
        <f>AND('5to. Perito_A'!#REF!,"AAAAAGLtOto=")</f>
        <v>#REF!</v>
      </c>
      <c r="HL61" t="e">
        <f>AND('5to. Perito_A'!#REF!,"AAAAAGLtOts=")</f>
        <v>#REF!</v>
      </c>
      <c r="HM61" t="e">
        <f>AND('5to. Perito_A'!#REF!,"AAAAAGLtOtw=")</f>
        <v>#REF!</v>
      </c>
      <c r="HN61" t="e">
        <f>AND('5to. Perito_A'!#REF!,"AAAAAGLtOt0=")</f>
        <v>#REF!</v>
      </c>
      <c r="HO61" t="e">
        <f>AND('5to. Perito_A'!#REF!,"AAAAAGLtOt4=")</f>
        <v>#REF!</v>
      </c>
      <c r="HP61" t="e">
        <f>AND('5to. Perito_A'!#REF!,"AAAAAGLtOt8=")</f>
        <v>#REF!</v>
      </c>
      <c r="HQ61" t="e">
        <f>AND('5to. Perito_A'!#REF!,"AAAAAGLtOuA=")</f>
        <v>#REF!</v>
      </c>
      <c r="HR61" t="e">
        <f>AND('5to. Perito_A'!#REF!,"AAAAAGLtOuE=")</f>
        <v>#REF!</v>
      </c>
      <c r="HS61" t="e">
        <f>AND('5to. Perito_A'!#REF!,"AAAAAGLtOuI=")</f>
        <v>#REF!</v>
      </c>
      <c r="HT61" t="e">
        <f>AND('5to. Perito_A'!#REF!,"AAAAAGLtOuM=")</f>
        <v>#REF!</v>
      </c>
      <c r="HU61" t="e">
        <f>AND('5to. Perito_A'!#REF!,"AAAAAGLtOuQ=")</f>
        <v>#REF!</v>
      </c>
      <c r="HV61" t="e">
        <f>AND('5to. Perito_A'!#REF!,"AAAAAGLtOuU=")</f>
        <v>#REF!</v>
      </c>
      <c r="HW61" t="e">
        <f>IF('5to. Perito_A'!#REF!,"AAAAAGLtOuY=",0)</f>
        <v>#REF!</v>
      </c>
      <c r="HX61" t="e">
        <f>AND('5to. Perito_A'!#REF!,"AAAAAGLtOuc=")</f>
        <v>#REF!</v>
      </c>
      <c r="HY61" t="e">
        <f>AND('5to. Perito_A'!#REF!,"AAAAAGLtOug=")</f>
        <v>#REF!</v>
      </c>
      <c r="HZ61" t="e">
        <f>AND('5to. Perito_A'!#REF!,"AAAAAGLtOuk=")</f>
        <v>#REF!</v>
      </c>
      <c r="IA61" t="e">
        <f>AND('5to. Perito_A'!#REF!,"AAAAAGLtOuo=")</f>
        <v>#REF!</v>
      </c>
      <c r="IB61" t="e">
        <f>AND('5to. Perito_A'!#REF!,"AAAAAGLtOus=")</f>
        <v>#REF!</v>
      </c>
      <c r="IC61" t="e">
        <f>AND('5to. Perito_A'!#REF!,"AAAAAGLtOuw=")</f>
        <v>#REF!</v>
      </c>
      <c r="ID61" t="e">
        <f>AND('5to. Perito_A'!#REF!,"AAAAAGLtOu0=")</f>
        <v>#REF!</v>
      </c>
      <c r="IE61" t="e">
        <f>AND('5to. Perito_A'!#REF!,"AAAAAGLtOu4=")</f>
        <v>#REF!</v>
      </c>
      <c r="IF61" t="e">
        <f>AND('5to. Perito_A'!#REF!,"AAAAAGLtOu8=")</f>
        <v>#REF!</v>
      </c>
      <c r="IG61" t="e">
        <f>AND('5to. Perito_A'!#REF!,"AAAAAGLtOvA=")</f>
        <v>#REF!</v>
      </c>
      <c r="IH61" t="e">
        <f>AND('5to. Perito_A'!#REF!,"AAAAAGLtOvE=")</f>
        <v>#REF!</v>
      </c>
      <c r="II61" t="e">
        <f>AND('5to. Perito_A'!#REF!,"AAAAAGLtOvI=")</f>
        <v>#REF!</v>
      </c>
      <c r="IJ61" t="e">
        <f>AND('5to. Perito_A'!#REF!,"AAAAAGLtOvM=")</f>
        <v>#REF!</v>
      </c>
      <c r="IK61" t="e">
        <f>AND('5to. Perito_A'!#REF!,"AAAAAGLtOvQ=")</f>
        <v>#REF!</v>
      </c>
      <c r="IL61" t="e">
        <f>AND('5to. Perito_A'!#REF!,"AAAAAGLtOvU=")</f>
        <v>#REF!</v>
      </c>
      <c r="IM61" t="e">
        <f>AND('5to. Perito_A'!#REF!,"AAAAAGLtOvY=")</f>
        <v>#REF!</v>
      </c>
      <c r="IN61" t="e">
        <f>AND('5to. Perito_A'!#REF!,"AAAAAGLtOvc=")</f>
        <v>#REF!</v>
      </c>
      <c r="IO61" t="e">
        <f>AND('5to. Perito_A'!#REF!,"AAAAAGLtOvg=")</f>
        <v>#REF!</v>
      </c>
      <c r="IP61" t="e">
        <f>AND('5to. Perito_A'!#REF!,"AAAAAGLtOvk=")</f>
        <v>#REF!</v>
      </c>
      <c r="IQ61" t="e">
        <f>AND('5to. Perito_A'!#REF!,"AAAAAGLtOvo=")</f>
        <v>#REF!</v>
      </c>
      <c r="IR61" t="e">
        <f>AND('5to. Perito_A'!#REF!,"AAAAAGLtOvs=")</f>
        <v>#REF!</v>
      </c>
      <c r="IS61" t="e">
        <f>AND('5to. Perito_A'!#REF!,"AAAAAGLtOvw=")</f>
        <v>#REF!</v>
      </c>
      <c r="IT61" t="e">
        <f>AND('5to. Perito_A'!#REF!,"AAAAAGLtOv0=")</f>
        <v>#REF!</v>
      </c>
      <c r="IU61" t="e">
        <f>AND('5to. Perito_A'!#REF!,"AAAAAGLtOv4=")</f>
        <v>#REF!</v>
      </c>
      <c r="IV61" t="e">
        <f>AND('5to. Perito_A'!#REF!,"AAAAAGLtOv8=")</f>
        <v>#REF!</v>
      </c>
    </row>
    <row r="62" spans="1:256">
      <c r="A62">
        <f>IF('5to. Perito_A'!A:A,"AAAAAHS/+wA=",0)</f>
        <v>0</v>
      </c>
      <c r="B62">
        <f>IF('5to. Perito_A'!B:B,"AAAAAHS/+wE=",0)</f>
        <v>0</v>
      </c>
      <c r="C62">
        <f>IF('5to. Perito_A'!C:C,"AAAAAHS/+wI=",0)</f>
        <v>0</v>
      </c>
      <c r="D62">
        <f>IF('5to. Perito_A'!D:D,"AAAAAHS/+wM=",0)</f>
        <v>0</v>
      </c>
      <c r="E62">
        <f>IF('5to. Perito_A'!E:E,"AAAAAHS/+wQ=",0)</f>
        <v>0</v>
      </c>
      <c r="F62">
        <f>IF('5to. Perito_A'!F:F,"AAAAAHS/+wU=",0)</f>
        <v>0</v>
      </c>
      <c r="G62">
        <f>IF('5to. Perito_A'!G:G,"AAAAAHS/+wY=",0)</f>
        <v>0</v>
      </c>
      <c r="H62">
        <f>IF('5to. Perito_A'!H:H,"AAAAAHS/+wc=",0)</f>
        <v>0</v>
      </c>
      <c r="I62">
        <f>IF('5to. Perito_A'!I:I,"AAAAAHS/+wg=",0)</f>
        <v>0</v>
      </c>
      <c r="J62">
        <f>IF('5to. Perito_A'!J:J,"AAAAAHS/+wk=",0)</f>
        <v>0</v>
      </c>
      <c r="K62">
        <f>IF('5to. Perito_A'!K:K,"AAAAAHS/+wo=",0)</f>
        <v>0</v>
      </c>
      <c r="L62">
        <f>IF('5to. Perito_A'!L:L,"AAAAAHS/+ws=",0)</f>
        <v>0</v>
      </c>
      <c r="M62">
        <f>IF('5to. Perito_A'!M:M,"AAAAAHS/+ww=",0)</f>
        <v>0</v>
      </c>
      <c r="N62">
        <f>IF('5to. Perito_A'!N:N,"AAAAAHS/+w0=",0)</f>
        <v>0</v>
      </c>
      <c r="O62">
        <f>IF('5to. Perito_A'!O:O,"AAAAAHS/+w4=",0)</f>
        <v>0</v>
      </c>
      <c r="P62">
        <f>IF('5to. Perito_A'!P:P,"AAAAAHS/+w8=",0)</f>
        <v>0</v>
      </c>
      <c r="Q62">
        <f>IF('5to. Perito_A'!Q:Q,"AAAAAHS/+xA=",0)</f>
        <v>0</v>
      </c>
      <c r="R62">
        <f>IF('5to. Perito_A'!R:R,"AAAAAHS/+xE=",0)</f>
        <v>0</v>
      </c>
      <c r="S62">
        <f>IF('5to. Perito_A'!S:S,"AAAAAHS/+xI=",0)</f>
        <v>0</v>
      </c>
      <c r="T62">
        <f>IF('5to. Perito_A'!T:T,"AAAAAHS/+xM=",0)</f>
        <v>0</v>
      </c>
      <c r="U62" t="e">
        <f>IF('5to. Perito_A'!#REF!,"AAAAAHS/+xQ=",0)</f>
        <v>#REF!</v>
      </c>
      <c r="V62" t="e">
        <f>IF('5to. Perito_A'!#REF!,"AAAAAHS/+xU=",0)</f>
        <v>#REF!</v>
      </c>
      <c r="W62" t="e">
        <f>IF('5to. Perito_A'!#REF!,"AAAAAHS/+xY=",0)</f>
        <v>#REF!</v>
      </c>
      <c r="X62" t="e">
        <f>IF('5to. Perito_A'!#REF!,"AAAAAHS/+xc=",0)</f>
        <v>#REF!</v>
      </c>
      <c r="Y62" t="e">
        <f>IF('5to. Perito_A'!#REF!,"AAAAAHS/+xg=",0)</f>
        <v>#REF!</v>
      </c>
      <c r="Z62" t="e">
        <f>IF('5to. Perito_B'!#REF!,"AAAAAHS/+xk=",0)</f>
        <v>#REF!</v>
      </c>
      <c r="AA62" t="e">
        <f>AND('5to. Perito_B'!#REF!,"AAAAAHS/+xo=")</f>
        <v>#REF!</v>
      </c>
      <c r="AB62" t="e">
        <f>AND('5to. Perito_B'!#REF!,"AAAAAHS/+xs=")</f>
        <v>#REF!</v>
      </c>
      <c r="AC62" t="e">
        <f>AND('5to. Perito_B'!#REF!,"AAAAAHS/+xw=")</f>
        <v>#REF!</v>
      </c>
      <c r="AD62" t="e">
        <f>AND('5to. Perito_B'!#REF!,"AAAAAHS/+x0=")</f>
        <v>#REF!</v>
      </c>
      <c r="AE62" t="e">
        <f>AND('5to. Perito_B'!#REF!,"AAAAAHS/+x4=")</f>
        <v>#REF!</v>
      </c>
      <c r="AF62" t="e">
        <f>AND('5to. Perito_B'!#REF!,"AAAAAHS/+x8=")</f>
        <v>#REF!</v>
      </c>
      <c r="AG62" t="e">
        <f>AND('5to. Perito_B'!#REF!,"AAAAAHS/+yA=")</f>
        <v>#REF!</v>
      </c>
      <c r="AH62" t="e">
        <f>AND('5to. Perito_B'!#REF!,"AAAAAHS/+yE=")</f>
        <v>#REF!</v>
      </c>
      <c r="AI62" t="e">
        <f>AND('5to. Perito_B'!#REF!,"AAAAAHS/+yI=")</f>
        <v>#REF!</v>
      </c>
      <c r="AJ62" t="e">
        <f>AND('5to. Perito_B'!#REF!,"AAAAAHS/+yM=")</f>
        <v>#REF!</v>
      </c>
      <c r="AK62" t="e">
        <f>AND('5to. Perito_B'!#REF!,"AAAAAHS/+yQ=")</f>
        <v>#REF!</v>
      </c>
      <c r="AL62" t="e">
        <f>AND('5to. Perito_B'!#REF!,"AAAAAHS/+yU=")</f>
        <v>#REF!</v>
      </c>
      <c r="AM62" t="e">
        <f>AND('5to. Perito_B'!#REF!,"AAAAAHS/+yY=")</f>
        <v>#REF!</v>
      </c>
      <c r="AN62" t="e">
        <f>AND('5to. Perito_B'!#REF!,"AAAAAHS/+yc=")</f>
        <v>#REF!</v>
      </c>
      <c r="AO62" t="e">
        <f>AND('5to. Perito_B'!#REF!,"AAAAAHS/+yg=")</f>
        <v>#REF!</v>
      </c>
      <c r="AP62" t="e">
        <f>AND('5to. Perito_B'!#REF!,"AAAAAHS/+yk=")</f>
        <v>#REF!</v>
      </c>
      <c r="AQ62" t="e">
        <f>AND('5to. Perito_B'!#REF!,"AAAAAHS/+yo=")</f>
        <v>#REF!</v>
      </c>
      <c r="AR62" t="e">
        <f>AND('5to. Perito_B'!#REF!,"AAAAAHS/+ys=")</f>
        <v>#REF!</v>
      </c>
      <c r="AS62" t="e">
        <f>AND('5to. Perito_B'!#REF!,"AAAAAHS/+yw=")</f>
        <v>#REF!</v>
      </c>
      <c r="AT62" t="e">
        <f>AND('5to. Perito_B'!#REF!,"AAAAAHS/+y0=")</f>
        <v>#REF!</v>
      </c>
      <c r="AU62" t="e">
        <f>AND('5to. Perito_B'!#REF!,"AAAAAHS/+y4=")</f>
        <v>#REF!</v>
      </c>
      <c r="AV62" t="e">
        <f>AND('5to. Perito_B'!#REF!,"AAAAAHS/+y8=")</f>
        <v>#REF!</v>
      </c>
      <c r="AW62" t="e">
        <f>AND('5to. Perito_B'!#REF!,"AAAAAHS/+zA=")</f>
        <v>#REF!</v>
      </c>
      <c r="AX62" t="e">
        <f>AND('5to. Perito_B'!#REF!,"AAAAAHS/+zE=")</f>
        <v>#REF!</v>
      </c>
      <c r="AY62" t="e">
        <f>AND('5to. Perito_B'!#REF!,"AAAAAHS/+zI=")</f>
        <v>#REF!</v>
      </c>
      <c r="AZ62" t="e">
        <f>IF('5to. Perito_B'!#REF!,"AAAAAHS/+zM=",0)</f>
        <v>#REF!</v>
      </c>
      <c r="BA62" t="e">
        <f>AND('5to. Perito_B'!#REF!,"AAAAAHS/+zQ=")</f>
        <v>#REF!</v>
      </c>
      <c r="BB62" t="e">
        <f>AND('5to. Perito_B'!#REF!,"AAAAAHS/+zU=")</f>
        <v>#REF!</v>
      </c>
      <c r="BC62" t="e">
        <f>AND('5to. Perito_B'!#REF!,"AAAAAHS/+zY=")</f>
        <v>#REF!</v>
      </c>
      <c r="BD62" t="e">
        <f>AND('5to. Perito_B'!#REF!,"AAAAAHS/+zc=")</f>
        <v>#REF!</v>
      </c>
      <c r="BE62" t="e">
        <f>AND('5to. Perito_B'!#REF!,"AAAAAHS/+zg=")</f>
        <v>#REF!</v>
      </c>
      <c r="BF62" t="e">
        <f>AND('5to. Perito_B'!#REF!,"AAAAAHS/+zk=")</f>
        <v>#REF!</v>
      </c>
      <c r="BG62" t="e">
        <f>AND('5to. Perito_B'!#REF!,"AAAAAHS/+zo=")</f>
        <v>#REF!</v>
      </c>
      <c r="BH62" t="e">
        <f>AND('5to. Perito_B'!#REF!,"AAAAAHS/+zs=")</f>
        <v>#REF!</v>
      </c>
      <c r="BI62" t="e">
        <f>AND('5to. Perito_B'!#REF!,"AAAAAHS/+zw=")</f>
        <v>#REF!</v>
      </c>
      <c r="BJ62" t="e">
        <f>AND('5to. Perito_B'!#REF!,"AAAAAHS/+z0=")</f>
        <v>#REF!</v>
      </c>
      <c r="BK62" t="e">
        <f>AND('5to. Perito_B'!#REF!,"AAAAAHS/+z4=")</f>
        <v>#REF!</v>
      </c>
      <c r="BL62" t="e">
        <f>AND('5to. Perito_B'!#REF!,"AAAAAHS/+z8=")</f>
        <v>#REF!</v>
      </c>
      <c r="BM62" t="e">
        <f>AND('5to. Perito_B'!#REF!,"AAAAAHS/+0A=")</f>
        <v>#REF!</v>
      </c>
      <c r="BN62" t="e">
        <f>AND('5to. Perito_B'!#REF!,"AAAAAHS/+0E=")</f>
        <v>#REF!</v>
      </c>
      <c r="BO62" t="e">
        <f>AND('5to. Perito_B'!#REF!,"AAAAAHS/+0I=")</f>
        <v>#REF!</v>
      </c>
      <c r="BP62" t="e">
        <f>AND('5to. Perito_B'!#REF!,"AAAAAHS/+0M=")</f>
        <v>#REF!</v>
      </c>
      <c r="BQ62" t="e">
        <f>AND('5to. Perito_B'!#REF!,"AAAAAHS/+0Q=")</f>
        <v>#REF!</v>
      </c>
      <c r="BR62" t="e">
        <f>AND('5to. Perito_B'!#REF!,"AAAAAHS/+0U=")</f>
        <v>#REF!</v>
      </c>
      <c r="BS62" t="e">
        <f>AND('5to. Perito_B'!#REF!,"AAAAAHS/+0Y=")</f>
        <v>#REF!</v>
      </c>
      <c r="BT62" t="e">
        <f>AND('5to. Perito_B'!#REF!,"AAAAAHS/+0c=")</f>
        <v>#REF!</v>
      </c>
      <c r="BU62" t="e">
        <f>AND('5to. Perito_B'!#REF!,"AAAAAHS/+0g=")</f>
        <v>#REF!</v>
      </c>
      <c r="BV62" t="e">
        <f>AND('5to. Perito_B'!#REF!,"AAAAAHS/+0k=")</f>
        <v>#REF!</v>
      </c>
      <c r="BW62" t="e">
        <f>AND('5to. Perito_B'!#REF!,"AAAAAHS/+0o=")</f>
        <v>#REF!</v>
      </c>
      <c r="BX62" t="e">
        <f>AND('5to. Perito_B'!#REF!,"AAAAAHS/+0s=")</f>
        <v>#REF!</v>
      </c>
      <c r="BY62" t="e">
        <f>AND('5to. Perito_B'!#REF!,"AAAAAHS/+0w=")</f>
        <v>#REF!</v>
      </c>
      <c r="BZ62" t="e">
        <f>IF('5to. Perito_B'!#REF!,"AAAAAHS/+00=",0)</f>
        <v>#REF!</v>
      </c>
      <c r="CA62" t="e">
        <f>AND('5to. Perito_B'!#REF!,"AAAAAHS/+04=")</f>
        <v>#REF!</v>
      </c>
      <c r="CB62" t="e">
        <f>AND('5to. Perito_B'!#REF!,"AAAAAHS/+08=")</f>
        <v>#REF!</v>
      </c>
      <c r="CC62" t="e">
        <f>AND('5to. Perito_B'!#REF!,"AAAAAHS/+1A=")</f>
        <v>#REF!</v>
      </c>
      <c r="CD62" t="e">
        <f>AND('5to. Perito_B'!#REF!,"AAAAAHS/+1E=")</f>
        <v>#REF!</v>
      </c>
      <c r="CE62" t="e">
        <f>AND('5to. Perito_B'!#REF!,"AAAAAHS/+1I=")</f>
        <v>#REF!</v>
      </c>
      <c r="CF62" t="e">
        <f>AND('5to. Perito_B'!#REF!,"AAAAAHS/+1M=")</f>
        <v>#REF!</v>
      </c>
      <c r="CG62" t="e">
        <f>AND('5to. Perito_B'!#REF!,"AAAAAHS/+1Q=")</f>
        <v>#REF!</v>
      </c>
      <c r="CH62" t="e">
        <f>AND('5to. Perito_B'!#REF!,"AAAAAHS/+1U=")</f>
        <v>#REF!</v>
      </c>
      <c r="CI62" t="e">
        <f>AND('5to. Perito_B'!#REF!,"AAAAAHS/+1Y=")</f>
        <v>#REF!</v>
      </c>
      <c r="CJ62" t="e">
        <f>AND('5to. Perito_B'!#REF!,"AAAAAHS/+1c=")</f>
        <v>#REF!</v>
      </c>
      <c r="CK62" t="e">
        <f>AND('5to. Perito_B'!#REF!,"AAAAAHS/+1g=")</f>
        <v>#REF!</v>
      </c>
      <c r="CL62" t="e">
        <f>AND('5to. Perito_B'!#REF!,"AAAAAHS/+1k=")</f>
        <v>#REF!</v>
      </c>
      <c r="CM62" t="e">
        <f>AND('5to. Perito_B'!#REF!,"AAAAAHS/+1o=")</f>
        <v>#REF!</v>
      </c>
      <c r="CN62" t="e">
        <f>AND('5to. Perito_B'!#REF!,"AAAAAHS/+1s=")</f>
        <v>#REF!</v>
      </c>
      <c r="CO62" t="e">
        <f>AND('5to. Perito_B'!#REF!,"AAAAAHS/+1w=")</f>
        <v>#REF!</v>
      </c>
      <c r="CP62" t="e">
        <f>AND('5to. Perito_B'!#REF!,"AAAAAHS/+10=")</f>
        <v>#REF!</v>
      </c>
      <c r="CQ62" t="e">
        <f>AND('5to. Perito_B'!#REF!,"AAAAAHS/+14=")</f>
        <v>#REF!</v>
      </c>
      <c r="CR62" t="e">
        <f>AND('5to. Perito_B'!#REF!,"AAAAAHS/+18=")</f>
        <v>#REF!</v>
      </c>
      <c r="CS62" t="e">
        <f>AND('5to. Perito_B'!#REF!,"AAAAAHS/+2A=")</f>
        <v>#REF!</v>
      </c>
      <c r="CT62" t="e">
        <f>AND('5to. Perito_B'!#REF!,"AAAAAHS/+2E=")</f>
        <v>#REF!</v>
      </c>
      <c r="CU62" t="e">
        <f>AND('5to. Perito_B'!#REF!,"AAAAAHS/+2I=")</f>
        <v>#REF!</v>
      </c>
      <c r="CV62" t="e">
        <f>AND('5to. Perito_B'!#REF!,"AAAAAHS/+2M=")</f>
        <v>#REF!</v>
      </c>
      <c r="CW62" t="e">
        <f>AND('5to. Perito_B'!#REF!,"AAAAAHS/+2Q=")</f>
        <v>#REF!</v>
      </c>
      <c r="CX62" t="e">
        <f>AND('5to. Perito_B'!#REF!,"AAAAAHS/+2U=")</f>
        <v>#REF!</v>
      </c>
      <c r="CY62" t="e">
        <f>AND('5to. Perito_B'!#REF!,"AAAAAHS/+2Y=")</f>
        <v>#REF!</v>
      </c>
      <c r="CZ62" t="e">
        <f>IF('5to. Perito_B'!#REF!,"AAAAAHS/+2c=",0)</f>
        <v>#REF!</v>
      </c>
      <c r="DA62" t="e">
        <f>AND('5to. Perito_B'!#REF!,"AAAAAHS/+2g=")</f>
        <v>#REF!</v>
      </c>
      <c r="DB62" t="e">
        <f>AND('5to. Perito_B'!#REF!,"AAAAAHS/+2k=")</f>
        <v>#REF!</v>
      </c>
      <c r="DC62" t="e">
        <f>AND('5to. Perito_B'!#REF!,"AAAAAHS/+2o=")</f>
        <v>#REF!</v>
      </c>
      <c r="DD62" t="e">
        <f>AND('5to. Perito_B'!#REF!,"AAAAAHS/+2s=")</f>
        <v>#REF!</v>
      </c>
      <c r="DE62" t="e">
        <f>AND('5to. Perito_B'!#REF!,"AAAAAHS/+2w=")</f>
        <v>#REF!</v>
      </c>
      <c r="DF62" t="e">
        <f>AND('5to. Perito_B'!#REF!,"AAAAAHS/+20=")</f>
        <v>#REF!</v>
      </c>
      <c r="DG62" t="e">
        <f>AND('5to. Perito_B'!#REF!,"AAAAAHS/+24=")</f>
        <v>#REF!</v>
      </c>
      <c r="DH62" t="e">
        <f>AND('5to. Perito_B'!#REF!,"AAAAAHS/+28=")</f>
        <v>#REF!</v>
      </c>
      <c r="DI62" t="e">
        <f>AND('5to. Perito_B'!#REF!,"AAAAAHS/+3A=")</f>
        <v>#REF!</v>
      </c>
      <c r="DJ62" t="e">
        <f>AND('5to. Perito_B'!#REF!,"AAAAAHS/+3E=")</f>
        <v>#REF!</v>
      </c>
      <c r="DK62" t="e">
        <f>AND('5to. Perito_B'!#REF!,"AAAAAHS/+3I=")</f>
        <v>#REF!</v>
      </c>
      <c r="DL62" t="e">
        <f>AND('5to. Perito_B'!#REF!,"AAAAAHS/+3M=")</f>
        <v>#REF!</v>
      </c>
      <c r="DM62" t="e">
        <f>AND('5to. Perito_B'!#REF!,"AAAAAHS/+3Q=")</f>
        <v>#REF!</v>
      </c>
      <c r="DN62" t="e">
        <f>AND('5to. Perito_B'!#REF!,"AAAAAHS/+3U=")</f>
        <v>#REF!</v>
      </c>
      <c r="DO62" t="e">
        <f>AND('5to. Perito_B'!#REF!,"AAAAAHS/+3Y=")</f>
        <v>#REF!</v>
      </c>
      <c r="DP62" t="e">
        <f>AND('5to. Perito_B'!#REF!,"AAAAAHS/+3c=")</f>
        <v>#REF!</v>
      </c>
      <c r="DQ62" t="e">
        <f>AND('5to. Perito_B'!#REF!,"AAAAAHS/+3g=")</f>
        <v>#REF!</v>
      </c>
      <c r="DR62" t="e">
        <f>AND('5to. Perito_B'!#REF!,"AAAAAHS/+3k=")</f>
        <v>#REF!</v>
      </c>
      <c r="DS62" t="e">
        <f>AND('5to. Perito_B'!#REF!,"AAAAAHS/+3o=")</f>
        <v>#REF!</v>
      </c>
      <c r="DT62" t="e">
        <f>AND('5to. Perito_B'!#REF!,"AAAAAHS/+3s=")</f>
        <v>#REF!</v>
      </c>
      <c r="DU62" t="e">
        <f>AND('5to. Perito_B'!#REF!,"AAAAAHS/+3w=")</f>
        <v>#REF!</v>
      </c>
      <c r="DV62" t="e">
        <f>AND('5to. Perito_B'!#REF!,"AAAAAHS/+30=")</f>
        <v>#REF!</v>
      </c>
      <c r="DW62" t="e">
        <f>AND('5to. Perito_B'!#REF!,"AAAAAHS/+34=")</f>
        <v>#REF!</v>
      </c>
      <c r="DX62" t="e">
        <f>AND('5to. Perito_B'!#REF!,"AAAAAHS/+38=")</f>
        <v>#REF!</v>
      </c>
      <c r="DY62" t="e">
        <f>AND('5to. Perito_B'!#REF!,"AAAAAHS/+4A=")</f>
        <v>#REF!</v>
      </c>
      <c r="DZ62">
        <f>IF('5to. Perito_B'!2:2,"AAAAAHS/+4E=",0)</f>
        <v>0</v>
      </c>
      <c r="EA62" t="e">
        <f>AND('5to. Perito_B'!A2,"AAAAAHS/+4I=")</f>
        <v>#VALUE!</v>
      </c>
      <c r="EB62" t="e">
        <f>AND('5to. Perito_B'!B2,"AAAAAHS/+4M=")</f>
        <v>#VALUE!</v>
      </c>
      <c r="EC62" t="e">
        <f>AND('5to. Perito_B'!C2,"AAAAAHS/+4Q=")</f>
        <v>#VALUE!</v>
      </c>
      <c r="ED62" t="e">
        <f>AND('5to. Perito_B'!D2,"AAAAAHS/+4U=")</f>
        <v>#VALUE!</v>
      </c>
      <c r="EE62" t="e">
        <f>AND('5to. Perito_B'!E2,"AAAAAHS/+4Y=")</f>
        <v>#VALUE!</v>
      </c>
      <c r="EF62" t="e">
        <f>AND('5to. Perito_B'!F2,"AAAAAHS/+4c=")</f>
        <v>#VALUE!</v>
      </c>
      <c r="EG62" t="e">
        <f>AND('5to. Perito_B'!G2,"AAAAAHS/+4g=")</f>
        <v>#VALUE!</v>
      </c>
      <c r="EH62" t="e">
        <f>AND('5to. Perito_B'!H2,"AAAAAHS/+4k=")</f>
        <v>#VALUE!</v>
      </c>
      <c r="EI62" t="e">
        <f>AND('5to. Perito_B'!I2,"AAAAAHS/+4o=")</f>
        <v>#VALUE!</v>
      </c>
      <c r="EJ62" t="e">
        <f>AND('5to. Perito_B'!J2,"AAAAAHS/+4s=")</f>
        <v>#VALUE!</v>
      </c>
      <c r="EK62" t="e">
        <f>AND('5to. Perito_B'!K2,"AAAAAHS/+4w=")</f>
        <v>#VALUE!</v>
      </c>
      <c r="EL62" t="e">
        <f>AND('5to. Perito_B'!L2,"AAAAAHS/+40=")</f>
        <v>#VALUE!</v>
      </c>
      <c r="EM62" t="e">
        <f>AND('5to. Perito_B'!M2,"AAAAAHS/+44=")</f>
        <v>#VALUE!</v>
      </c>
      <c r="EN62" t="e">
        <f>AND('5to. Perito_B'!N2,"AAAAAHS/+48=")</f>
        <v>#VALUE!</v>
      </c>
      <c r="EO62" t="e">
        <f>AND('5to. Perito_B'!O2,"AAAAAHS/+5A=")</f>
        <v>#VALUE!</v>
      </c>
      <c r="EP62" t="e">
        <f>AND('5to. Perito_B'!P2,"AAAAAHS/+5E=")</f>
        <v>#VALUE!</v>
      </c>
      <c r="EQ62" t="e">
        <f>AND('5to. Perito_B'!Q2,"AAAAAHS/+5I=")</f>
        <v>#VALUE!</v>
      </c>
      <c r="ER62" t="e">
        <f>AND('5to. Perito_B'!R2,"AAAAAHS/+5M=")</f>
        <v>#VALUE!</v>
      </c>
      <c r="ES62" t="e">
        <f>AND('5to. Perito_B'!S2,"AAAAAHS/+5Q=")</f>
        <v>#VALUE!</v>
      </c>
      <c r="ET62" t="e">
        <f>AND('5to. Perito_B'!T2,"AAAAAHS/+5U=")</f>
        <v>#VALUE!</v>
      </c>
      <c r="EU62" t="e">
        <f>AND('5to. Perito_B'!#REF!,"AAAAAHS/+5Y=")</f>
        <v>#REF!</v>
      </c>
      <c r="EV62" t="e">
        <f>AND('5to. Perito_B'!#REF!,"AAAAAHS/+5c=")</f>
        <v>#REF!</v>
      </c>
      <c r="EW62" t="e">
        <f>AND('5to. Perito_B'!#REF!,"AAAAAHS/+5g=")</f>
        <v>#REF!</v>
      </c>
      <c r="EX62" t="e">
        <f>AND('5to. Perito_B'!#REF!,"AAAAAHS/+5k=")</f>
        <v>#REF!</v>
      </c>
      <c r="EY62" t="e">
        <f>AND('5to. Perito_B'!#REF!,"AAAAAHS/+5o=")</f>
        <v>#REF!</v>
      </c>
      <c r="EZ62">
        <f>IF('5to. Perito_B'!3:3,"AAAAAHS/+5s=",0)</f>
        <v>0</v>
      </c>
      <c r="FA62" t="e">
        <f>AND('5to. Perito_B'!A3,"AAAAAHS/+5w=")</f>
        <v>#VALUE!</v>
      </c>
      <c r="FB62" t="e">
        <f>AND('5to. Perito_B'!B3,"AAAAAHS/+50=")</f>
        <v>#VALUE!</v>
      </c>
      <c r="FC62" t="e">
        <f>AND('5to. Perito_B'!C3,"AAAAAHS/+54=")</f>
        <v>#VALUE!</v>
      </c>
      <c r="FD62" t="e">
        <f>AND('5to. Perito_B'!D3,"AAAAAHS/+58=")</f>
        <v>#VALUE!</v>
      </c>
      <c r="FE62" t="e">
        <f>AND('5to. Perito_B'!E3,"AAAAAHS/+6A=")</f>
        <v>#VALUE!</v>
      </c>
      <c r="FF62" t="e">
        <f>AND('5to. Perito_B'!F3,"AAAAAHS/+6E=")</f>
        <v>#VALUE!</v>
      </c>
      <c r="FG62" t="e">
        <f>AND('5to. Perito_B'!G3,"AAAAAHS/+6I=")</f>
        <v>#VALUE!</v>
      </c>
      <c r="FH62" t="e">
        <f>AND('5to. Perito_B'!H3,"AAAAAHS/+6M=")</f>
        <v>#VALUE!</v>
      </c>
      <c r="FI62" t="e">
        <f>AND('5to. Perito_B'!I3,"AAAAAHS/+6Q=")</f>
        <v>#VALUE!</v>
      </c>
      <c r="FJ62" t="e">
        <f>AND('5to. Perito_B'!J3,"AAAAAHS/+6U=")</f>
        <v>#VALUE!</v>
      </c>
      <c r="FK62" t="e">
        <f>AND('5to. Perito_B'!K3,"AAAAAHS/+6Y=")</f>
        <v>#VALUE!</v>
      </c>
      <c r="FL62" t="e">
        <f>AND('5to. Perito_B'!L3,"AAAAAHS/+6c=")</f>
        <v>#VALUE!</v>
      </c>
      <c r="FM62" t="e">
        <f>AND('5to. Perito_B'!M3,"AAAAAHS/+6g=")</f>
        <v>#VALUE!</v>
      </c>
      <c r="FN62" t="e">
        <f>AND('5to. Perito_B'!N3,"AAAAAHS/+6k=")</f>
        <v>#VALUE!</v>
      </c>
      <c r="FO62" t="e">
        <f>AND('5to. Perito_B'!O3,"AAAAAHS/+6o=")</f>
        <v>#VALUE!</v>
      </c>
      <c r="FP62" t="e">
        <f>AND('5to. Perito_B'!P3,"AAAAAHS/+6s=")</f>
        <v>#VALUE!</v>
      </c>
      <c r="FQ62" t="e">
        <f>AND('5to. Perito_B'!Q3,"AAAAAHS/+6w=")</f>
        <v>#VALUE!</v>
      </c>
      <c r="FR62" t="e">
        <f>AND('5to. Perito_B'!R3,"AAAAAHS/+60=")</f>
        <v>#VALUE!</v>
      </c>
      <c r="FS62" t="e">
        <f>AND('5to. Perito_B'!S3,"AAAAAHS/+64=")</f>
        <v>#VALUE!</v>
      </c>
      <c r="FT62" t="e">
        <f>AND('5to. Perito_B'!T3,"AAAAAHS/+68=")</f>
        <v>#VALUE!</v>
      </c>
      <c r="FU62" t="e">
        <f>AND('5to. Perito_B'!#REF!,"AAAAAHS/+7A=")</f>
        <v>#REF!</v>
      </c>
      <c r="FV62" t="e">
        <f>AND('5to. Perito_B'!#REF!,"AAAAAHS/+7E=")</f>
        <v>#REF!</v>
      </c>
      <c r="FW62" t="e">
        <f>AND('5to. Perito_B'!#REF!,"AAAAAHS/+7I=")</f>
        <v>#REF!</v>
      </c>
      <c r="FX62" t="e">
        <f>AND('5to. Perito_B'!#REF!,"AAAAAHS/+7M=")</f>
        <v>#REF!</v>
      </c>
      <c r="FY62" t="e">
        <f>AND('5to. Perito_B'!#REF!,"AAAAAHS/+7Q=")</f>
        <v>#REF!</v>
      </c>
      <c r="FZ62">
        <f>IF('5to. Perito_B'!4:4,"AAAAAHS/+7U=",0)</f>
        <v>0</v>
      </c>
      <c r="GA62" t="e">
        <f>AND('5to. Perito_B'!A4,"AAAAAHS/+7Y=")</f>
        <v>#VALUE!</v>
      </c>
      <c r="GB62" t="e">
        <f>AND('5to. Perito_B'!B4,"AAAAAHS/+7c=")</f>
        <v>#VALUE!</v>
      </c>
      <c r="GC62" t="e">
        <f>AND('5to. Perito_B'!C4,"AAAAAHS/+7g=")</f>
        <v>#VALUE!</v>
      </c>
      <c r="GD62" t="e">
        <f>AND('5to. Perito_B'!D4,"AAAAAHS/+7k=")</f>
        <v>#VALUE!</v>
      </c>
      <c r="GE62" t="e">
        <f>AND('5to. Perito_B'!E4,"AAAAAHS/+7o=")</f>
        <v>#VALUE!</v>
      </c>
      <c r="GF62" t="e">
        <f>AND('5to. Perito_B'!F4,"AAAAAHS/+7s=")</f>
        <v>#VALUE!</v>
      </c>
      <c r="GG62" t="e">
        <f>AND('5to. Perito_B'!G4,"AAAAAHS/+7w=")</f>
        <v>#VALUE!</v>
      </c>
      <c r="GH62" t="e">
        <f>AND('5to. Perito_B'!H4,"AAAAAHS/+70=")</f>
        <v>#VALUE!</v>
      </c>
      <c r="GI62" t="e">
        <f>AND('5to. Perito_B'!I4,"AAAAAHS/+74=")</f>
        <v>#VALUE!</v>
      </c>
      <c r="GJ62" t="e">
        <f>AND('5to. Perito_B'!J4,"AAAAAHS/+78=")</f>
        <v>#VALUE!</v>
      </c>
      <c r="GK62" t="e">
        <f>AND('5to. Perito_B'!K4,"AAAAAHS/+8A=")</f>
        <v>#VALUE!</v>
      </c>
      <c r="GL62" t="e">
        <f>AND('5to. Perito_B'!L4,"AAAAAHS/+8E=")</f>
        <v>#VALUE!</v>
      </c>
      <c r="GM62" t="e">
        <f>AND('5to. Perito_B'!M4,"AAAAAHS/+8I=")</f>
        <v>#VALUE!</v>
      </c>
      <c r="GN62" t="e">
        <f>AND('5to. Perito_B'!N4,"AAAAAHS/+8M=")</f>
        <v>#VALUE!</v>
      </c>
      <c r="GO62" t="e">
        <f>AND('5to. Perito_B'!O4,"AAAAAHS/+8Q=")</f>
        <v>#VALUE!</v>
      </c>
      <c r="GP62" t="e">
        <f>AND('5to. Perito_B'!P4,"AAAAAHS/+8U=")</f>
        <v>#VALUE!</v>
      </c>
      <c r="GQ62" t="e">
        <f>AND('5to. Perito_B'!Q4,"AAAAAHS/+8Y=")</f>
        <v>#VALUE!</v>
      </c>
      <c r="GR62" t="e">
        <f>AND('5to. Perito_B'!R4,"AAAAAHS/+8c=")</f>
        <v>#VALUE!</v>
      </c>
      <c r="GS62" t="e">
        <f>AND('5to. Perito_B'!S4,"AAAAAHS/+8g=")</f>
        <v>#VALUE!</v>
      </c>
      <c r="GT62" t="e">
        <f>AND('5to. Perito_B'!T4,"AAAAAHS/+8k=")</f>
        <v>#VALUE!</v>
      </c>
      <c r="GU62" t="e">
        <f>AND('5to. Perito_B'!#REF!,"AAAAAHS/+8o=")</f>
        <v>#REF!</v>
      </c>
      <c r="GV62" t="e">
        <f>AND('5to. Perito_B'!#REF!,"AAAAAHS/+8s=")</f>
        <v>#REF!</v>
      </c>
      <c r="GW62" t="e">
        <f>AND('5to. Perito_B'!#REF!,"AAAAAHS/+8w=")</f>
        <v>#REF!</v>
      </c>
      <c r="GX62" t="e">
        <f>AND('5to. Perito_B'!#REF!,"AAAAAHS/+80=")</f>
        <v>#REF!</v>
      </c>
      <c r="GY62" t="e">
        <f>AND('5to. Perito_B'!#REF!,"AAAAAHS/+84=")</f>
        <v>#REF!</v>
      </c>
      <c r="GZ62">
        <f>IF('5to. Perito_B'!5:5,"AAAAAHS/+88=",0)</f>
        <v>0</v>
      </c>
      <c r="HA62" t="e">
        <f>AND('5to. Perito_B'!A5,"AAAAAHS/+9A=")</f>
        <v>#VALUE!</v>
      </c>
      <c r="HB62" t="e">
        <f>AND('5to. Perito_B'!B5,"AAAAAHS/+9E=")</f>
        <v>#VALUE!</v>
      </c>
      <c r="HC62" t="e">
        <f>AND('5to. Perito_B'!C5,"AAAAAHS/+9I=")</f>
        <v>#VALUE!</v>
      </c>
      <c r="HD62" t="e">
        <f>AND('5to. Perito_B'!D5,"AAAAAHS/+9M=")</f>
        <v>#VALUE!</v>
      </c>
      <c r="HE62" t="e">
        <f>AND('5to. Perito_B'!E5,"AAAAAHS/+9Q=")</f>
        <v>#VALUE!</v>
      </c>
      <c r="HF62" t="e">
        <f>AND('5to. Perito_B'!F5,"AAAAAHS/+9U=")</f>
        <v>#VALUE!</v>
      </c>
      <c r="HG62" t="e">
        <f>AND('5to. Perito_B'!G5,"AAAAAHS/+9Y=")</f>
        <v>#VALUE!</v>
      </c>
      <c r="HH62" t="e">
        <f>AND('5to. Perito_B'!H5,"AAAAAHS/+9c=")</f>
        <v>#VALUE!</v>
      </c>
      <c r="HI62" t="e">
        <f>AND('5to. Perito_B'!I5,"AAAAAHS/+9g=")</f>
        <v>#VALUE!</v>
      </c>
      <c r="HJ62" t="e">
        <f>AND('5to. Perito_B'!J5,"AAAAAHS/+9k=")</f>
        <v>#VALUE!</v>
      </c>
      <c r="HK62" t="e">
        <f>AND('5to. Perito_B'!K5,"AAAAAHS/+9o=")</f>
        <v>#VALUE!</v>
      </c>
      <c r="HL62" t="e">
        <f>AND('5to. Perito_B'!L5,"AAAAAHS/+9s=")</f>
        <v>#VALUE!</v>
      </c>
      <c r="HM62" t="e">
        <f>AND('5to. Perito_B'!M5,"AAAAAHS/+9w=")</f>
        <v>#VALUE!</v>
      </c>
      <c r="HN62" t="e">
        <f>AND('5to. Perito_B'!N5,"AAAAAHS/+90=")</f>
        <v>#VALUE!</v>
      </c>
      <c r="HO62" t="e">
        <f>AND('5to. Perito_B'!O5,"AAAAAHS/+94=")</f>
        <v>#VALUE!</v>
      </c>
      <c r="HP62" t="e">
        <f>AND('5to. Perito_B'!P5,"AAAAAHS/+98=")</f>
        <v>#VALUE!</v>
      </c>
      <c r="HQ62" t="e">
        <f>AND('5to. Perito_B'!Q5,"AAAAAHS/++A=")</f>
        <v>#VALUE!</v>
      </c>
      <c r="HR62" t="e">
        <f>AND('5to. Perito_B'!R5,"AAAAAHS/++E=")</f>
        <v>#VALUE!</v>
      </c>
      <c r="HS62" t="e">
        <f>AND('5to. Perito_B'!S5,"AAAAAHS/++I=")</f>
        <v>#VALUE!</v>
      </c>
      <c r="HT62" t="e">
        <f>AND('5to. Perito_B'!T5,"AAAAAHS/++M=")</f>
        <v>#VALUE!</v>
      </c>
      <c r="HU62" t="e">
        <f>AND('5to. Perito_B'!#REF!,"AAAAAHS/++Q=")</f>
        <v>#REF!</v>
      </c>
      <c r="HV62" t="e">
        <f>AND('5to. Perito_B'!#REF!,"AAAAAHS/++U=")</f>
        <v>#REF!</v>
      </c>
      <c r="HW62" t="e">
        <f>AND('5to. Perito_B'!#REF!,"AAAAAHS/++Y=")</f>
        <v>#REF!</v>
      </c>
      <c r="HX62" t="e">
        <f>AND('5to. Perito_B'!#REF!,"AAAAAHS/++c=")</f>
        <v>#REF!</v>
      </c>
      <c r="HY62" t="e">
        <f>AND('5to. Perito_B'!#REF!,"AAAAAHS/++g=")</f>
        <v>#REF!</v>
      </c>
      <c r="HZ62">
        <f>IF('5to. Perito_B'!6:6,"AAAAAHS/++k=",0)</f>
        <v>0</v>
      </c>
      <c r="IA62" t="e">
        <f>AND('5to. Perito_B'!A6,"AAAAAHS/++o=")</f>
        <v>#VALUE!</v>
      </c>
      <c r="IB62" t="e">
        <f>AND('5to. Perito_B'!B6,"AAAAAHS/++s=")</f>
        <v>#VALUE!</v>
      </c>
      <c r="IC62" t="e">
        <f>AND('5to. Perito_B'!C6,"AAAAAHS/++w=")</f>
        <v>#VALUE!</v>
      </c>
      <c r="ID62" t="e">
        <f>AND('5to. Perito_B'!D6,"AAAAAHS/++0=")</f>
        <v>#VALUE!</v>
      </c>
      <c r="IE62" t="e">
        <f>AND('5to. Perito_B'!E6,"AAAAAHS/++4=")</f>
        <v>#VALUE!</v>
      </c>
      <c r="IF62" t="e">
        <f>AND('5to. Perito_B'!F6,"AAAAAHS/++8=")</f>
        <v>#VALUE!</v>
      </c>
      <c r="IG62" t="e">
        <f>AND('5to. Perito_B'!G6,"AAAAAHS/+/A=")</f>
        <v>#VALUE!</v>
      </c>
      <c r="IH62" t="e">
        <f>AND('5to. Perito_B'!H6,"AAAAAHS/+/E=")</f>
        <v>#VALUE!</v>
      </c>
      <c r="II62" t="e">
        <f>AND('5to. Perito_B'!I6,"AAAAAHS/+/I=")</f>
        <v>#VALUE!</v>
      </c>
      <c r="IJ62" t="e">
        <f>AND('5to. Perito_B'!J6,"AAAAAHS/+/M=")</f>
        <v>#VALUE!</v>
      </c>
      <c r="IK62" t="e">
        <f>AND('5to. Perito_B'!K6,"AAAAAHS/+/Q=")</f>
        <v>#VALUE!</v>
      </c>
      <c r="IL62" t="e">
        <f>AND('5to. Perito_B'!L6,"AAAAAHS/+/U=")</f>
        <v>#VALUE!</v>
      </c>
      <c r="IM62" t="e">
        <f>AND('5to. Perito_B'!M6,"AAAAAHS/+/Y=")</f>
        <v>#VALUE!</v>
      </c>
      <c r="IN62" t="e">
        <f>AND('5to. Perito_B'!N6,"AAAAAHS/+/c=")</f>
        <v>#VALUE!</v>
      </c>
      <c r="IO62" t="e">
        <f>AND('5to. Perito_B'!O6,"AAAAAHS/+/g=")</f>
        <v>#VALUE!</v>
      </c>
      <c r="IP62" t="e">
        <f>AND('5to. Perito_B'!P6,"AAAAAHS/+/k=")</f>
        <v>#VALUE!</v>
      </c>
      <c r="IQ62" t="e">
        <f>AND('5to. Perito_B'!Q6,"AAAAAHS/+/o=")</f>
        <v>#VALUE!</v>
      </c>
      <c r="IR62" t="e">
        <f>AND('5to. Perito_B'!R6,"AAAAAHS/+/s=")</f>
        <v>#VALUE!</v>
      </c>
      <c r="IS62" t="e">
        <f>AND('5to. Perito_B'!S6,"AAAAAHS/+/w=")</f>
        <v>#VALUE!</v>
      </c>
      <c r="IT62" t="e">
        <f>AND('5to. Perito_B'!T6,"AAAAAHS/+/0=")</f>
        <v>#VALUE!</v>
      </c>
      <c r="IU62" t="e">
        <f>AND('5to. Perito_B'!#REF!,"AAAAAHS/+/4=")</f>
        <v>#REF!</v>
      </c>
      <c r="IV62" t="e">
        <f>AND('5to. Perito_B'!#REF!,"AAAAAHS/+/8=")</f>
        <v>#REF!</v>
      </c>
    </row>
    <row r="63" spans="1:256">
      <c r="A63" t="e">
        <f>AND('5to. Perito_B'!#REF!,"AAAAAG337wA=")</f>
        <v>#REF!</v>
      </c>
      <c r="B63" t="e">
        <f>AND('5to. Perito_B'!#REF!,"AAAAAG337wE=")</f>
        <v>#REF!</v>
      </c>
      <c r="C63" t="e">
        <f>AND('5to. Perito_B'!#REF!,"AAAAAG337wI=")</f>
        <v>#REF!</v>
      </c>
      <c r="D63">
        <f>IF('5to. Perito_B'!7:7,"AAAAAG337wM=",0)</f>
        <v>0</v>
      </c>
      <c r="E63" t="e">
        <f>AND('5to. Perito_B'!A7,"AAAAAG337wQ=")</f>
        <v>#VALUE!</v>
      </c>
      <c r="F63" t="e">
        <f>AND('5to. Perito_B'!B7,"AAAAAG337wU=")</f>
        <v>#VALUE!</v>
      </c>
      <c r="G63" t="e">
        <f>AND('5to. Perito_B'!C7,"AAAAAG337wY=")</f>
        <v>#VALUE!</v>
      </c>
      <c r="H63" t="e">
        <f>AND('5to. Perito_B'!D7,"AAAAAG337wc=")</f>
        <v>#VALUE!</v>
      </c>
      <c r="I63" t="e">
        <f>AND('5to. Perito_B'!E7,"AAAAAG337wg=")</f>
        <v>#VALUE!</v>
      </c>
      <c r="J63" t="e">
        <f>AND('5to. Perito_B'!F7,"AAAAAG337wk=")</f>
        <v>#VALUE!</v>
      </c>
      <c r="K63" t="e">
        <f>AND('5to. Perito_B'!G7,"AAAAAG337wo=")</f>
        <v>#VALUE!</v>
      </c>
      <c r="L63" t="e">
        <f>AND('5to. Perito_B'!H7,"AAAAAG337ws=")</f>
        <v>#VALUE!</v>
      </c>
      <c r="M63" t="e">
        <f>AND('5to. Perito_B'!I7,"AAAAAG337ww=")</f>
        <v>#VALUE!</v>
      </c>
      <c r="N63" t="e">
        <f>AND('5to. Perito_B'!J7,"AAAAAG337w0=")</f>
        <v>#VALUE!</v>
      </c>
      <c r="O63" t="e">
        <f>AND('5to. Perito_B'!K7,"AAAAAG337w4=")</f>
        <v>#VALUE!</v>
      </c>
      <c r="P63" t="e">
        <f>AND('5to. Perito_B'!L7,"AAAAAG337w8=")</f>
        <v>#VALUE!</v>
      </c>
      <c r="Q63" t="e">
        <f>AND('5to. Perito_B'!M7,"AAAAAG337xA=")</f>
        <v>#VALUE!</v>
      </c>
      <c r="R63" t="e">
        <f>AND('5to. Perito_B'!N7,"AAAAAG337xE=")</f>
        <v>#VALUE!</v>
      </c>
      <c r="S63" t="e">
        <f>AND('5to. Perito_B'!O7,"AAAAAG337xI=")</f>
        <v>#VALUE!</v>
      </c>
      <c r="T63" t="e">
        <f>AND('5to. Perito_B'!P7,"AAAAAG337xM=")</f>
        <v>#VALUE!</v>
      </c>
      <c r="U63" t="e">
        <f>AND('5to. Perito_B'!Q7,"AAAAAG337xQ=")</f>
        <v>#VALUE!</v>
      </c>
      <c r="V63" t="e">
        <f>AND('5to. Perito_B'!R7,"AAAAAG337xU=")</f>
        <v>#VALUE!</v>
      </c>
      <c r="W63" t="e">
        <f>AND('5to. Perito_B'!S7,"AAAAAG337xY=")</f>
        <v>#VALUE!</v>
      </c>
      <c r="X63" t="e">
        <f>AND('5to. Perito_B'!T7,"AAAAAG337xc=")</f>
        <v>#VALUE!</v>
      </c>
      <c r="Y63" t="e">
        <f>AND('5to. Perito_B'!#REF!,"AAAAAG337xg=")</f>
        <v>#REF!</v>
      </c>
      <c r="Z63" t="e">
        <f>AND('5to. Perito_B'!#REF!,"AAAAAG337xk=")</f>
        <v>#REF!</v>
      </c>
      <c r="AA63" t="e">
        <f>AND('5to. Perito_B'!#REF!,"AAAAAG337xo=")</f>
        <v>#REF!</v>
      </c>
      <c r="AB63" t="e">
        <f>AND('5to. Perito_B'!#REF!,"AAAAAG337xs=")</f>
        <v>#REF!</v>
      </c>
      <c r="AC63" t="e">
        <f>AND('5to. Perito_B'!#REF!,"AAAAAG337xw=")</f>
        <v>#REF!</v>
      </c>
      <c r="AD63">
        <f>IF('5to. Perito_B'!8:8,"AAAAAG337x0=",0)</f>
        <v>0</v>
      </c>
      <c r="AE63" t="e">
        <f>AND('5to. Perito_B'!A8,"AAAAAG337x4=")</f>
        <v>#VALUE!</v>
      </c>
      <c r="AF63" t="e">
        <f>AND('5to. Perito_B'!B8,"AAAAAG337x8=")</f>
        <v>#VALUE!</v>
      </c>
      <c r="AG63" t="e">
        <f>AND('5to. Perito_B'!C8,"AAAAAG337yA=")</f>
        <v>#VALUE!</v>
      </c>
      <c r="AH63" t="e">
        <f>AND('5to. Perito_B'!D8,"AAAAAG337yE=")</f>
        <v>#VALUE!</v>
      </c>
      <c r="AI63" t="e">
        <f>AND('5to. Perito_B'!E8,"AAAAAG337yI=")</f>
        <v>#VALUE!</v>
      </c>
      <c r="AJ63" t="e">
        <f>AND('5to. Perito_B'!F8,"AAAAAG337yM=")</f>
        <v>#VALUE!</v>
      </c>
      <c r="AK63" t="e">
        <f>AND('5to. Perito_B'!G8,"AAAAAG337yQ=")</f>
        <v>#VALUE!</v>
      </c>
      <c r="AL63" t="e">
        <f>AND('5to. Perito_B'!H8,"AAAAAG337yU=")</f>
        <v>#VALUE!</v>
      </c>
      <c r="AM63" t="e">
        <f>AND('5to. Perito_B'!I8,"AAAAAG337yY=")</f>
        <v>#VALUE!</v>
      </c>
      <c r="AN63" t="e">
        <f>AND('5to. Perito_B'!J8,"AAAAAG337yc=")</f>
        <v>#VALUE!</v>
      </c>
      <c r="AO63" t="e">
        <f>AND('5to. Perito_B'!K8,"AAAAAG337yg=")</f>
        <v>#VALUE!</v>
      </c>
      <c r="AP63" t="e">
        <f>AND('5to. Perito_B'!L8,"AAAAAG337yk=")</f>
        <v>#VALUE!</v>
      </c>
      <c r="AQ63" t="e">
        <f>AND('5to. Perito_B'!M8,"AAAAAG337yo=")</f>
        <v>#VALUE!</v>
      </c>
      <c r="AR63" t="e">
        <f>AND('5to. Perito_B'!N8,"AAAAAG337ys=")</f>
        <v>#VALUE!</v>
      </c>
      <c r="AS63" t="e">
        <f>AND('5to. Perito_B'!O8,"AAAAAG337yw=")</f>
        <v>#VALUE!</v>
      </c>
      <c r="AT63" t="e">
        <f>AND('5to. Perito_B'!P8,"AAAAAG337y0=")</f>
        <v>#VALUE!</v>
      </c>
      <c r="AU63" t="e">
        <f>AND('5to. Perito_B'!Q8,"AAAAAG337y4=")</f>
        <v>#VALUE!</v>
      </c>
      <c r="AV63" t="e">
        <f>AND('5to. Perito_B'!R8,"AAAAAG337y8=")</f>
        <v>#VALUE!</v>
      </c>
      <c r="AW63" t="e">
        <f>AND('5to. Perito_B'!S8,"AAAAAG337zA=")</f>
        <v>#VALUE!</v>
      </c>
      <c r="AX63" t="e">
        <f>AND('5to. Perito_B'!T8,"AAAAAG337zE=")</f>
        <v>#VALUE!</v>
      </c>
      <c r="AY63" t="e">
        <f>AND('5to. Perito_B'!#REF!,"AAAAAG337zI=")</f>
        <v>#REF!</v>
      </c>
      <c r="AZ63" t="e">
        <f>AND('5to. Perito_B'!#REF!,"AAAAAG337zM=")</f>
        <v>#REF!</v>
      </c>
      <c r="BA63" t="e">
        <f>AND('5to. Perito_B'!#REF!,"AAAAAG337zQ=")</f>
        <v>#REF!</v>
      </c>
      <c r="BB63" t="e">
        <f>AND('5to. Perito_B'!#REF!,"AAAAAG337zU=")</f>
        <v>#REF!</v>
      </c>
      <c r="BC63" t="e">
        <f>AND('5to. Perito_B'!#REF!,"AAAAAG337zY=")</f>
        <v>#REF!</v>
      </c>
      <c r="BD63">
        <f>IF('5to. Perito_B'!9:9,"AAAAAG337zc=",0)</f>
        <v>0</v>
      </c>
      <c r="BE63" t="e">
        <f>AND('5to. Perito_B'!A9,"AAAAAG337zg=")</f>
        <v>#VALUE!</v>
      </c>
      <c r="BF63" t="e">
        <f>AND('5to. Perito_B'!B9,"AAAAAG337zk=")</f>
        <v>#VALUE!</v>
      </c>
      <c r="BG63" t="e">
        <f>AND('5to. Perito_B'!C9,"AAAAAG337zo=")</f>
        <v>#VALUE!</v>
      </c>
      <c r="BH63" t="e">
        <f>AND('5to. Perito_B'!D9,"AAAAAG337zs=")</f>
        <v>#VALUE!</v>
      </c>
      <c r="BI63" t="e">
        <f>AND('5to. Perito_B'!E9,"AAAAAG337zw=")</f>
        <v>#VALUE!</v>
      </c>
      <c r="BJ63" t="e">
        <f>AND('5to. Perito_B'!F9,"AAAAAG337z0=")</f>
        <v>#VALUE!</v>
      </c>
      <c r="BK63" t="e">
        <f>AND('5to. Perito_B'!G9,"AAAAAG337z4=")</f>
        <v>#VALUE!</v>
      </c>
      <c r="BL63" t="e">
        <f>AND('5to. Perito_B'!H9,"AAAAAG337z8=")</f>
        <v>#VALUE!</v>
      </c>
      <c r="BM63" t="e">
        <f>AND('5to. Perito_B'!I9,"AAAAAG3370A=")</f>
        <v>#VALUE!</v>
      </c>
      <c r="BN63" t="e">
        <f>AND('5to. Perito_B'!J9,"AAAAAG3370E=")</f>
        <v>#VALUE!</v>
      </c>
      <c r="BO63" t="e">
        <f>AND('5to. Perito_B'!K9,"AAAAAG3370I=")</f>
        <v>#VALUE!</v>
      </c>
      <c r="BP63" t="e">
        <f>AND('5to. Perito_B'!L9,"AAAAAG3370M=")</f>
        <v>#VALUE!</v>
      </c>
      <c r="BQ63" t="e">
        <f>AND('5to. Perito_B'!M9,"AAAAAG3370Q=")</f>
        <v>#VALUE!</v>
      </c>
      <c r="BR63" t="e">
        <f>AND('5to. Perito_B'!N9,"AAAAAG3370U=")</f>
        <v>#VALUE!</v>
      </c>
      <c r="BS63" t="e">
        <f>AND('5to. Perito_B'!O9,"AAAAAG3370Y=")</f>
        <v>#VALUE!</v>
      </c>
      <c r="BT63" t="e">
        <f>AND('5to. Perito_B'!P9,"AAAAAG3370c=")</f>
        <v>#VALUE!</v>
      </c>
      <c r="BU63" t="e">
        <f>AND('5to. Perito_B'!Q9,"AAAAAG3370g=")</f>
        <v>#VALUE!</v>
      </c>
      <c r="BV63" t="e">
        <f>AND('5to. Perito_B'!R9,"AAAAAG3370k=")</f>
        <v>#VALUE!</v>
      </c>
      <c r="BW63" t="e">
        <f>AND('5to. Perito_B'!S9,"AAAAAG3370o=")</f>
        <v>#VALUE!</v>
      </c>
      <c r="BX63" t="e">
        <f>AND('5to. Perito_B'!T9,"AAAAAG3370s=")</f>
        <v>#VALUE!</v>
      </c>
      <c r="BY63" t="e">
        <f>AND('5to. Perito_B'!#REF!,"AAAAAG3370w=")</f>
        <v>#REF!</v>
      </c>
      <c r="BZ63" t="e">
        <f>AND('5to. Perito_B'!#REF!,"AAAAAG33700=")</f>
        <v>#REF!</v>
      </c>
      <c r="CA63" t="e">
        <f>AND('5to. Perito_B'!#REF!,"AAAAAG33704=")</f>
        <v>#REF!</v>
      </c>
      <c r="CB63" t="e">
        <f>AND('5to. Perito_B'!#REF!,"AAAAAG33708=")</f>
        <v>#REF!</v>
      </c>
      <c r="CC63" t="e">
        <f>AND('5to. Perito_B'!#REF!,"AAAAAG3371A=")</f>
        <v>#REF!</v>
      </c>
      <c r="CD63">
        <f>IF('5to. Perito_B'!10:10,"AAAAAG3371E=",0)</f>
        <v>0</v>
      </c>
      <c r="CE63" t="e">
        <f>AND('5to. Perito_B'!A10,"AAAAAG3371I=")</f>
        <v>#VALUE!</v>
      </c>
      <c r="CF63" t="e">
        <f>AND('5to. Perito_B'!B10,"AAAAAG3371M=")</f>
        <v>#VALUE!</v>
      </c>
      <c r="CG63" t="e">
        <f>AND('5to. Perito_B'!C10,"AAAAAG3371Q=")</f>
        <v>#VALUE!</v>
      </c>
      <c r="CH63" t="e">
        <f>AND('5to. Perito_B'!D10,"AAAAAG3371U=")</f>
        <v>#VALUE!</v>
      </c>
      <c r="CI63" t="e">
        <f>AND('5to. Perito_B'!E10,"AAAAAG3371Y=")</f>
        <v>#VALUE!</v>
      </c>
      <c r="CJ63" t="e">
        <f>AND('5to. Perito_B'!F10,"AAAAAG3371c=")</f>
        <v>#VALUE!</v>
      </c>
      <c r="CK63" t="e">
        <f>AND('5to. Perito_B'!G10,"AAAAAG3371g=")</f>
        <v>#VALUE!</v>
      </c>
      <c r="CL63" t="e">
        <f>AND('5to. Perito_B'!H10,"AAAAAG3371k=")</f>
        <v>#VALUE!</v>
      </c>
      <c r="CM63" t="e">
        <f>AND('5to. Perito_B'!I10,"AAAAAG3371o=")</f>
        <v>#VALUE!</v>
      </c>
      <c r="CN63" t="e">
        <f>AND('5to. Perito_B'!J10,"AAAAAG3371s=")</f>
        <v>#VALUE!</v>
      </c>
      <c r="CO63" t="e">
        <f>AND('5to. Perito_B'!K10,"AAAAAG3371w=")</f>
        <v>#VALUE!</v>
      </c>
      <c r="CP63" t="e">
        <f>AND('5to. Perito_B'!L10,"AAAAAG33710=")</f>
        <v>#VALUE!</v>
      </c>
      <c r="CQ63" t="e">
        <f>AND('5to. Perito_B'!M10,"AAAAAG33714=")</f>
        <v>#VALUE!</v>
      </c>
      <c r="CR63" t="e">
        <f>AND('5to. Perito_B'!N10,"AAAAAG33718=")</f>
        <v>#VALUE!</v>
      </c>
      <c r="CS63" t="e">
        <f>AND('5to. Perito_B'!O10,"AAAAAG3372A=")</f>
        <v>#VALUE!</v>
      </c>
      <c r="CT63" t="e">
        <f>AND('5to. Perito_B'!P10,"AAAAAG3372E=")</f>
        <v>#VALUE!</v>
      </c>
      <c r="CU63" t="e">
        <f>AND('5to. Perito_B'!Q10,"AAAAAG3372I=")</f>
        <v>#VALUE!</v>
      </c>
      <c r="CV63" t="e">
        <f>AND('5to. Perito_B'!R10,"AAAAAG3372M=")</f>
        <v>#VALUE!</v>
      </c>
      <c r="CW63" t="e">
        <f>AND('5to. Perito_B'!S10,"AAAAAG3372Q=")</f>
        <v>#VALUE!</v>
      </c>
      <c r="CX63" t="e">
        <f>AND('5to. Perito_B'!T10,"AAAAAG3372U=")</f>
        <v>#VALUE!</v>
      </c>
      <c r="CY63" t="e">
        <f>AND('5to. Perito_B'!#REF!,"AAAAAG3372Y=")</f>
        <v>#REF!</v>
      </c>
      <c r="CZ63" t="e">
        <f>AND('5to. Perito_B'!#REF!,"AAAAAG3372c=")</f>
        <v>#REF!</v>
      </c>
      <c r="DA63" t="e">
        <f>AND('5to. Perito_B'!#REF!,"AAAAAG3372g=")</f>
        <v>#REF!</v>
      </c>
      <c r="DB63" t="e">
        <f>AND('5to. Perito_B'!#REF!,"AAAAAG3372k=")</f>
        <v>#REF!</v>
      </c>
      <c r="DC63" t="e">
        <f>AND('5to. Perito_B'!#REF!,"AAAAAG3372o=")</f>
        <v>#REF!</v>
      </c>
      <c r="DD63">
        <f>IF('5to. Perito_B'!11:11,"AAAAAG3372s=",0)</f>
        <v>0</v>
      </c>
      <c r="DE63" t="e">
        <f>AND('5to. Perito_B'!A11,"AAAAAG3372w=")</f>
        <v>#VALUE!</v>
      </c>
      <c r="DF63" t="e">
        <f>AND('5to. Perito_B'!B11,"AAAAAG33720=")</f>
        <v>#VALUE!</v>
      </c>
      <c r="DG63" t="e">
        <f>AND('5to. Perito_B'!C11,"AAAAAG33724=")</f>
        <v>#VALUE!</v>
      </c>
      <c r="DH63" t="e">
        <f>AND('5to. Perito_B'!D11,"AAAAAG33728=")</f>
        <v>#VALUE!</v>
      </c>
      <c r="DI63" t="e">
        <f>AND('5to. Perito_B'!E11,"AAAAAG3373A=")</f>
        <v>#VALUE!</v>
      </c>
      <c r="DJ63" t="e">
        <f>AND('5to. Perito_B'!F11,"AAAAAG3373E=")</f>
        <v>#VALUE!</v>
      </c>
      <c r="DK63" t="e">
        <f>AND('5to. Perito_B'!G11,"AAAAAG3373I=")</f>
        <v>#VALUE!</v>
      </c>
      <c r="DL63" t="e">
        <f>AND('5to. Perito_B'!H11,"AAAAAG3373M=")</f>
        <v>#VALUE!</v>
      </c>
      <c r="DM63" t="e">
        <f>AND('5to. Perito_B'!I11,"AAAAAG3373Q=")</f>
        <v>#VALUE!</v>
      </c>
      <c r="DN63" t="e">
        <f>AND('5to. Perito_B'!J11,"AAAAAG3373U=")</f>
        <v>#VALUE!</v>
      </c>
      <c r="DO63" t="e">
        <f>AND('5to. Perito_B'!K11,"AAAAAG3373Y=")</f>
        <v>#VALUE!</v>
      </c>
      <c r="DP63" t="e">
        <f>AND('5to. Perito_B'!L11,"AAAAAG3373c=")</f>
        <v>#VALUE!</v>
      </c>
      <c r="DQ63" t="e">
        <f>AND('5to. Perito_B'!M11,"AAAAAG3373g=")</f>
        <v>#VALUE!</v>
      </c>
      <c r="DR63" t="e">
        <f>AND('5to. Perito_B'!N11,"AAAAAG3373k=")</f>
        <v>#VALUE!</v>
      </c>
      <c r="DS63" t="e">
        <f>AND('5to. Perito_B'!O11,"AAAAAG3373o=")</f>
        <v>#VALUE!</v>
      </c>
      <c r="DT63" t="e">
        <f>AND('5to. Perito_B'!P11,"AAAAAG3373s=")</f>
        <v>#VALUE!</v>
      </c>
      <c r="DU63" t="e">
        <f>AND('5to. Perito_B'!Q11,"AAAAAG3373w=")</f>
        <v>#VALUE!</v>
      </c>
      <c r="DV63" t="e">
        <f>AND('5to. Perito_B'!R11,"AAAAAG33730=")</f>
        <v>#VALUE!</v>
      </c>
      <c r="DW63" t="e">
        <f>AND('5to. Perito_B'!S11,"AAAAAG33734=")</f>
        <v>#VALUE!</v>
      </c>
      <c r="DX63" t="e">
        <f>AND('5to. Perito_B'!T11,"AAAAAG33738=")</f>
        <v>#VALUE!</v>
      </c>
      <c r="DY63" t="e">
        <f>AND('5to. Perito_B'!#REF!,"AAAAAG3374A=")</f>
        <v>#REF!</v>
      </c>
      <c r="DZ63" t="e">
        <f>AND('5to. Perito_B'!#REF!,"AAAAAG3374E=")</f>
        <v>#REF!</v>
      </c>
      <c r="EA63" t="e">
        <f>AND('5to. Perito_B'!#REF!,"AAAAAG3374I=")</f>
        <v>#REF!</v>
      </c>
      <c r="EB63" t="e">
        <f>AND('5to. Perito_B'!#REF!,"AAAAAG3374M=")</f>
        <v>#REF!</v>
      </c>
      <c r="EC63" t="e">
        <f>AND('5to. Perito_B'!#REF!,"AAAAAG3374Q=")</f>
        <v>#REF!</v>
      </c>
      <c r="ED63">
        <f>IF('5to. Perito_B'!12:12,"AAAAAG3374U=",0)</f>
        <v>0</v>
      </c>
      <c r="EE63" t="e">
        <f>AND('5to. Perito_B'!A12,"AAAAAG3374Y=")</f>
        <v>#VALUE!</v>
      </c>
      <c r="EF63" t="e">
        <f>AND('5to. Perito_B'!B12,"AAAAAG3374c=")</f>
        <v>#VALUE!</v>
      </c>
      <c r="EG63" t="e">
        <f>AND('5to. Perito_B'!C12,"AAAAAG3374g=")</f>
        <v>#VALUE!</v>
      </c>
      <c r="EH63" t="e">
        <f>AND('5to. Perito_B'!D12,"AAAAAG3374k=")</f>
        <v>#VALUE!</v>
      </c>
      <c r="EI63" t="e">
        <f>AND('5to. Perito_B'!E12,"AAAAAG3374o=")</f>
        <v>#VALUE!</v>
      </c>
      <c r="EJ63" t="e">
        <f>AND('5to. Perito_B'!F12,"AAAAAG3374s=")</f>
        <v>#VALUE!</v>
      </c>
      <c r="EK63" t="e">
        <f>AND('5to. Perito_B'!G12,"AAAAAG3374w=")</f>
        <v>#VALUE!</v>
      </c>
      <c r="EL63" t="e">
        <f>AND('5to. Perito_B'!H12,"AAAAAG33740=")</f>
        <v>#VALUE!</v>
      </c>
      <c r="EM63" t="e">
        <f>AND('5to. Perito_B'!I12,"AAAAAG33744=")</f>
        <v>#VALUE!</v>
      </c>
      <c r="EN63" t="e">
        <f>AND('5to. Perito_B'!J12,"AAAAAG33748=")</f>
        <v>#VALUE!</v>
      </c>
      <c r="EO63" t="e">
        <f>AND('5to. Perito_B'!K12,"AAAAAG3375A=")</f>
        <v>#VALUE!</v>
      </c>
      <c r="EP63" t="e">
        <f>AND('5to. Perito_B'!L12,"AAAAAG3375E=")</f>
        <v>#VALUE!</v>
      </c>
      <c r="EQ63" t="e">
        <f>AND('5to. Perito_B'!M12,"AAAAAG3375I=")</f>
        <v>#VALUE!</v>
      </c>
      <c r="ER63" t="e">
        <f>AND('5to. Perito_B'!N12,"AAAAAG3375M=")</f>
        <v>#VALUE!</v>
      </c>
      <c r="ES63" t="e">
        <f>AND('5to. Perito_B'!O12,"AAAAAG3375Q=")</f>
        <v>#VALUE!</v>
      </c>
      <c r="ET63" t="e">
        <f>AND('5to. Perito_B'!P12,"AAAAAG3375U=")</f>
        <v>#VALUE!</v>
      </c>
      <c r="EU63" t="e">
        <f>AND('5to. Perito_B'!Q12,"AAAAAG3375Y=")</f>
        <v>#VALUE!</v>
      </c>
      <c r="EV63" t="e">
        <f>AND('5to. Perito_B'!R12,"AAAAAG3375c=")</f>
        <v>#VALUE!</v>
      </c>
      <c r="EW63" t="e">
        <f>AND('5to. Perito_B'!S12,"AAAAAG3375g=")</f>
        <v>#VALUE!</v>
      </c>
      <c r="EX63" t="e">
        <f>AND('5to. Perito_B'!T12,"AAAAAG3375k=")</f>
        <v>#VALUE!</v>
      </c>
      <c r="EY63" t="e">
        <f>AND('5to. Perito_B'!#REF!,"AAAAAG3375o=")</f>
        <v>#REF!</v>
      </c>
      <c r="EZ63" t="e">
        <f>AND('5to. Perito_B'!#REF!,"AAAAAG3375s=")</f>
        <v>#REF!</v>
      </c>
      <c r="FA63" t="e">
        <f>AND('5to. Perito_B'!#REF!,"AAAAAG3375w=")</f>
        <v>#REF!</v>
      </c>
      <c r="FB63" t="e">
        <f>AND('5to. Perito_B'!#REF!,"AAAAAG33750=")</f>
        <v>#REF!</v>
      </c>
      <c r="FC63" t="e">
        <f>AND('5to. Perito_B'!#REF!,"AAAAAG33754=")</f>
        <v>#REF!</v>
      </c>
      <c r="FD63">
        <f>IF('5to. Perito_B'!13:13,"AAAAAG33758=",0)</f>
        <v>0</v>
      </c>
      <c r="FE63" t="e">
        <f>AND('5to. Perito_B'!A13,"AAAAAG3376A=")</f>
        <v>#VALUE!</v>
      </c>
      <c r="FF63" t="e">
        <f>AND('5to. Perito_B'!B13,"AAAAAG3376E=")</f>
        <v>#VALUE!</v>
      </c>
      <c r="FG63" t="e">
        <f>AND('5to. Perito_B'!C13,"AAAAAG3376I=")</f>
        <v>#VALUE!</v>
      </c>
      <c r="FH63" t="e">
        <f>AND('5to. Perito_B'!D13,"AAAAAG3376M=")</f>
        <v>#VALUE!</v>
      </c>
      <c r="FI63" t="e">
        <f>AND('5to. Perito_B'!E13,"AAAAAG3376Q=")</f>
        <v>#VALUE!</v>
      </c>
      <c r="FJ63" t="e">
        <f>AND('5to. Perito_B'!F13,"AAAAAG3376U=")</f>
        <v>#VALUE!</v>
      </c>
      <c r="FK63" t="e">
        <f>AND('5to. Perito_B'!G13,"AAAAAG3376Y=")</f>
        <v>#VALUE!</v>
      </c>
      <c r="FL63" t="e">
        <f>AND('5to. Perito_B'!H13,"AAAAAG3376c=")</f>
        <v>#VALUE!</v>
      </c>
      <c r="FM63" t="e">
        <f>AND('5to. Perito_B'!I13,"AAAAAG3376g=")</f>
        <v>#VALUE!</v>
      </c>
      <c r="FN63" t="e">
        <f>AND('5to. Perito_B'!J13,"AAAAAG3376k=")</f>
        <v>#VALUE!</v>
      </c>
      <c r="FO63" t="e">
        <f>AND('5to. Perito_B'!K13,"AAAAAG3376o=")</f>
        <v>#VALUE!</v>
      </c>
      <c r="FP63" t="e">
        <f>AND('5to. Perito_B'!L13,"AAAAAG3376s=")</f>
        <v>#VALUE!</v>
      </c>
      <c r="FQ63" t="e">
        <f>AND('5to. Perito_B'!M13,"AAAAAG3376w=")</f>
        <v>#VALUE!</v>
      </c>
      <c r="FR63" t="e">
        <f>AND('5to. Perito_B'!N13,"AAAAAG33760=")</f>
        <v>#VALUE!</v>
      </c>
      <c r="FS63" t="e">
        <f>AND('5to. Perito_B'!O13,"AAAAAG33764=")</f>
        <v>#VALUE!</v>
      </c>
      <c r="FT63" t="e">
        <f>AND('5to. Perito_B'!P13,"AAAAAG33768=")</f>
        <v>#VALUE!</v>
      </c>
      <c r="FU63" t="e">
        <f>AND('5to. Perito_B'!Q13,"AAAAAG3377A=")</f>
        <v>#VALUE!</v>
      </c>
      <c r="FV63" t="e">
        <f>AND('5to. Perito_B'!R13,"AAAAAG3377E=")</f>
        <v>#VALUE!</v>
      </c>
      <c r="FW63" t="e">
        <f>AND('5to. Perito_B'!S13,"AAAAAG3377I=")</f>
        <v>#VALUE!</v>
      </c>
      <c r="FX63" t="e">
        <f>AND('5to. Perito_B'!T13,"AAAAAG3377M=")</f>
        <v>#VALUE!</v>
      </c>
      <c r="FY63" t="e">
        <f>AND('5to. Perito_B'!#REF!,"AAAAAG3377Q=")</f>
        <v>#REF!</v>
      </c>
      <c r="FZ63" t="e">
        <f>AND('5to. Perito_B'!#REF!,"AAAAAG3377U=")</f>
        <v>#REF!</v>
      </c>
      <c r="GA63" t="e">
        <f>AND('5to. Perito_B'!#REF!,"AAAAAG3377Y=")</f>
        <v>#REF!</v>
      </c>
      <c r="GB63" t="e">
        <f>AND('5to. Perito_B'!#REF!,"AAAAAG3377c=")</f>
        <v>#REF!</v>
      </c>
      <c r="GC63" t="e">
        <f>AND('5to. Perito_B'!#REF!,"AAAAAG3377g=")</f>
        <v>#REF!</v>
      </c>
      <c r="GD63">
        <f>IF('5to. Perito_B'!14:14,"AAAAAG3377k=",0)</f>
        <v>0</v>
      </c>
      <c r="GE63" t="e">
        <f>AND('5to. Perito_B'!A14,"AAAAAG3377o=")</f>
        <v>#VALUE!</v>
      </c>
      <c r="GF63" t="e">
        <f>AND('5to. Perito_B'!B14,"AAAAAG3377s=")</f>
        <v>#VALUE!</v>
      </c>
      <c r="GG63" t="e">
        <f>AND('5to. Perito_B'!C14,"AAAAAG3377w=")</f>
        <v>#VALUE!</v>
      </c>
      <c r="GH63" t="e">
        <f>AND('5to. Perito_B'!D14,"AAAAAG33770=")</f>
        <v>#VALUE!</v>
      </c>
      <c r="GI63" t="e">
        <f>AND('5to. Perito_B'!E14,"AAAAAG33774=")</f>
        <v>#VALUE!</v>
      </c>
      <c r="GJ63" t="e">
        <f>AND('5to. Perito_B'!F14,"AAAAAG33778=")</f>
        <v>#VALUE!</v>
      </c>
      <c r="GK63" t="e">
        <f>AND('5to. Perito_B'!G14,"AAAAAG3378A=")</f>
        <v>#VALUE!</v>
      </c>
      <c r="GL63" t="e">
        <f>AND('5to. Perito_B'!H14,"AAAAAG3378E=")</f>
        <v>#VALUE!</v>
      </c>
      <c r="GM63" t="e">
        <f>AND('5to. Perito_B'!I14,"AAAAAG3378I=")</f>
        <v>#VALUE!</v>
      </c>
      <c r="GN63" t="e">
        <f>AND('5to. Perito_B'!J14,"AAAAAG3378M=")</f>
        <v>#VALUE!</v>
      </c>
      <c r="GO63" t="e">
        <f>AND('5to. Perito_B'!K14,"AAAAAG3378Q=")</f>
        <v>#VALUE!</v>
      </c>
      <c r="GP63" t="e">
        <f>AND('5to. Perito_B'!L14,"AAAAAG3378U=")</f>
        <v>#VALUE!</v>
      </c>
      <c r="GQ63" t="e">
        <f>AND('5to. Perito_B'!M14,"AAAAAG3378Y=")</f>
        <v>#VALUE!</v>
      </c>
      <c r="GR63" t="e">
        <f>AND('5to. Perito_B'!N14,"AAAAAG3378c=")</f>
        <v>#VALUE!</v>
      </c>
      <c r="GS63" t="e">
        <f>AND('5to. Perito_B'!O14,"AAAAAG3378g=")</f>
        <v>#VALUE!</v>
      </c>
      <c r="GT63" t="e">
        <f>AND('5to. Perito_B'!P14,"AAAAAG3378k=")</f>
        <v>#VALUE!</v>
      </c>
      <c r="GU63" t="e">
        <f>AND('5to. Perito_B'!Q14,"AAAAAG3378o=")</f>
        <v>#VALUE!</v>
      </c>
      <c r="GV63" t="e">
        <f>AND('5to. Perito_B'!R14,"AAAAAG3378s=")</f>
        <v>#VALUE!</v>
      </c>
      <c r="GW63" t="e">
        <f>AND('5to. Perito_B'!S14,"AAAAAG3378w=")</f>
        <v>#VALUE!</v>
      </c>
      <c r="GX63" t="e">
        <f>AND('5to. Perito_B'!T14,"AAAAAG33780=")</f>
        <v>#VALUE!</v>
      </c>
      <c r="GY63" t="e">
        <f>AND('5to. Perito_B'!#REF!,"AAAAAG33784=")</f>
        <v>#REF!</v>
      </c>
      <c r="GZ63" t="e">
        <f>AND('5to. Perito_B'!#REF!,"AAAAAG33788=")</f>
        <v>#REF!</v>
      </c>
      <c r="HA63" t="e">
        <f>AND('5to. Perito_B'!#REF!,"AAAAAG3379A=")</f>
        <v>#REF!</v>
      </c>
      <c r="HB63" t="e">
        <f>AND('5to. Perito_B'!#REF!,"AAAAAG3379E=")</f>
        <v>#REF!</v>
      </c>
      <c r="HC63" t="e">
        <f>AND('5to. Perito_B'!#REF!,"AAAAAG3379I=")</f>
        <v>#REF!</v>
      </c>
      <c r="HD63">
        <f>IF('5to. Perito_B'!15:15,"AAAAAG3379M=",0)</f>
        <v>0</v>
      </c>
      <c r="HE63" t="e">
        <f>AND('5to. Perito_B'!A15,"AAAAAG3379Q=")</f>
        <v>#VALUE!</v>
      </c>
      <c r="HF63" t="e">
        <f>AND('5to. Perito_B'!B15,"AAAAAG3379U=")</f>
        <v>#VALUE!</v>
      </c>
      <c r="HG63" t="e">
        <f>AND('5to. Perito_B'!C15,"AAAAAG3379Y=")</f>
        <v>#VALUE!</v>
      </c>
      <c r="HH63" t="e">
        <f>AND('5to. Perito_B'!D15,"AAAAAG3379c=")</f>
        <v>#VALUE!</v>
      </c>
      <c r="HI63" t="e">
        <f>AND('5to. Perito_B'!E15,"AAAAAG3379g=")</f>
        <v>#VALUE!</v>
      </c>
      <c r="HJ63" t="e">
        <f>AND('5to. Perito_B'!F15,"AAAAAG3379k=")</f>
        <v>#VALUE!</v>
      </c>
      <c r="HK63" t="e">
        <f>AND('5to. Perito_B'!G15,"AAAAAG3379o=")</f>
        <v>#VALUE!</v>
      </c>
      <c r="HL63" t="e">
        <f>AND('5to. Perito_B'!H15,"AAAAAG3379s=")</f>
        <v>#VALUE!</v>
      </c>
      <c r="HM63" t="e">
        <f>AND('5to. Perito_B'!I15,"AAAAAG3379w=")</f>
        <v>#VALUE!</v>
      </c>
      <c r="HN63" t="e">
        <f>AND('5to. Perito_B'!J15,"AAAAAG33790=")</f>
        <v>#VALUE!</v>
      </c>
      <c r="HO63" t="e">
        <f>AND('5to. Perito_B'!K15,"AAAAAG33794=")</f>
        <v>#VALUE!</v>
      </c>
      <c r="HP63" t="e">
        <f>AND('5to. Perito_B'!L15,"AAAAAG33798=")</f>
        <v>#VALUE!</v>
      </c>
      <c r="HQ63" t="e">
        <f>AND('5to. Perito_B'!M15,"AAAAAG337+A=")</f>
        <v>#VALUE!</v>
      </c>
      <c r="HR63" t="e">
        <f>AND('5to. Perito_B'!N15,"AAAAAG337+E=")</f>
        <v>#VALUE!</v>
      </c>
      <c r="HS63" t="e">
        <f>AND('5to. Perito_B'!O15,"AAAAAG337+I=")</f>
        <v>#VALUE!</v>
      </c>
      <c r="HT63" t="e">
        <f>AND('5to. Perito_B'!P15,"AAAAAG337+M=")</f>
        <v>#VALUE!</v>
      </c>
      <c r="HU63" t="e">
        <f>AND('5to. Perito_B'!Q15,"AAAAAG337+Q=")</f>
        <v>#VALUE!</v>
      </c>
      <c r="HV63" t="e">
        <f>AND('5to. Perito_B'!R15,"AAAAAG337+U=")</f>
        <v>#VALUE!</v>
      </c>
      <c r="HW63" t="e">
        <f>AND('5to. Perito_B'!S15,"AAAAAG337+Y=")</f>
        <v>#VALUE!</v>
      </c>
      <c r="HX63" t="e">
        <f>AND('5to. Perito_B'!T15,"AAAAAG337+c=")</f>
        <v>#VALUE!</v>
      </c>
      <c r="HY63" t="e">
        <f>AND('5to. Perito_B'!#REF!,"AAAAAG337+g=")</f>
        <v>#REF!</v>
      </c>
      <c r="HZ63" t="e">
        <f>AND('5to. Perito_B'!#REF!,"AAAAAG337+k=")</f>
        <v>#REF!</v>
      </c>
      <c r="IA63" t="e">
        <f>AND('5to. Perito_B'!#REF!,"AAAAAG337+o=")</f>
        <v>#REF!</v>
      </c>
      <c r="IB63" t="e">
        <f>AND('5to. Perito_B'!#REF!,"AAAAAG337+s=")</f>
        <v>#REF!</v>
      </c>
      <c r="IC63" t="e">
        <f>AND('5to. Perito_B'!#REF!,"AAAAAG337+w=")</f>
        <v>#REF!</v>
      </c>
      <c r="ID63">
        <f>IF('5to. Perito_B'!16:16,"AAAAAG337+0=",0)</f>
        <v>0</v>
      </c>
      <c r="IE63" t="e">
        <f>AND('5to. Perito_B'!A16,"AAAAAG337+4=")</f>
        <v>#VALUE!</v>
      </c>
      <c r="IF63" t="e">
        <f>AND('5to. Perito_B'!B16,"AAAAAG337+8=")</f>
        <v>#VALUE!</v>
      </c>
      <c r="IG63" t="e">
        <f>AND('5to. Perito_B'!C16,"AAAAAG337/A=")</f>
        <v>#VALUE!</v>
      </c>
      <c r="IH63" t="e">
        <f>AND('5to. Perito_B'!D16,"AAAAAG337/E=")</f>
        <v>#VALUE!</v>
      </c>
      <c r="II63" t="e">
        <f>AND('5to. Perito_B'!E16,"AAAAAG337/I=")</f>
        <v>#VALUE!</v>
      </c>
      <c r="IJ63" t="e">
        <f>AND('5to. Perito_B'!F16,"AAAAAG337/M=")</f>
        <v>#VALUE!</v>
      </c>
      <c r="IK63" t="e">
        <f>AND('5to. Perito_B'!G16,"AAAAAG337/Q=")</f>
        <v>#VALUE!</v>
      </c>
      <c r="IL63" t="e">
        <f>AND('5to. Perito_B'!H16,"AAAAAG337/U=")</f>
        <v>#VALUE!</v>
      </c>
      <c r="IM63" t="e">
        <f>AND('5to. Perito_B'!I16,"AAAAAG337/Y=")</f>
        <v>#VALUE!</v>
      </c>
      <c r="IN63" t="e">
        <f>AND('5to. Perito_B'!J16,"AAAAAG337/c=")</f>
        <v>#VALUE!</v>
      </c>
      <c r="IO63" t="e">
        <f>AND('5to. Perito_B'!K16,"AAAAAG337/g=")</f>
        <v>#VALUE!</v>
      </c>
      <c r="IP63" t="e">
        <f>AND('5to. Perito_B'!L16,"AAAAAG337/k=")</f>
        <v>#VALUE!</v>
      </c>
      <c r="IQ63" t="e">
        <f>AND('5to. Perito_B'!M16,"AAAAAG337/o=")</f>
        <v>#VALUE!</v>
      </c>
      <c r="IR63" t="e">
        <f>AND('5to. Perito_B'!N16,"AAAAAG337/s=")</f>
        <v>#VALUE!</v>
      </c>
      <c r="IS63" t="e">
        <f>AND('5to. Perito_B'!O16,"AAAAAG337/w=")</f>
        <v>#VALUE!</v>
      </c>
      <c r="IT63" t="e">
        <f>AND('5to. Perito_B'!P16,"AAAAAG337/0=")</f>
        <v>#VALUE!</v>
      </c>
      <c r="IU63" t="e">
        <f>AND('5to. Perito_B'!Q16,"AAAAAG337/4=")</f>
        <v>#VALUE!</v>
      </c>
      <c r="IV63" t="e">
        <f>AND('5to. Perito_B'!R16,"AAAAAG337/8=")</f>
        <v>#VALUE!</v>
      </c>
    </row>
    <row r="64" spans="1:256">
      <c r="A64" t="e">
        <f>AND('5to. Perito_B'!S16,"AAAAAHr/PwA=")</f>
        <v>#VALUE!</v>
      </c>
      <c r="B64" t="e">
        <f>AND('5to. Perito_B'!T16,"AAAAAHr/PwE=")</f>
        <v>#VALUE!</v>
      </c>
      <c r="C64" t="e">
        <f>AND('5to. Perito_B'!#REF!,"AAAAAHr/PwI=")</f>
        <v>#REF!</v>
      </c>
      <c r="D64" t="e">
        <f>AND('5to. Perito_B'!#REF!,"AAAAAHr/PwM=")</f>
        <v>#REF!</v>
      </c>
      <c r="E64" t="e">
        <f>AND('5to. Perito_B'!#REF!,"AAAAAHr/PwQ=")</f>
        <v>#REF!</v>
      </c>
      <c r="F64" t="e">
        <f>AND('5to. Perito_B'!#REF!,"AAAAAHr/PwU=")</f>
        <v>#REF!</v>
      </c>
      <c r="G64" t="e">
        <f>AND('5to. Perito_B'!#REF!,"AAAAAHr/PwY=")</f>
        <v>#REF!</v>
      </c>
      <c r="H64">
        <f>IF('5to. Perito_B'!17:17,"AAAAAHr/Pwc=",0)</f>
        <v>0</v>
      </c>
      <c r="I64" t="e">
        <f>AND('5to. Perito_B'!A17,"AAAAAHr/Pwg=")</f>
        <v>#VALUE!</v>
      </c>
      <c r="J64" t="e">
        <f>AND('5to. Perito_B'!B17,"AAAAAHr/Pwk=")</f>
        <v>#VALUE!</v>
      </c>
      <c r="K64" t="e">
        <f>AND('5to. Perito_B'!C17,"AAAAAHr/Pwo=")</f>
        <v>#VALUE!</v>
      </c>
      <c r="L64" t="e">
        <f>AND('5to. Perito_B'!D17,"AAAAAHr/Pws=")</f>
        <v>#VALUE!</v>
      </c>
      <c r="M64" t="e">
        <f>AND('5to. Perito_B'!E17,"AAAAAHr/Pww=")</f>
        <v>#VALUE!</v>
      </c>
      <c r="N64" t="e">
        <f>AND('5to. Perito_B'!F17,"AAAAAHr/Pw0=")</f>
        <v>#VALUE!</v>
      </c>
      <c r="O64" t="e">
        <f>AND('5to. Perito_B'!G17,"AAAAAHr/Pw4=")</f>
        <v>#VALUE!</v>
      </c>
      <c r="P64" t="e">
        <f>AND('5to. Perito_B'!H17,"AAAAAHr/Pw8=")</f>
        <v>#VALUE!</v>
      </c>
      <c r="Q64" t="e">
        <f>AND('5to. Perito_B'!I17,"AAAAAHr/PxA=")</f>
        <v>#VALUE!</v>
      </c>
      <c r="R64" t="e">
        <f>AND('5to. Perito_B'!J17,"AAAAAHr/PxE=")</f>
        <v>#VALUE!</v>
      </c>
      <c r="S64" t="e">
        <f>AND('5to. Perito_B'!K17,"AAAAAHr/PxI=")</f>
        <v>#VALUE!</v>
      </c>
      <c r="T64" t="e">
        <f>AND('5to. Perito_B'!L17,"AAAAAHr/PxM=")</f>
        <v>#VALUE!</v>
      </c>
      <c r="U64" t="e">
        <f>AND('5to. Perito_B'!M17,"AAAAAHr/PxQ=")</f>
        <v>#VALUE!</v>
      </c>
      <c r="V64" t="e">
        <f>AND('5to. Perito_B'!N17,"AAAAAHr/PxU=")</f>
        <v>#VALUE!</v>
      </c>
      <c r="W64" t="e">
        <f>AND('5to. Perito_B'!O17,"AAAAAHr/PxY=")</f>
        <v>#VALUE!</v>
      </c>
      <c r="X64" t="e">
        <f>AND('5to. Perito_B'!P17,"AAAAAHr/Pxc=")</f>
        <v>#VALUE!</v>
      </c>
      <c r="Y64" t="e">
        <f>AND('5to. Perito_B'!Q17,"AAAAAHr/Pxg=")</f>
        <v>#VALUE!</v>
      </c>
      <c r="Z64" t="e">
        <f>AND('5to. Perito_B'!R17,"AAAAAHr/Pxk=")</f>
        <v>#VALUE!</v>
      </c>
      <c r="AA64" t="e">
        <f>AND('5to. Perito_B'!S17,"AAAAAHr/Pxo=")</f>
        <v>#VALUE!</v>
      </c>
      <c r="AB64" t="e">
        <f>AND('5to. Perito_B'!T17,"AAAAAHr/Pxs=")</f>
        <v>#VALUE!</v>
      </c>
      <c r="AC64" t="e">
        <f>AND('5to. Perito_B'!#REF!,"AAAAAHr/Pxw=")</f>
        <v>#REF!</v>
      </c>
      <c r="AD64" t="e">
        <f>AND('5to. Perito_B'!#REF!,"AAAAAHr/Px0=")</f>
        <v>#REF!</v>
      </c>
      <c r="AE64" t="e">
        <f>AND('5to. Perito_B'!#REF!,"AAAAAHr/Px4=")</f>
        <v>#REF!</v>
      </c>
      <c r="AF64" t="e">
        <f>AND('5to. Perito_B'!#REF!,"AAAAAHr/Px8=")</f>
        <v>#REF!</v>
      </c>
      <c r="AG64" t="e">
        <f>AND('5to. Perito_B'!#REF!,"AAAAAHr/PyA=")</f>
        <v>#REF!</v>
      </c>
      <c r="AH64">
        <f>IF('5to. Perito_B'!18:18,"AAAAAHr/PyE=",0)</f>
        <v>0</v>
      </c>
      <c r="AI64" t="e">
        <f>AND('5to. Perito_B'!A18,"AAAAAHr/PyI=")</f>
        <v>#VALUE!</v>
      </c>
      <c r="AJ64" t="e">
        <f>AND('5to. Perito_B'!B18,"AAAAAHr/PyM=")</f>
        <v>#VALUE!</v>
      </c>
      <c r="AK64" t="e">
        <f>AND('5to. Perito_B'!C18,"AAAAAHr/PyQ=")</f>
        <v>#VALUE!</v>
      </c>
      <c r="AL64" t="e">
        <f>AND('5to. Perito_B'!D18,"AAAAAHr/PyU=")</f>
        <v>#VALUE!</v>
      </c>
      <c r="AM64" t="e">
        <f>AND('5to. Perito_B'!E18,"AAAAAHr/PyY=")</f>
        <v>#VALUE!</v>
      </c>
      <c r="AN64" t="e">
        <f>AND('5to. Perito_B'!F18,"AAAAAHr/Pyc=")</f>
        <v>#VALUE!</v>
      </c>
      <c r="AO64" t="e">
        <f>AND('5to. Perito_B'!G18,"AAAAAHr/Pyg=")</f>
        <v>#VALUE!</v>
      </c>
      <c r="AP64" t="e">
        <f>AND('5to. Perito_B'!H18,"AAAAAHr/Pyk=")</f>
        <v>#VALUE!</v>
      </c>
      <c r="AQ64" t="e">
        <f>AND('5to. Perito_B'!I18,"AAAAAHr/Pyo=")</f>
        <v>#VALUE!</v>
      </c>
      <c r="AR64" t="e">
        <f>AND('5to. Perito_B'!J18,"AAAAAHr/Pys=")</f>
        <v>#VALUE!</v>
      </c>
      <c r="AS64" t="e">
        <f>AND('5to. Perito_B'!K18,"AAAAAHr/Pyw=")</f>
        <v>#VALUE!</v>
      </c>
      <c r="AT64" t="e">
        <f>AND('5to. Perito_B'!L18,"AAAAAHr/Py0=")</f>
        <v>#VALUE!</v>
      </c>
      <c r="AU64" t="e">
        <f>AND('5to. Perito_B'!M18,"AAAAAHr/Py4=")</f>
        <v>#VALUE!</v>
      </c>
      <c r="AV64" t="e">
        <f>AND('5to. Perito_B'!N18,"AAAAAHr/Py8=")</f>
        <v>#VALUE!</v>
      </c>
      <c r="AW64" t="e">
        <f>AND('5to. Perito_B'!O18,"AAAAAHr/PzA=")</f>
        <v>#VALUE!</v>
      </c>
      <c r="AX64" t="e">
        <f>AND('5to. Perito_B'!P18,"AAAAAHr/PzE=")</f>
        <v>#VALUE!</v>
      </c>
      <c r="AY64" t="e">
        <f>AND('5to. Perito_B'!Q18,"AAAAAHr/PzI=")</f>
        <v>#VALUE!</v>
      </c>
      <c r="AZ64" t="e">
        <f>AND('5to. Perito_B'!R18,"AAAAAHr/PzM=")</f>
        <v>#VALUE!</v>
      </c>
      <c r="BA64" t="e">
        <f>AND('5to. Perito_B'!S18,"AAAAAHr/PzQ=")</f>
        <v>#VALUE!</v>
      </c>
      <c r="BB64" t="e">
        <f>AND('5to. Perito_B'!T18,"AAAAAHr/PzU=")</f>
        <v>#VALUE!</v>
      </c>
      <c r="BC64" t="e">
        <f>AND('5to. Perito_B'!#REF!,"AAAAAHr/PzY=")</f>
        <v>#REF!</v>
      </c>
      <c r="BD64" t="e">
        <f>AND('5to. Perito_B'!#REF!,"AAAAAHr/Pzc=")</f>
        <v>#REF!</v>
      </c>
      <c r="BE64" t="e">
        <f>AND('5to. Perito_B'!#REF!,"AAAAAHr/Pzg=")</f>
        <v>#REF!</v>
      </c>
      <c r="BF64" t="e">
        <f>AND('5to. Perito_B'!#REF!,"AAAAAHr/Pzk=")</f>
        <v>#REF!</v>
      </c>
      <c r="BG64" t="e">
        <f>AND('5to. Perito_B'!#REF!,"AAAAAHr/Pzo=")</f>
        <v>#REF!</v>
      </c>
      <c r="BH64">
        <f>IF('5to. Perito_B'!19:19,"AAAAAHr/Pzs=",0)</f>
        <v>0</v>
      </c>
      <c r="BI64" t="e">
        <f>AND('5to. Perito_B'!A19,"AAAAAHr/Pzw=")</f>
        <v>#VALUE!</v>
      </c>
      <c r="BJ64" t="e">
        <f>AND('5to. Perito_B'!B19,"AAAAAHr/Pz0=")</f>
        <v>#VALUE!</v>
      </c>
      <c r="BK64" t="e">
        <f>AND('5to. Perito_B'!C19,"AAAAAHr/Pz4=")</f>
        <v>#VALUE!</v>
      </c>
      <c r="BL64" t="e">
        <f>AND('5to. Perito_B'!D19,"AAAAAHr/Pz8=")</f>
        <v>#VALUE!</v>
      </c>
      <c r="BM64" t="e">
        <f>AND('5to. Perito_B'!E19,"AAAAAHr/P0A=")</f>
        <v>#VALUE!</v>
      </c>
      <c r="BN64" t="e">
        <f>AND('5to. Perito_B'!F19,"AAAAAHr/P0E=")</f>
        <v>#VALUE!</v>
      </c>
      <c r="BO64" t="e">
        <f>AND('5to. Perito_B'!G19,"AAAAAHr/P0I=")</f>
        <v>#VALUE!</v>
      </c>
      <c r="BP64" t="e">
        <f>AND('5to. Perito_B'!H19,"AAAAAHr/P0M=")</f>
        <v>#VALUE!</v>
      </c>
      <c r="BQ64" t="e">
        <f>AND('5to. Perito_B'!I19,"AAAAAHr/P0Q=")</f>
        <v>#VALUE!</v>
      </c>
      <c r="BR64" t="e">
        <f>AND('5to. Perito_B'!J19,"AAAAAHr/P0U=")</f>
        <v>#VALUE!</v>
      </c>
      <c r="BS64" t="e">
        <f>AND('5to. Perito_B'!K19,"AAAAAHr/P0Y=")</f>
        <v>#VALUE!</v>
      </c>
      <c r="BT64" t="e">
        <f>AND('5to. Perito_B'!L19,"AAAAAHr/P0c=")</f>
        <v>#VALUE!</v>
      </c>
      <c r="BU64" t="e">
        <f>AND('5to. Perito_B'!M19,"AAAAAHr/P0g=")</f>
        <v>#VALUE!</v>
      </c>
      <c r="BV64" t="e">
        <f>AND('5to. Perito_B'!N19,"AAAAAHr/P0k=")</f>
        <v>#VALUE!</v>
      </c>
      <c r="BW64" t="e">
        <f>AND('5to. Perito_B'!O19,"AAAAAHr/P0o=")</f>
        <v>#VALUE!</v>
      </c>
      <c r="BX64" t="e">
        <f>AND('5to. Perito_B'!P19,"AAAAAHr/P0s=")</f>
        <v>#VALUE!</v>
      </c>
      <c r="BY64" t="e">
        <f>AND('5to. Perito_B'!Q19,"AAAAAHr/P0w=")</f>
        <v>#VALUE!</v>
      </c>
      <c r="BZ64" t="e">
        <f>AND('5to. Perito_B'!R19,"AAAAAHr/P00=")</f>
        <v>#VALUE!</v>
      </c>
      <c r="CA64" t="e">
        <f>AND('5to. Perito_B'!S19,"AAAAAHr/P04=")</f>
        <v>#VALUE!</v>
      </c>
      <c r="CB64" t="e">
        <f>AND('5to. Perito_B'!T19,"AAAAAHr/P08=")</f>
        <v>#VALUE!</v>
      </c>
      <c r="CC64" t="e">
        <f>AND('5to. Perito_B'!#REF!,"AAAAAHr/P1A=")</f>
        <v>#REF!</v>
      </c>
      <c r="CD64" t="e">
        <f>AND('5to. Perito_B'!#REF!,"AAAAAHr/P1E=")</f>
        <v>#REF!</v>
      </c>
      <c r="CE64" t="e">
        <f>AND('5to. Perito_B'!#REF!,"AAAAAHr/P1I=")</f>
        <v>#REF!</v>
      </c>
      <c r="CF64" t="e">
        <f>AND('5to. Perito_B'!#REF!,"AAAAAHr/P1M=")</f>
        <v>#REF!</v>
      </c>
      <c r="CG64" t="e">
        <f>AND('5to. Perito_B'!#REF!,"AAAAAHr/P1Q=")</f>
        <v>#REF!</v>
      </c>
      <c r="CH64">
        <f>IF('5to. Perito_B'!20:20,"AAAAAHr/P1U=",0)</f>
        <v>0</v>
      </c>
      <c r="CI64" t="e">
        <f>AND('5to. Perito_B'!A20,"AAAAAHr/P1Y=")</f>
        <v>#VALUE!</v>
      </c>
      <c r="CJ64" t="e">
        <f>AND('5to. Perito_B'!B20,"AAAAAHr/P1c=")</f>
        <v>#VALUE!</v>
      </c>
      <c r="CK64" t="e">
        <f>AND('5to. Perito_B'!C20,"AAAAAHr/P1g=")</f>
        <v>#VALUE!</v>
      </c>
      <c r="CL64" t="e">
        <f>AND('5to. Perito_B'!D20,"AAAAAHr/P1k=")</f>
        <v>#VALUE!</v>
      </c>
      <c r="CM64" t="e">
        <f>AND('5to. Perito_B'!E20,"AAAAAHr/P1o=")</f>
        <v>#VALUE!</v>
      </c>
      <c r="CN64" t="e">
        <f>AND('5to. Perito_B'!F20,"AAAAAHr/P1s=")</f>
        <v>#VALUE!</v>
      </c>
      <c r="CO64" t="e">
        <f>AND('5to. Perito_B'!G20,"AAAAAHr/P1w=")</f>
        <v>#VALUE!</v>
      </c>
      <c r="CP64" t="e">
        <f>AND('5to. Perito_B'!H20,"AAAAAHr/P10=")</f>
        <v>#VALUE!</v>
      </c>
      <c r="CQ64" t="e">
        <f>AND('5to. Perito_B'!I20,"AAAAAHr/P14=")</f>
        <v>#VALUE!</v>
      </c>
      <c r="CR64" t="e">
        <f>AND('5to. Perito_B'!J20,"AAAAAHr/P18=")</f>
        <v>#VALUE!</v>
      </c>
      <c r="CS64" t="e">
        <f>AND('5to. Perito_B'!K20,"AAAAAHr/P2A=")</f>
        <v>#VALUE!</v>
      </c>
      <c r="CT64" t="e">
        <f>AND('5to. Perito_B'!L20,"AAAAAHr/P2E=")</f>
        <v>#VALUE!</v>
      </c>
      <c r="CU64" t="e">
        <f>AND('5to. Perito_B'!M20,"AAAAAHr/P2I=")</f>
        <v>#VALUE!</v>
      </c>
      <c r="CV64" t="e">
        <f>AND('5to. Perito_B'!N20,"AAAAAHr/P2M=")</f>
        <v>#VALUE!</v>
      </c>
      <c r="CW64" t="e">
        <f>AND('5to. Perito_B'!O20,"AAAAAHr/P2Q=")</f>
        <v>#VALUE!</v>
      </c>
      <c r="CX64" t="e">
        <f>AND('5to. Perito_B'!P20,"AAAAAHr/P2U=")</f>
        <v>#VALUE!</v>
      </c>
      <c r="CY64" t="e">
        <f>AND('5to. Perito_B'!Q20,"AAAAAHr/P2Y=")</f>
        <v>#VALUE!</v>
      </c>
      <c r="CZ64" t="e">
        <f>AND('5to. Perito_B'!R20,"AAAAAHr/P2c=")</f>
        <v>#VALUE!</v>
      </c>
      <c r="DA64" t="e">
        <f>AND('5to. Perito_B'!S20,"AAAAAHr/P2g=")</f>
        <v>#VALUE!</v>
      </c>
      <c r="DB64" t="e">
        <f>AND('5to. Perito_B'!T20,"AAAAAHr/P2k=")</f>
        <v>#VALUE!</v>
      </c>
      <c r="DC64" t="e">
        <f>AND('5to. Perito_B'!#REF!,"AAAAAHr/P2o=")</f>
        <v>#REF!</v>
      </c>
      <c r="DD64" t="e">
        <f>AND('5to. Perito_B'!#REF!,"AAAAAHr/P2s=")</f>
        <v>#REF!</v>
      </c>
      <c r="DE64" t="e">
        <f>AND('5to. Perito_B'!#REF!,"AAAAAHr/P2w=")</f>
        <v>#REF!</v>
      </c>
      <c r="DF64" t="e">
        <f>AND('5to. Perito_B'!#REF!,"AAAAAHr/P20=")</f>
        <v>#REF!</v>
      </c>
      <c r="DG64" t="e">
        <f>AND('5to. Perito_B'!#REF!,"AAAAAHr/P24=")</f>
        <v>#REF!</v>
      </c>
      <c r="DH64">
        <f>IF('5to. Perito_B'!21:21,"AAAAAHr/P28=",0)</f>
        <v>0</v>
      </c>
      <c r="DI64" t="e">
        <f>AND('5to. Perito_B'!A21,"AAAAAHr/P3A=")</f>
        <v>#VALUE!</v>
      </c>
      <c r="DJ64" t="e">
        <f>AND('5to. Perito_B'!B21,"AAAAAHr/P3E=")</f>
        <v>#VALUE!</v>
      </c>
      <c r="DK64" t="e">
        <f>AND('5to. Perito_B'!C21,"AAAAAHr/P3I=")</f>
        <v>#VALUE!</v>
      </c>
      <c r="DL64" t="e">
        <f>AND('5to. Perito_B'!D21,"AAAAAHr/P3M=")</f>
        <v>#VALUE!</v>
      </c>
      <c r="DM64" t="e">
        <f>AND('5to. Perito_B'!E21,"AAAAAHr/P3Q=")</f>
        <v>#VALUE!</v>
      </c>
      <c r="DN64" t="e">
        <f>AND('5to. Perito_B'!F21,"AAAAAHr/P3U=")</f>
        <v>#VALUE!</v>
      </c>
      <c r="DO64" t="e">
        <f>AND('5to. Perito_B'!G21,"AAAAAHr/P3Y=")</f>
        <v>#VALUE!</v>
      </c>
      <c r="DP64" t="e">
        <f>AND('5to. Perito_B'!H21,"AAAAAHr/P3c=")</f>
        <v>#VALUE!</v>
      </c>
      <c r="DQ64" t="e">
        <f>AND('5to. Perito_B'!I21,"AAAAAHr/P3g=")</f>
        <v>#VALUE!</v>
      </c>
      <c r="DR64" t="e">
        <f>AND('5to. Perito_B'!J21,"AAAAAHr/P3k=")</f>
        <v>#VALUE!</v>
      </c>
      <c r="DS64" t="e">
        <f>AND('5to. Perito_B'!K21,"AAAAAHr/P3o=")</f>
        <v>#VALUE!</v>
      </c>
      <c r="DT64" t="e">
        <f>AND('5to. Perito_B'!L21,"AAAAAHr/P3s=")</f>
        <v>#VALUE!</v>
      </c>
      <c r="DU64" t="e">
        <f>AND('5to. Perito_B'!M21,"AAAAAHr/P3w=")</f>
        <v>#VALUE!</v>
      </c>
      <c r="DV64" t="e">
        <f>AND('5to. Perito_B'!N21,"AAAAAHr/P30=")</f>
        <v>#VALUE!</v>
      </c>
      <c r="DW64" t="e">
        <f>AND('5to. Perito_B'!O21,"AAAAAHr/P34=")</f>
        <v>#VALUE!</v>
      </c>
      <c r="DX64" t="e">
        <f>AND('5to. Perito_B'!P21,"AAAAAHr/P38=")</f>
        <v>#VALUE!</v>
      </c>
      <c r="DY64" t="e">
        <f>AND('5to. Perito_B'!Q21,"AAAAAHr/P4A=")</f>
        <v>#VALUE!</v>
      </c>
      <c r="DZ64" t="e">
        <f>AND('5to. Perito_B'!R21,"AAAAAHr/P4E=")</f>
        <v>#VALUE!</v>
      </c>
      <c r="EA64" t="e">
        <f>AND('5to. Perito_B'!S21,"AAAAAHr/P4I=")</f>
        <v>#VALUE!</v>
      </c>
      <c r="EB64" t="e">
        <f>AND('5to. Perito_B'!T21,"AAAAAHr/P4M=")</f>
        <v>#VALUE!</v>
      </c>
      <c r="EC64" t="e">
        <f>AND('5to. Perito_B'!#REF!,"AAAAAHr/P4Q=")</f>
        <v>#REF!</v>
      </c>
      <c r="ED64" t="e">
        <f>AND('5to. Perito_B'!#REF!,"AAAAAHr/P4U=")</f>
        <v>#REF!</v>
      </c>
      <c r="EE64" t="e">
        <f>AND('5to. Perito_B'!#REF!,"AAAAAHr/P4Y=")</f>
        <v>#REF!</v>
      </c>
      <c r="EF64" t="e">
        <f>AND('5to. Perito_B'!#REF!,"AAAAAHr/P4c=")</f>
        <v>#REF!</v>
      </c>
      <c r="EG64" t="e">
        <f>AND('5to. Perito_B'!#REF!,"AAAAAHr/P4g=")</f>
        <v>#REF!</v>
      </c>
      <c r="EH64">
        <f>IF('5to. Perito_B'!22:22,"AAAAAHr/P4k=",0)</f>
        <v>0</v>
      </c>
      <c r="EI64" t="e">
        <f>AND('5to. Perito_B'!A22,"AAAAAHr/P4o=")</f>
        <v>#VALUE!</v>
      </c>
      <c r="EJ64" t="e">
        <f>AND('5to. Perito_B'!B22,"AAAAAHr/P4s=")</f>
        <v>#VALUE!</v>
      </c>
      <c r="EK64" t="e">
        <f>AND('5to. Perito_B'!C22,"AAAAAHr/P4w=")</f>
        <v>#VALUE!</v>
      </c>
      <c r="EL64" t="e">
        <f>AND('5to. Perito_B'!D22,"AAAAAHr/P40=")</f>
        <v>#VALUE!</v>
      </c>
      <c r="EM64" t="e">
        <f>AND('5to. Perito_B'!E22,"AAAAAHr/P44=")</f>
        <v>#VALUE!</v>
      </c>
      <c r="EN64" t="e">
        <f>AND('5to. Perito_B'!F22,"AAAAAHr/P48=")</f>
        <v>#VALUE!</v>
      </c>
      <c r="EO64" t="e">
        <f>AND('5to. Perito_B'!G22,"AAAAAHr/P5A=")</f>
        <v>#VALUE!</v>
      </c>
      <c r="EP64" t="e">
        <f>AND('5to. Perito_B'!H22,"AAAAAHr/P5E=")</f>
        <v>#VALUE!</v>
      </c>
      <c r="EQ64" t="e">
        <f>AND('5to. Perito_B'!I22,"AAAAAHr/P5I=")</f>
        <v>#VALUE!</v>
      </c>
      <c r="ER64" t="e">
        <f>AND('5to. Perito_B'!J22,"AAAAAHr/P5M=")</f>
        <v>#VALUE!</v>
      </c>
      <c r="ES64" t="e">
        <f>AND('5to. Perito_B'!K22,"AAAAAHr/P5Q=")</f>
        <v>#VALUE!</v>
      </c>
      <c r="ET64" t="e">
        <f>AND('5to. Perito_B'!L22,"AAAAAHr/P5U=")</f>
        <v>#VALUE!</v>
      </c>
      <c r="EU64" t="e">
        <f>AND('5to. Perito_B'!M22,"AAAAAHr/P5Y=")</f>
        <v>#VALUE!</v>
      </c>
      <c r="EV64" t="e">
        <f>AND('5to. Perito_B'!N22,"AAAAAHr/P5c=")</f>
        <v>#VALUE!</v>
      </c>
      <c r="EW64" t="e">
        <f>AND('5to. Perito_B'!O22,"AAAAAHr/P5g=")</f>
        <v>#VALUE!</v>
      </c>
      <c r="EX64" t="e">
        <f>AND('5to. Perito_B'!P22,"AAAAAHr/P5k=")</f>
        <v>#VALUE!</v>
      </c>
      <c r="EY64" t="e">
        <f>AND('5to. Perito_B'!Q22,"AAAAAHr/P5o=")</f>
        <v>#VALUE!</v>
      </c>
      <c r="EZ64" t="e">
        <f>AND('5to. Perito_B'!R22,"AAAAAHr/P5s=")</f>
        <v>#VALUE!</v>
      </c>
      <c r="FA64" t="e">
        <f>AND('5to. Perito_B'!S22,"AAAAAHr/P5w=")</f>
        <v>#VALUE!</v>
      </c>
      <c r="FB64" t="e">
        <f>AND('5to. Perito_B'!T22,"AAAAAHr/P50=")</f>
        <v>#VALUE!</v>
      </c>
      <c r="FC64" t="e">
        <f>AND('5to. Perito_B'!#REF!,"AAAAAHr/P54=")</f>
        <v>#REF!</v>
      </c>
      <c r="FD64" t="e">
        <f>AND('5to. Perito_B'!#REF!,"AAAAAHr/P58=")</f>
        <v>#REF!</v>
      </c>
      <c r="FE64" t="e">
        <f>AND('5to. Perito_B'!#REF!,"AAAAAHr/P6A=")</f>
        <v>#REF!</v>
      </c>
      <c r="FF64" t="e">
        <f>AND('5to. Perito_B'!#REF!,"AAAAAHr/P6E=")</f>
        <v>#REF!</v>
      </c>
      <c r="FG64" t="e">
        <f>AND('5to. Perito_B'!#REF!,"AAAAAHr/P6I=")</f>
        <v>#REF!</v>
      </c>
      <c r="FH64">
        <f>IF('5to. Perito_B'!23:23,"AAAAAHr/P6M=",0)</f>
        <v>0</v>
      </c>
      <c r="FI64" t="e">
        <f>AND('5to. Perito_B'!A23,"AAAAAHr/P6Q=")</f>
        <v>#VALUE!</v>
      </c>
      <c r="FJ64" t="e">
        <f>AND('5to. Perito_B'!B23,"AAAAAHr/P6U=")</f>
        <v>#VALUE!</v>
      </c>
      <c r="FK64" t="e">
        <f>AND('5to. Perito_B'!C23,"AAAAAHr/P6Y=")</f>
        <v>#VALUE!</v>
      </c>
      <c r="FL64" t="e">
        <f>AND('5to. Perito_B'!D23,"AAAAAHr/P6c=")</f>
        <v>#VALUE!</v>
      </c>
      <c r="FM64" t="e">
        <f>AND('5to. Perito_B'!E23,"AAAAAHr/P6g=")</f>
        <v>#VALUE!</v>
      </c>
      <c r="FN64" t="e">
        <f>AND('5to. Perito_B'!F23,"AAAAAHr/P6k=")</f>
        <v>#VALUE!</v>
      </c>
      <c r="FO64" t="e">
        <f>AND('5to. Perito_B'!G23,"AAAAAHr/P6o=")</f>
        <v>#VALUE!</v>
      </c>
      <c r="FP64" t="e">
        <f>AND('5to. Perito_B'!H23,"AAAAAHr/P6s=")</f>
        <v>#VALUE!</v>
      </c>
      <c r="FQ64" t="e">
        <f>AND('5to. Perito_B'!I23,"AAAAAHr/P6w=")</f>
        <v>#VALUE!</v>
      </c>
      <c r="FR64" t="e">
        <f>AND('5to. Perito_B'!J23,"AAAAAHr/P60=")</f>
        <v>#VALUE!</v>
      </c>
      <c r="FS64" t="e">
        <f>AND('5to. Perito_B'!K23,"AAAAAHr/P64=")</f>
        <v>#VALUE!</v>
      </c>
      <c r="FT64" t="e">
        <f>AND('5to. Perito_B'!L23,"AAAAAHr/P68=")</f>
        <v>#VALUE!</v>
      </c>
      <c r="FU64" t="e">
        <f>AND('5to. Perito_B'!M23,"AAAAAHr/P7A=")</f>
        <v>#VALUE!</v>
      </c>
      <c r="FV64" t="e">
        <f>AND('5to. Perito_B'!N23,"AAAAAHr/P7E=")</f>
        <v>#VALUE!</v>
      </c>
      <c r="FW64" t="e">
        <f>AND('5to. Perito_B'!O23,"AAAAAHr/P7I=")</f>
        <v>#VALUE!</v>
      </c>
      <c r="FX64" t="e">
        <f>AND('5to. Perito_B'!P23,"AAAAAHr/P7M=")</f>
        <v>#VALUE!</v>
      </c>
      <c r="FY64" t="e">
        <f>AND('5to. Perito_B'!Q23,"AAAAAHr/P7Q=")</f>
        <v>#VALUE!</v>
      </c>
      <c r="FZ64" t="e">
        <f>AND('5to. Perito_B'!R23,"AAAAAHr/P7U=")</f>
        <v>#VALUE!</v>
      </c>
      <c r="GA64" t="e">
        <f>AND('5to. Perito_B'!S23,"AAAAAHr/P7Y=")</f>
        <v>#VALUE!</v>
      </c>
      <c r="GB64" t="e">
        <f>AND('5to. Perito_B'!T23,"AAAAAHr/P7c=")</f>
        <v>#VALUE!</v>
      </c>
      <c r="GC64" t="e">
        <f>AND('5to. Perito_B'!#REF!,"AAAAAHr/P7g=")</f>
        <v>#REF!</v>
      </c>
      <c r="GD64" t="e">
        <f>AND('5to. Perito_B'!#REF!,"AAAAAHr/P7k=")</f>
        <v>#REF!</v>
      </c>
      <c r="GE64" t="e">
        <f>AND('5to. Perito_B'!#REF!,"AAAAAHr/P7o=")</f>
        <v>#REF!</v>
      </c>
      <c r="GF64" t="e">
        <f>AND('5to. Perito_B'!#REF!,"AAAAAHr/P7s=")</f>
        <v>#REF!</v>
      </c>
      <c r="GG64" t="e">
        <f>AND('5to. Perito_B'!#REF!,"AAAAAHr/P7w=")</f>
        <v>#REF!</v>
      </c>
      <c r="GH64">
        <f>IF('5to. Perito_B'!24:24,"AAAAAHr/P70=",0)</f>
        <v>0</v>
      </c>
      <c r="GI64" t="e">
        <f>AND('5to. Perito_B'!A24,"AAAAAHr/P74=")</f>
        <v>#VALUE!</v>
      </c>
      <c r="GJ64" t="e">
        <f>AND('5to. Perito_B'!B24,"AAAAAHr/P78=")</f>
        <v>#VALUE!</v>
      </c>
      <c r="GK64" t="e">
        <f>AND('5to. Perito_B'!C24,"AAAAAHr/P8A=")</f>
        <v>#VALUE!</v>
      </c>
      <c r="GL64" t="e">
        <f>AND('5to. Perito_B'!D24,"AAAAAHr/P8E=")</f>
        <v>#VALUE!</v>
      </c>
      <c r="GM64" t="e">
        <f>AND('5to. Perito_B'!E24,"AAAAAHr/P8I=")</f>
        <v>#VALUE!</v>
      </c>
      <c r="GN64" t="e">
        <f>AND('5to. Perito_B'!F24,"AAAAAHr/P8M=")</f>
        <v>#VALUE!</v>
      </c>
      <c r="GO64" t="e">
        <f>AND('5to. Perito_B'!G24,"AAAAAHr/P8Q=")</f>
        <v>#VALUE!</v>
      </c>
      <c r="GP64" t="e">
        <f>AND('5to. Perito_B'!H24,"AAAAAHr/P8U=")</f>
        <v>#VALUE!</v>
      </c>
      <c r="GQ64" t="e">
        <f>AND('5to. Perito_B'!I24,"AAAAAHr/P8Y=")</f>
        <v>#VALUE!</v>
      </c>
      <c r="GR64" t="e">
        <f>AND('5to. Perito_B'!J24,"AAAAAHr/P8c=")</f>
        <v>#VALUE!</v>
      </c>
      <c r="GS64" t="e">
        <f>AND('5to. Perito_B'!K24,"AAAAAHr/P8g=")</f>
        <v>#VALUE!</v>
      </c>
      <c r="GT64" t="e">
        <f>AND('5to. Perito_B'!L24,"AAAAAHr/P8k=")</f>
        <v>#VALUE!</v>
      </c>
      <c r="GU64" t="e">
        <f>AND('5to. Perito_B'!M24,"AAAAAHr/P8o=")</f>
        <v>#VALUE!</v>
      </c>
      <c r="GV64" t="e">
        <f>AND('5to. Perito_B'!N24,"AAAAAHr/P8s=")</f>
        <v>#VALUE!</v>
      </c>
      <c r="GW64" t="e">
        <f>AND('5to. Perito_B'!O24,"AAAAAHr/P8w=")</f>
        <v>#VALUE!</v>
      </c>
      <c r="GX64" t="e">
        <f>AND('5to. Perito_B'!P24,"AAAAAHr/P80=")</f>
        <v>#VALUE!</v>
      </c>
      <c r="GY64" t="e">
        <f>AND('5to. Perito_B'!Q24,"AAAAAHr/P84=")</f>
        <v>#VALUE!</v>
      </c>
      <c r="GZ64" t="e">
        <f>AND('5to. Perito_B'!R24,"AAAAAHr/P88=")</f>
        <v>#VALUE!</v>
      </c>
      <c r="HA64" t="e">
        <f>AND('5to. Perito_B'!S24,"AAAAAHr/P9A=")</f>
        <v>#VALUE!</v>
      </c>
      <c r="HB64" t="e">
        <f>AND('5to. Perito_B'!T24,"AAAAAHr/P9E=")</f>
        <v>#VALUE!</v>
      </c>
      <c r="HC64" t="e">
        <f>AND('5to. Perito_B'!#REF!,"AAAAAHr/P9I=")</f>
        <v>#REF!</v>
      </c>
      <c r="HD64" t="e">
        <f>AND('5to. Perito_B'!#REF!,"AAAAAHr/P9M=")</f>
        <v>#REF!</v>
      </c>
      <c r="HE64" t="e">
        <f>AND('5to. Perito_B'!#REF!,"AAAAAHr/P9Q=")</f>
        <v>#REF!</v>
      </c>
      <c r="HF64" t="e">
        <f>AND('5to. Perito_B'!#REF!,"AAAAAHr/P9U=")</f>
        <v>#REF!</v>
      </c>
      <c r="HG64" t="e">
        <f>AND('5to. Perito_B'!#REF!,"AAAAAHr/P9Y=")</f>
        <v>#REF!</v>
      </c>
      <c r="HH64">
        <f>IF('5to. Perito_B'!25:25,"AAAAAHr/P9c=",0)</f>
        <v>0</v>
      </c>
      <c r="HI64" t="e">
        <f>AND('5to. Perito_B'!A25,"AAAAAHr/P9g=")</f>
        <v>#VALUE!</v>
      </c>
      <c r="HJ64" t="e">
        <f>AND('5to. Perito_B'!B25,"AAAAAHr/P9k=")</f>
        <v>#VALUE!</v>
      </c>
      <c r="HK64" t="e">
        <f>AND('5to. Perito_B'!C25,"AAAAAHr/P9o=")</f>
        <v>#VALUE!</v>
      </c>
      <c r="HL64" t="e">
        <f>AND('5to. Perito_B'!D25,"AAAAAHr/P9s=")</f>
        <v>#VALUE!</v>
      </c>
      <c r="HM64" t="e">
        <f>AND('5to. Perito_B'!E25,"AAAAAHr/P9w=")</f>
        <v>#VALUE!</v>
      </c>
      <c r="HN64" t="e">
        <f>AND('5to. Perito_B'!F25,"AAAAAHr/P90=")</f>
        <v>#VALUE!</v>
      </c>
      <c r="HO64" t="e">
        <f>AND('5to. Perito_B'!G25,"AAAAAHr/P94=")</f>
        <v>#VALUE!</v>
      </c>
      <c r="HP64" t="e">
        <f>AND('5to. Perito_B'!H25,"AAAAAHr/P98=")</f>
        <v>#VALUE!</v>
      </c>
      <c r="HQ64" t="e">
        <f>AND('5to. Perito_B'!I25,"AAAAAHr/P+A=")</f>
        <v>#VALUE!</v>
      </c>
      <c r="HR64" t="e">
        <f>AND('5to. Perito_B'!J25,"AAAAAHr/P+E=")</f>
        <v>#VALUE!</v>
      </c>
      <c r="HS64" t="e">
        <f>AND('5to. Perito_B'!K25,"AAAAAHr/P+I=")</f>
        <v>#VALUE!</v>
      </c>
      <c r="HT64" t="e">
        <f>AND('5to. Perito_B'!L25,"AAAAAHr/P+M=")</f>
        <v>#VALUE!</v>
      </c>
      <c r="HU64" t="e">
        <f>AND('5to. Perito_B'!M25,"AAAAAHr/P+Q=")</f>
        <v>#VALUE!</v>
      </c>
      <c r="HV64" t="e">
        <f>AND('5to. Perito_B'!N25,"AAAAAHr/P+U=")</f>
        <v>#VALUE!</v>
      </c>
      <c r="HW64" t="e">
        <f>AND('5to. Perito_B'!O25,"AAAAAHr/P+Y=")</f>
        <v>#VALUE!</v>
      </c>
      <c r="HX64" t="e">
        <f>AND('5to. Perito_B'!P25,"AAAAAHr/P+c=")</f>
        <v>#VALUE!</v>
      </c>
      <c r="HY64" t="e">
        <f>AND('5to. Perito_B'!Q25,"AAAAAHr/P+g=")</f>
        <v>#VALUE!</v>
      </c>
      <c r="HZ64" t="e">
        <f>AND('5to. Perito_B'!R25,"AAAAAHr/P+k=")</f>
        <v>#VALUE!</v>
      </c>
      <c r="IA64" t="e">
        <f>AND('5to. Perito_B'!S25,"AAAAAHr/P+o=")</f>
        <v>#VALUE!</v>
      </c>
      <c r="IB64" t="e">
        <f>AND('5to. Perito_B'!T25,"AAAAAHr/P+s=")</f>
        <v>#VALUE!</v>
      </c>
      <c r="IC64" t="e">
        <f>AND('5to. Perito_B'!#REF!,"AAAAAHr/P+w=")</f>
        <v>#REF!</v>
      </c>
      <c r="ID64" t="e">
        <f>AND('5to. Perito_B'!#REF!,"AAAAAHr/P+0=")</f>
        <v>#REF!</v>
      </c>
      <c r="IE64" t="e">
        <f>AND('5to. Perito_B'!#REF!,"AAAAAHr/P+4=")</f>
        <v>#REF!</v>
      </c>
      <c r="IF64" t="e">
        <f>AND('5to. Perito_B'!#REF!,"AAAAAHr/P+8=")</f>
        <v>#REF!</v>
      </c>
      <c r="IG64" t="e">
        <f>AND('5to. Perito_B'!#REF!,"AAAAAHr/P/A=")</f>
        <v>#REF!</v>
      </c>
      <c r="IH64">
        <f>IF('5to. Perito_B'!26:26,"AAAAAHr/P/E=",0)</f>
        <v>0</v>
      </c>
      <c r="II64" t="e">
        <f>AND('5to. Perito_B'!A26,"AAAAAHr/P/I=")</f>
        <v>#VALUE!</v>
      </c>
      <c r="IJ64" t="e">
        <f>AND('5to. Perito_B'!B26,"AAAAAHr/P/M=")</f>
        <v>#VALUE!</v>
      </c>
      <c r="IK64" t="e">
        <f>AND('5to. Perito_B'!C26,"AAAAAHr/P/Q=")</f>
        <v>#VALUE!</v>
      </c>
      <c r="IL64" t="e">
        <f>AND('5to. Perito_B'!D26,"AAAAAHr/P/U=")</f>
        <v>#VALUE!</v>
      </c>
      <c r="IM64" t="e">
        <f>AND('5to. Perito_B'!E26,"AAAAAHr/P/Y=")</f>
        <v>#VALUE!</v>
      </c>
      <c r="IN64" t="e">
        <f>AND('5to. Perito_B'!F26,"AAAAAHr/P/c=")</f>
        <v>#VALUE!</v>
      </c>
      <c r="IO64" t="e">
        <f>AND('5to. Perito_B'!G26,"AAAAAHr/P/g=")</f>
        <v>#VALUE!</v>
      </c>
      <c r="IP64" t="e">
        <f>AND('5to. Perito_B'!H26,"AAAAAHr/P/k=")</f>
        <v>#VALUE!</v>
      </c>
      <c r="IQ64" t="e">
        <f>AND('5to. Perito_B'!I26,"AAAAAHr/P/o=")</f>
        <v>#VALUE!</v>
      </c>
      <c r="IR64" t="e">
        <f>AND('5to. Perito_B'!J26,"AAAAAHr/P/s=")</f>
        <v>#VALUE!</v>
      </c>
      <c r="IS64" t="e">
        <f>AND('5to. Perito_B'!K26,"AAAAAHr/P/w=")</f>
        <v>#VALUE!</v>
      </c>
      <c r="IT64" t="e">
        <f>AND('5to. Perito_B'!L26,"AAAAAHr/P/0=")</f>
        <v>#VALUE!</v>
      </c>
      <c r="IU64" t="e">
        <f>AND('5to. Perito_B'!M26,"AAAAAHr/P/4=")</f>
        <v>#VALUE!</v>
      </c>
      <c r="IV64" t="e">
        <f>AND('5to. Perito_B'!N26,"AAAAAHr/P/8=")</f>
        <v>#VALUE!</v>
      </c>
    </row>
    <row r="65" spans="1:256">
      <c r="A65" t="e">
        <f>AND('5to. Perito_B'!O26,"AAAAAHr1lwA=")</f>
        <v>#VALUE!</v>
      </c>
      <c r="B65" t="e">
        <f>AND('5to. Perito_B'!P26,"AAAAAHr1lwE=")</f>
        <v>#VALUE!</v>
      </c>
      <c r="C65" t="e">
        <f>AND('5to. Perito_B'!Q26,"AAAAAHr1lwI=")</f>
        <v>#VALUE!</v>
      </c>
      <c r="D65" t="e">
        <f>AND('5to. Perito_B'!R26,"AAAAAHr1lwM=")</f>
        <v>#VALUE!</v>
      </c>
      <c r="E65" t="e">
        <f>AND('5to. Perito_B'!S26,"AAAAAHr1lwQ=")</f>
        <v>#VALUE!</v>
      </c>
      <c r="F65" t="e">
        <f>AND('5to. Perito_B'!T26,"AAAAAHr1lwU=")</f>
        <v>#VALUE!</v>
      </c>
      <c r="G65" t="e">
        <f>AND('5to. Perito_B'!#REF!,"AAAAAHr1lwY=")</f>
        <v>#REF!</v>
      </c>
      <c r="H65" t="e">
        <f>AND('5to. Perito_B'!#REF!,"AAAAAHr1lwc=")</f>
        <v>#REF!</v>
      </c>
      <c r="I65" t="e">
        <f>AND('5to. Perito_B'!#REF!,"AAAAAHr1lwg=")</f>
        <v>#REF!</v>
      </c>
      <c r="J65" t="e">
        <f>AND('5to. Perito_B'!#REF!,"AAAAAHr1lwk=")</f>
        <v>#REF!</v>
      </c>
      <c r="K65" t="e">
        <f>AND('5to. Perito_B'!#REF!,"AAAAAHr1lwo=")</f>
        <v>#REF!</v>
      </c>
      <c r="L65">
        <f>IF('5to. Perito_B'!27:27,"AAAAAHr1lws=",0)</f>
        <v>0</v>
      </c>
      <c r="M65" t="e">
        <f>AND('5to. Perito_B'!A27,"AAAAAHr1lww=")</f>
        <v>#VALUE!</v>
      </c>
      <c r="N65" t="e">
        <f>AND('5to. Perito_B'!B27,"AAAAAHr1lw0=")</f>
        <v>#VALUE!</v>
      </c>
      <c r="O65" t="e">
        <f>AND('5to. Perito_B'!C27,"AAAAAHr1lw4=")</f>
        <v>#VALUE!</v>
      </c>
      <c r="P65" t="e">
        <f>AND('5to. Perito_B'!D27,"AAAAAHr1lw8=")</f>
        <v>#VALUE!</v>
      </c>
      <c r="Q65" t="e">
        <f>AND('5to. Perito_B'!E27,"AAAAAHr1lxA=")</f>
        <v>#VALUE!</v>
      </c>
      <c r="R65" t="e">
        <f>AND('5to. Perito_B'!F27,"AAAAAHr1lxE=")</f>
        <v>#VALUE!</v>
      </c>
      <c r="S65" t="e">
        <f>AND('5to. Perito_B'!G27,"AAAAAHr1lxI=")</f>
        <v>#VALUE!</v>
      </c>
      <c r="T65" t="e">
        <f>AND('5to. Perito_B'!H27,"AAAAAHr1lxM=")</f>
        <v>#VALUE!</v>
      </c>
      <c r="U65" t="e">
        <f>AND('5to. Perito_B'!I27,"AAAAAHr1lxQ=")</f>
        <v>#VALUE!</v>
      </c>
      <c r="V65" t="e">
        <f>AND('5to. Perito_B'!J27,"AAAAAHr1lxU=")</f>
        <v>#VALUE!</v>
      </c>
      <c r="W65" t="e">
        <f>AND('5to. Perito_B'!K27,"AAAAAHr1lxY=")</f>
        <v>#VALUE!</v>
      </c>
      <c r="X65" t="e">
        <f>AND('5to. Perito_B'!L27,"AAAAAHr1lxc=")</f>
        <v>#VALUE!</v>
      </c>
      <c r="Y65" t="e">
        <f>AND('5to. Perito_B'!M27,"AAAAAHr1lxg=")</f>
        <v>#VALUE!</v>
      </c>
      <c r="Z65" t="e">
        <f>AND('5to. Perito_B'!N27,"AAAAAHr1lxk=")</f>
        <v>#VALUE!</v>
      </c>
      <c r="AA65" t="e">
        <f>AND('5to. Perito_B'!O27,"AAAAAHr1lxo=")</f>
        <v>#VALUE!</v>
      </c>
      <c r="AB65" t="e">
        <f>AND('5to. Perito_B'!P27,"AAAAAHr1lxs=")</f>
        <v>#VALUE!</v>
      </c>
      <c r="AC65" t="e">
        <f>AND('5to. Perito_B'!Q27,"AAAAAHr1lxw=")</f>
        <v>#VALUE!</v>
      </c>
      <c r="AD65" t="e">
        <f>AND('5to. Perito_B'!R27,"AAAAAHr1lx0=")</f>
        <v>#VALUE!</v>
      </c>
      <c r="AE65" t="e">
        <f>AND('5to. Perito_B'!S27,"AAAAAHr1lx4=")</f>
        <v>#VALUE!</v>
      </c>
      <c r="AF65" t="e">
        <f>AND('5to. Perito_B'!T27,"AAAAAHr1lx8=")</f>
        <v>#VALUE!</v>
      </c>
      <c r="AG65" t="e">
        <f>AND('5to. Perito_B'!#REF!,"AAAAAHr1lyA=")</f>
        <v>#REF!</v>
      </c>
      <c r="AH65" t="e">
        <f>AND('5to. Perito_B'!#REF!,"AAAAAHr1lyE=")</f>
        <v>#REF!</v>
      </c>
      <c r="AI65" t="e">
        <f>AND('5to. Perito_B'!#REF!,"AAAAAHr1lyI=")</f>
        <v>#REF!</v>
      </c>
      <c r="AJ65" t="e">
        <f>AND('5to. Perito_B'!#REF!,"AAAAAHr1lyM=")</f>
        <v>#REF!</v>
      </c>
      <c r="AK65" t="e">
        <f>AND('5to. Perito_B'!#REF!,"AAAAAHr1lyQ=")</f>
        <v>#REF!</v>
      </c>
      <c r="AL65">
        <f>IF('5to. Perito_B'!28:28,"AAAAAHr1lyU=",0)</f>
        <v>0</v>
      </c>
      <c r="AM65" t="e">
        <f>AND('5to. Perito_B'!A28,"AAAAAHr1lyY=")</f>
        <v>#VALUE!</v>
      </c>
      <c r="AN65" t="e">
        <f>AND('5to. Perito_B'!B28,"AAAAAHr1lyc=")</f>
        <v>#VALUE!</v>
      </c>
      <c r="AO65" t="e">
        <f>AND('5to. Perito_B'!C28,"AAAAAHr1lyg=")</f>
        <v>#VALUE!</v>
      </c>
      <c r="AP65" t="e">
        <f>AND('5to. Perito_B'!D28,"AAAAAHr1lyk=")</f>
        <v>#VALUE!</v>
      </c>
      <c r="AQ65" t="e">
        <f>AND('5to. Perito_B'!E28,"AAAAAHr1lyo=")</f>
        <v>#VALUE!</v>
      </c>
      <c r="AR65" t="e">
        <f>AND('5to. Perito_B'!F28,"AAAAAHr1lys=")</f>
        <v>#VALUE!</v>
      </c>
      <c r="AS65" t="e">
        <f>AND('5to. Perito_B'!G28,"AAAAAHr1lyw=")</f>
        <v>#VALUE!</v>
      </c>
      <c r="AT65" t="e">
        <f>AND('5to. Perito_B'!H28,"AAAAAHr1ly0=")</f>
        <v>#VALUE!</v>
      </c>
      <c r="AU65" t="e">
        <f>AND('5to. Perito_B'!I28,"AAAAAHr1ly4=")</f>
        <v>#VALUE!</v>
      </c>
      <c r="AV65" t="e">
        <f>AND('5to. Perito_B'!J28,"AAAAAHr1ly8=")</f>
        <v>#VALUE!</v>
      </c>
      <c r="AW65" t="e">
        <f>AND('5to. Perito_B'!K28,"AAAAAHr1lzA=")</f>
        <v>#VALUE!</v>
      </c>
      <c r="AX65" t="e">
        <f>AND('5to. Perito_B'!L28,"AAAAAHr1lzE=")</f>
        <v>#VALUE!</v>
      </c>
      <c r="AY65" t="e">
        <f>AND('5to. Perito_B'!M28,"AAAAAHr1lzI=")</f>
        <v>#VALUE!</v>
      </c>
      <c r="AZ65" t="e">
        <f>AND('5to. Perito_B'!N28,"AAAAAHr1lzM=")</f>
        <v>#VALUE!</v>
      </c>
      <c r="BA65" t="e">
        <f>AND('5to. Perito_B'!O28,"AAAAAHr1lzQ=")</f>
        <v>#VALUE!</v>
      </c>
      <c r="BB65" t="e">
        <f>AND('5to. Perito_B'!P28,"AAAAAHr1lzU=")</f>
        <v>#VALUE!</v>
      </c>
      <c r="BC65" t="e">
        <f>AND('5to. Perito_B'!Q28,"AAAAAHr1lzY=")</f>
        <v>#VALUE!</v>
      </c>
      <c r="BD65" t="e">
        <f>AND('5to. Perito_B'!R28,"AAAAAHr1lzc=")</f>
        <v>#VALUE!</v>
      </c>
      <c r="BE65" t="e">
        <f>AND('5to. Perito_B'!S28,"AAAAAHr1lzg=")</f>
        <v>#VALUE!</v>
      </c>
      <c r="BF65" t="e">
        <f>AND('5to. Perito_B'!T28,"AAAAAHr1lzk=")</f>
        <v>#VALUE!</v>
      </c>
      <c r="BG65" t="e">
        <f>AND('5to. Perito_B'!#REF!,"AAAAAHr1lzo=")</f>
        <v>#REF!</v>
      </c>
      <c r="BH65" t="e">
        <f>AND('5to. Perito_B'!#REF!,"AAAAAHr1lzs=")</f>
        <v>#REF!</v>
      </c>
      <c r="BI65" t="e">
        <f>AND('5to. Perito_B'!#REF!,"AAAAAHr1lzw=")</f>
        <v>#REF!</v>
      </c>
      <c r="BJ65" t="e">
        <f>AND('5to. Perito_B'!#REF!,"AAAAAHr1lz0=")</f>
        <v>#REF!</v>
      </c>
      <c r="BK65" t="e">
        <f>AND('5to. Perito_B'!#REF!,"AAAAAHr1lz4=")</f>
        <v>#REF!</v>
      </c>
      <c r="BL65">
        <f>IF('5to. Perito_B'!29:29,"AAAAAHr1lz8=",0)</f>
        <v>0</v>
      </c>
      <c r="BM65" t="e">
        <f>AND('5to. Perito_B'!A29,"AAAAAHr1l0A=")</f>
        <v>#VALUE!</v>
      </c>
      <c r="BN65" t="e">
        <f>AND('5to. Perito_B'!B29,"AAAAAHr1l0E=")</f>
        <v>#VALUE!</v>
      </c>
      <c r="BO65" t="e">
        <f>AND('5to. Perito_B'!C29,"AAAAAHr1l0I=")</f>
        <v>#VALUE!</v>
      </c>
      <c r="BP65" t="e">
        <f>AND('5to. Perito_B'!D29,"AAAAAHr1l0M=")</f>
        <v>#VALUE!</v>
      </c>
      <c r="BQ65" t="e">
        <f>AND('5to. Perito_B'!E29,"AAAAAHr1l0Q=")</f>
        <v>#VALUE!</v>
      </c>
      <c r="BR65" t="e">
        <f>AND('5to. Perito_B'!F29,"AAAAAHr1l0U=")</f>
        <v>#VALUE!</v>
      </c>
      <c r="BS65" t="e">
        <f>AND('5to. Perito_B'!G29,"AAAAAHr1l0Y=")</f>
        <v>#VALUE!</v>
      </c>
      <c r="BT65" t="e">
        <f>AND('5to. Perito_B'!H29,"AAAAAHr1l0c=")</f>
        <v>#VALUE!</v>
      </c>
      <c r="BU65" t="e">
        <f>AND('5to. Perito_B'!I29,"AAAAAHr1l0g=")</f>
        <v>#VALUE!</v>
      </c>
      <c r="BV65" t="e">
        <f>AND('5to. Perito_B'!J29,"AAAAAHr1l0k=")</f>
        <v>#VALUE!</v>
      </c>
      <c r="BW65" t="e">
        <f>AND('5to. Perito_B'!K29,"AAAAAHr1l0o=")</f>
        <v>#VALUE!</v>
      </c>
      <c r="BX65" t="e">
        <f>AND('5to. Perito_B'!L29,"AAAAAHr1l0s=")</f>
        <v>#VALUE!</v>
      </c>
      <c r="BY65" t="e">
        <f>AND('5to. Perito_B'!M29,"AAAAAHr1l0w=")</f>
        <v>#VALUE!</v>
      </c>
      <c r="BZ65" t="e">
        <f>AND('5to. Perito_B'!N29,"AAAAAHr1l00=")</f>
        <v>#VALUE!</v>
      </c>
      <c r="CA65" t="e">
        <f>AND('5to. Perito_B'!O29,"AAAAAHr1l04=")</f>
        <v>#VALUE!</v>
      </c>
      <c r="CB65" t="e">
        <f>AND('5to. Perito_B'!P29,"AAAAAHr1l08=")</f>
        <v>#VALUE!</v>
      </c>
      <c r="CC65" t="e">
        <f>AND('5to. Perito_B'!Q29,"AAAAAHr1l1A=")</f>
        <v>#VALUE!</v>
      </c>
      <c r="CD65" t="e">
        <f>AND('5to. Perito_B'!R29,"AAAAAHr1l1E=")</f>
        <v>#VALUE!</v>
      </c>
      <c r="CE65" t="e">
        <f>AND('5to. Perito_B'!S29,"AAAAAHr1l1I=")</f>
        <v>#VALUE!</v>
      </c>
      <c r="CF65" t="e">
        <f>AND('5to. Perito_B'!T29,"AAAAAHr1l1M=")</f>
        <v>#VALUE!</v>
      </c>
      <c r="CG65" t="e">
        <f>AND('5to. Perito_B'!#REF!,"AAAAAHr1l1Q=")</f>
        <v>#REF!</v>
      </c>
      <c r="CH65" t="e">
        <f>AND('5to. Perito_B'!#REF!,"AAAAAHr1l1U=")</f>
        <v>#REF!</v>
      </c>
      <c r="CI65" t="e">
        <f>AND('5to. Perito_B'!#REF!,"AAAAAHr1l1Y=")</f>
        <v>#REF!</v>
      </c>
      <c r="CJ65" t="e">
        <f>AND('5to. Perito_B'!#REF!,"AAAAAHr1l1c=")</f>
        <v>#REF!</v>
      </c>
      <c r="CK65" t="e">
        <f>AND('5to. Perito_B'!#REF!,"AAAAAHr1l1g=")</f>
        <v>#REF!</v>
      </c>
      <c r="CL65">
        <f>IF('5to. Perito_B'!30:30,"AAAAAHr1l1k=",0)</f>
        <v>0</v>
      </c>
      <c r="CM65" t="e">
        <f>AND('5to. Perito_B'!A30,"AAAAAHr1l1o=")</f>
        <v>#VALUE!</v>
      </c>
      <c r="CN65" t="e">
        <f>AND('5to. Perito_B'!B30,"AAAAAHr1l1s=")</f>
        <v>#VALUE!</v>
      </c>
      <c r="CO65" t="e">
        <f>AND('5to. Perito_B'!C30,"AAAAAHr1l1w=")</f>
        <v>#VALUE!</v>
      </c>
      <c r="CP65" t="e">
        <f>AND('5to. Perito_B'!D30,"AAAAAHr1l10=")</f>
        <v>#VALUE!</v>
      </c>
      <c r="CQ65" t="e">
        <f>AND('5to. Perito_B'!E30,"AAAAAHr1l14=")</f>
        <v>#VALUE!</v>
      </c>
      <c r="CR65" t="e">
        <f>AND('5to. Perito_B'!F30,"AAAAAHr1l18=")</f>
        <v>#VALUE!</v>
      </c>
      <c r="CS65" t="e">
        <f>AND('5to. Perito_B'!G30,"AAAAAHr1l2A=")</f>
        <v>#VALUE!</v>
      </c>
      <c r="CT65" t="e">
        <f>AND('5to. Perito_B'!H30,"AAAAAHr1l2E=")</f>
        <v>#VALUE!</v>
      </c>
      <c r="CU65" t="e">
        <f>AND('5to. Perito_B'!I30,"AAAAAHr1l2I=")</f>
        <v>#VALUE!</v>
      </c>
      <c r="CV65" t="e">
        <f>AND('5to. Perito_B'!J30,"AAAAAHr1l2M=")</f>
        <v>#VALUE!</v>
      </c>
      <c r="CW65" t="e">
        <f>AND('5to. Perito_B'!K30,"AAAAAHr1l2Q=")</f>
        <v>#VALUE!</v>
      </c>
      <c r="CX65" t="e">
        <f>AND('5to. Perito_B'!L30,"AAAAAHr1l2U=")</f>
        <v>#VALUE!</v>
      </c>
      <c r="CY65" t="e">
        <f>AND('5to. Perito_B'!M30,"AAAAAHr1l2Y=")</f>
        <v>#VALUE!</v>
      </c>
      <c r="CZ65" t="e">
        <f>AND('5to. Perito_B'!N30,"AAAAAHr1l2c=")</f>
        <v>#VALUE!</v>
      </c>
      <c r="DA65" t="e">
        <f>AND('5to. Perito_B'!O30,"AAAAAHr1l2g=")</f>
        <v>#VALUE!</v>
      </c>
      <c r="DB65" t="e">
        <f>AND('5to. Perito_B'!P30,"AAAAAHr1l2k=")</f>
        <v>#VALUE!</v>
      </c>
      <c r="DC65" t="e">
        <f>AND('5to. Perito_B'!Q30,"AAAAAHr1l2o=")</f>
        <v>#VALUE!</v>
      </c>
      <c r="DD65" t="e">
        <f>AND('5to. Perito_B'!R30,"AAAAAHr1l2s=")</f>
        <v>#VALUE!</v>
      </c>
      <c r="DE65" t="e">
        <f>AND('5to. Perito_B'!S30,"AAAAAHr1l2w=")</f>
        <v>#VALUE!</v>
      </c>
      <c r="DF65" t="e">
        <f>AND('5to. Perito_B'!T30,"AAAAAHr1l20=")</f>
        <v>#VALUE!</v>
      </c>
      <c r="DG65" t="e">
        <f>AND('5to. Perito_B'!#REF!,"AAAAAHr1l24=")</f>
        <v>#REF!</v>
      </c>
      <c r="DH65" t="e">
        <f>AND('5to. Perito_B'!#REF!,"AAAAAHr1l28=")</f>
        <v>#REF!</v>
      </c>
      <c r="DI65" t="e">
        <f>AND('5to. Perito_B'!#REF!,"AAAAAHr1l3A=")</f>
        <v>#REF!</v>
      </c>
      <c r="DJ65" t="e">
        <f>AND('5to. Perito_B'!#REF!,"AAAAAHr1l3E=")</f>
        <v>#REF!</v>
      </c>
      <c r="DK65" t="e">
        <f>AND('5to. Perito_B'!#REF!,"AAAAAHr1l3I=")</f>
        <v>#REF!</v>
      </c>
      <c r="DL65">
        <f>IF('5to. Perito_B'!31:31,"AAAAAHr1l3M=",0)</f>
        <v>0</v>
      </c>
      <c r="DM65" t="e">
        <f>AND('5to. Perito_B'!A31,"AAAAAHr1l3Q=")</f>
        <v>#VALUE!</v>
      </c>
      <c r="DN65" t="e">
        <f>AND('5to. Perito_B'!B31,"AAAAAHr1l3U=")</f>
        <v>#VALUE!</v>
      </c>
      <c r="DO65" t="e">
        <f>AND('5to. Perito_B'!C31,"AAAAAHr1l3Y=")</f>
        <v>#VALUE!</v>
      </c>
      <c r="DP65" t="e">
        <f>AND('5to. Perito_B'!D31,"AAAAAHr1l3c=")</f>
        <v>#VALUE!</v>
      </c>
      <c r="DQ65" t="e">
        <f>AND('5to. Perito_B'!E31,"AAAAAHr1l3g=")</f>
        <v>#VALUE!</v>
      </c>
      <c r="DR65" t="e">
        <f>AND('5to. Perito_B'!F31,"AAAAAHr1l3k=")</f>
        <v>#VALUE!</v>
      </c>
      <c r="DS65" t="e">
        <f>AND('5to. Perito_B'!G31,"AAAAAHr1l3o=")</f>
        <v>#VALUE!</v>
      </c>
      <c r="DT65" t="e">
        <f>AND('5to. Perito_B'!H31,"AAAAAHr1l3s=")</f>
        <v>#VALUE!</v>
      </c>
      <c r="DU65" t="e">
        <f>AND('5to. Perito_B'!I31,"AAAAAHr1l3w=")</f>
        <v>#VALUE!</v>
      </c>
      <c r="DV65" t="e">
        <f>AND('5to. Perito_B'!J31,"AAAAAHr1l30=")</f>
        <v>#VALUE!</v>
      </c>
      <c r="DW65" t="e">
        <f>AND('5to. Perito_B'!K31,"AAAAAHr1l34=")</f>
        <v>#VALUE!</v>
      </c>
      <c r="DX65" t="e">
        <f>AND('5to. Perito_B'!L31,"AAAAAHr1l38=")</f>
        <v>#VALUE!</v>
      </c>
      <c r="DY65" t="e">
        <f>AND('5to. Perito_B'!M31,"AAAAAHr1l4A=")</f>
        <v>#VALUE!</v>
      </c>
      <c r="DZ65" t="e">
        <f>AND('5to. Perito_B'!N31,"AAAAAHr1l4E=")</f>
        <v>#VALUE!</v>
      </c>
      <c r="EA65" t="e">
        <f>AND('5to. Perito_B'!O31,"AAAAAHr1l4I=")</f>
        <v>#VALUE!</v>
      </c>
      <c r="EB65" t="e">
        <f>AND('5to. Perito_B'!P31,"AAAAAHr1l4M=")</f>
        <v>#VALUE!</v>
      </c>
      <c r="EC65" t="e">
        <f>AND('5to. Perito_B'!Q31,"AAAAAHr1l4Q=")</f>
        <v>#VALUE!</v>
      </c>
      <c r="ED65" t="e">
        <f>AND('5to. Perito_B'!R31,"AAAAAHr1l4U=")</f>
        <v>#VALUE!</v>
      </c>
      <c r="EE65" t="e">
        <f>AND('5to. Perito_B'!S31,"AAAAAHr1l4Y=")</f>
        <v>#VALUE!</v>
      </c>
      <c r="EF65" t="e">
        <f>AND('5to. Perito_B'!T31,"AAAAAHr1l4c=")</f>
        <v>#VALUE!</v>
      </c>
      <c r="EG65" t="e">
        <f>AND('5to. Perito_B'!#REF!,"AAAAAHr1l4g=")</f>
        <v>#REF!</v>
      </c>
      <c r="EH65" t="e">
        <f>AND('5to. Perito_B'!#REF!,"AAAAAHr1l4k=")</f>
        <v>#REF!</v>
      </c>
      <c r="EI65" t="e">
        <f>AND('5to. Perito_B'!#REF!,"AAAAAHr1l4o=")</f>
        <v>#REF!</v>
      </c>
      <c r="EJ65" t="e">
        <f>AND('5to. Perito_B'!#REF!,"AAAAAHr1l4s=")</f>
        <v>#REF!</v>
      </c>
      <c r="EK65" t="e">
        <f>AND('5to. Perito_B'!#REF!,"AAAAAHr1l4w=")</f>
        <v>#REF!</v>
      </c>
      <c r="EL65">
        <f>IF('5to. Perito_B'!32:32,"AAAAAHr1l40=",0)</f>
        <v>0</v>
      </c>
      <c r="EM65" t="e">
        <f>AND('5to. Perito_B'!A32,"AAAAAHr1l44=")</f>
        <v>#VALUE!</v>
      </c>
      <c r="EN65" t="e">
        <f>AND('5to. Perito_B'!B32,"AAAAAHr1l48=")</f>
        <v>#VALUE!</v>
      </c>
      <c r="EO65" t="e">
        <f>AND('5to. Perito_B'!C32,"AAAAAHr1l5A=")</f>
        <v>#VALUE!</v>
      </c>
      <c r="EP65" t="e">
        <f>AND('5to. Perito_B'!D32,"AAAAAHr1l5E=")</f>
        <v>#VALUE!</v>
      </c>
      <c r="EQ65" t="e">
        <f>AND('5to. Perito_B'!E32,"AAAAAHr1l5I=")</f>
        <v>#VALUE!</v>
      </c>
      <c r="ER65" t="e">
        <f>AND('5to. Perito_B'!F32,"AAAAAHr1l5M=")</f>
        <v>#VALUE!</v>
      </c>
      <c r="ES65" t="e">
        <f>AND('5to. Perito_B'!G32,"AAAAAHr1l5Q=")</f>
        <v>#VALUE!</v>
      </c>
      <c r="ET65" t="e">
        <f>AND('5to. Perito_B'!H32,"AAAAAHr1l5U=")</f>
        <v>#VALUE!</v>
      </c>
      <c r="EU65" t="e">
        <f>AND('5to. Perito_B'!I32,"AAAAAHr1l5Y=")</f>
        <v>#VALUE!</v>
      </c>
      <c r="EV65" t="e">
        <f>AND('5to. Perito_B'!J32,"AAAAAHr1l5c=")</f>
        <v>#VALUE!</v>
      </c>
      <c r="EW65" t="e">
        <f>AND('5to. Perito_B'!K32,"AAAAAHr1l5g=")</f>
        <v>#VALUE!</v>
      </c>
      <c r="EX65" t="e">
        <f>AND('5to. Perito_B'!L32,"AAAAAHr1l5k=")</f>
        <v>#VALUE!</v>
      </c>
      <c r="EY65" t="e">
        <f>AND('5to. Perito_B'!M32,"AAAAAHr1l5o=")</f>
        <v>#VALUE!</v>
      </c>
      <c r="EZ65" t="e">
        <f>AND('5to. Perito_B'!N32,"AAAAAHr1l5s=")</f>
        <v>#VALUE!</v>
      </c>
      <c r="FA65" t="e">
        <f>AND('5to. Perito_B'!O32,"AAAAAHr1l5w=")</f>
        <v>#VALUE!</v>
      </c>
      <c r="FB65" t="e">
        <f>AND('5to. Perito_B'!P32,"AAAAAHr1l50=")</f>
        <v>#VALUE!</v>
      </c>
      <c r="FC65" t="e">
        <f>AND('5to. Perito_B'!Q32,"AAAAAHr1l54=")</f>
        <v>#VALUE!</v>
      </c>
      <c r="FD65" t="e">
        <f>AND('5to. Perito_B'!R32,"AAAAAHr1l58=")</f>
        <v>#VALUE!</v>
      </c>
      <c r="FE65" t="e">
        <f>AND('5to. Perito_B'!S32,"AAAAAHr1l6A=")</f>
        <v>#VALUE!</v>
      </c>
      <c r="FF65" t="e">
        <f>AND('5to. Perito_B'!T32,"AAAAAHr1l6E=")</f>
        <v>#VALUE!</v>
      </c>
      <c r="FG65" t="e">
        <f>AND('5to. Perito_B'!#REF!,"AAAAAHr1l6I=")</f>
        <v>#REF!</v>
      </c>
      <c r="FH65" t="e">
        <f>AND('5to. Perito_B'!#REF!,"AAAAAHr1l6M=")</f>
        <v>#REF!</v>
      </c>
      <c r="FI65" t="e">
        <f>AND('5to. Perito_B'!#REF!,"AAAAAHr1l6Q=")</f>
        <v>#REF!</v>
      </c>
      <c r="FJ65" t="e">
        <f>AND('5to. Perito_B'!#REF!,"AAAAAHr1l6U=")</f>
        <v>#REF!</v>
      </c>
      <c r="FK65" t="e">
        <f>AND('5to. Perito_B'!#REF!,"AAAAAHr1l6Y=")</f>
        <v>#REF!</v>
      </c>
      <c r="FL65">
        <f>IF('5to. Perito_B'!33:33,"AAAAAHr1l6c=",0)</f>
        <v>0</v>
      </c>
      <c r="FM65" t="e">
        <f>AND('5to. Perito_B'!A33,"AAAAAHr1l6g=")</f>
        <v>#VALUE!</v>
      </c>
      <c r="FN65" t="e">
        <f>AND('5to. Perito_B'!B33,"AAAAAHr1l6k=")</f>
        <v>#VALUE!</v>
      </c>
      <c r="FO65" t="e">
        <f>AND('5to. Perito_B'!C33,"AAAAAHr1l6o=")</f>
        <v>#VALUE!</v>
      </c>
      <c r="FP65" t="e">
        <f>AND('5to. Perito_B'!D33,"AAAAAHr1l6s=")</f>
        <v>#VALUE!</v>
      </c>
      <c r="FQ65" t="e">
        <f>AND('5to. Perito_B'!E33,"AAAAAHr1l6w=")</f>
        <v>#VALUE!</v>
      </c>
      <c r="FR65" t="e">
        <f>AND('5to. Perito_B'!F33,"AAAAAHr1l60=")</f>
        <v>#VALUE!</v>
      </c>
      <c r="FS65" t="e">
        <f>AND('5to. Perito_B'!G33,"AAAAAHr1l64=")</f>
        <v>#VALUE!</v>
      </c>
      <c r="FT65" t="e">
        <f>AND('5to. Perito_B'!H33,"AAAAAHr1l68=")</f>
        <v>#VALUE!</v>
      </c>
      <c r="FU65" t="e">
        <f>AND('5to. Perito_B'!I33,"AAAAAHr1l7A=")</f>
        <v>#VALUE!</v>
      </c>
      <c r="FV65" t="e">
        <f>AND('5to. Perito_B'!J33,"AAAAAHr1l7E=")</f>
        <v>#VALUE!</v>
      </c>
      <c r="FW65" t="e">
        <f>AND('5to. Perito_B'!K33,"AAAAAHr1l7I=")</f>
        <v>#VALUE!</v>
      </c>
      <c r="FX65" t="e">
        <f>AND('5to. Perito_B'!L33,"AAAAAHr1l7M=")</f>
        <v>#VALUE!</v>
      </c>
      <c r="FY65" t="e">
        <f>AND('5to. Perito_B'!M33,"AAAAAHr1l7Q=")</f>
        <v>#VALUE!</v>
      </c>
      <c r="FZ65" t="e">
        <f>AND('5to. Perito_B'!N33,"AAAAAHr1l7U=")</f>
        <v>#VALUE!</v>
      </c>
      <c r="GA65" t="e">
        <f>AND('5to. Perito_B'!O33,"AAAAAHr1l7Y=")</f>
        <v>#VALUE!</v>
      </c>
      <c r="GB65" t="e">
        <f>AND('5to. Perito_B'!P33,"AAAAAHr1l7c=")</f>
        <v>#VALUE!</v>
      </c>
      <c r="GC65" t="e">
        <f>AND('5to. Perito_B'!Q33,"AAAAAHr1l7g=")</f>
        <v>#VALUE!</v>
      </c>
      <c r="GD65" t="e">
        <f>AND('5to. Perito_B'!R33,"AAAAAHr1l7k=")</f>
        <v>#VALUE!</v>
      </c>
      <c r="GE65" t="e">
        <f>AND('5to. Perito_B'!S33,"AAAAAHr1l7o=")</f>
        <v>#VALUE!</v>
      </c>
      <c r="GF65" t="e">
        <f>AND('5to. Perito_B'!T33,"AAAAAHr1l7s=")</f>
        <v>#VALUE!</v>
      </c>
      <c r="GG65" t="e">
        <f>AND('5to. Perito_B'!#REF!,"AAAAAHr1l7w=")</f>
        <v>#REF!</v>
      </c>
      <c r="GH65" t="e">
        <f>AND('5to. Perito_B'!#REF!,"AAAAAHr1l70=")</f>
        <v>#REF!</v>
      </c>
      <c r="GI65" t="e">
        <f>AND('5to. Perito_B'!#REF!,"AAAAAHr1l74=")</f>
        <v>#REF!</v>
      </c>
      <c r="GJ65" t="e">
        <f>AND('5to. Perito_B'!#REF!,"AAAAAHr1l78=")</f>
        <v>#REF!</v>
      </c>
      <c r="GK65" t="e">
        <f>AND('5to. Perito_B'!#REF!,"AAAAAHr1l8A=")</f>
        <v>#REF!</v>
      </c>
      <c r="GL65">
        <f>IF('5to. Perito_B'!34:34,"AAAAAHr1l8E=",0)</f>
        <v>0</v>
      </c>
      <c r="GM65" t="e">
        <f>AND('5to. Perito_B'!A34,"AAAAAHr1l8I=")</f>
        <v>#VALUE!</v>
      </c>
      <c r="GN65" t="e">
        <f>AND('5to. Perito_B'!B34,"AAAAAHr1l8M=")</f>
        <v>#VALUE!</v>
      </c>
      <c r="GO65" t="e">
        <f>AND('5to. Perito_B'!C34,"AAAAAHr1l8Q=")</f>
        <v>#VALUE!</v>
      </c>
      <c r="GP65" t="e">
        <f>AND('5to. Perito_B'!D34,"AAAAAHr1l8U=")</f>
        <v>#VALUE!</v>
      </c>
      <c r="GQ65" t="e">
        <f>AND('5to. Perito_B'!E34,"AAAAAHr1l8Y=")</f>
        <v>#VALUE!</v>
      </c>
      <c r="GR65" t="e">
        <f>AND('5to. Perito_B'!F34,"AAAAAHr1l8c=")</f>
        <v>#VALUE!</v>
      </c>
      <c r="GS65" t="e">
        <f>AND('5to. Perito_B'!G34,"AAAAAHr1l8g=")</f>
        <v>#VALUE!</v>
      </c>
      <c r="GT65" t="e">
        <f>AND('5to. Perito_B'!H34,"AAAAAHr1l8k=")</f>
        <v>#VALUE!</v>
      </c>
      <c r="GU65" t="e">
        <f>AND('5to. Perito_B'!I34,"AAAAAHr1l8o=")</f>
        <v>#VALUE!</v>
      </c>
      <c r="GV65" t="e">
        <f>AND('5to. Perito_B'!J34,"AAAAAHr1l8s=")</f>
        <v>#VALUE!</v>
      </c>
      <c r="GW65" t="e">
        <f>AND('5to. Perito_B'!K34,"AAAAAHr1l8w=")</f>
        <v>#VALUE!</v>
      </c>
      <c r="GX65" t="e">
        <f>AND('5to. Perito_B'!L34,"AAAAAHr1l80=")</f>
        <v>#VALUE!</v>
      </c>
      <c r="GY65" t="e">
        <f>AND('5to. Perito_B'!M34,"AAAAAHr1l84=")</f>
        <v>#VALUE!</v>
      </c>
      <c r="GZ65" t="e">
        <f>AND('5to. Perito_B'!N34,"AAAAAHr1l88=")</f>
        <v>#VALUE!</v>
      </c>
      <c r="HA65" t="e">
        <f>AND('5to. Perito_B'!O34,"AAAAAHr1l9A=")</f>
        <v>#VALUE!</v>
      </c>
      <c r="HB65" t="e">
        <f>AND('5to. Perito_B'!P34,"AAAAAHr1l9E=")</f>
        <v>#VALUE!</v>
      </c>
      <c r="HC65" t="e">
        <f>AND('5to. Perito_B'!Q34,"AAAAAHr1l9I=")</f>
        <v>#VALUE!</v>
      </c>
      <c r="HD65" t="e">
        <f>AND('5to. Perito_B'!R34,"AAAAAHr1l9M=")</f>
        <v>#VALUE!</v>
      </c>
      <c r="HE65" t="e">
        <f>AND('5to. Perito_B'!S34,"AAAAAHr1l9Q=")</f>
        <v>#VALUE!</v>
      </c>
      <c r="HF65" t="e">
        <f>AND('5to. Perito_B'!T34,"AAAAAHr1l9U=")</f>
        <v>#VALUE!</v>
      </c>
      <c r="HG65" t="e">
        <f>AND('5to. Perito_B'!#REF!,"AAAAAHr1l9Y=")</f>
        <v>#REF!</v>
      </c>
      <c r="HH65" t="e">
        <f>AND('5to. Perito_B'!#REF!,"AAAAAHr1l9c=")</f>
        <v>#REF!</v>
      </c>
      <c r="HI65" t="e">
        <f>AND('5to. Perito_B'!#REF!,"AAAAAHr1l9g=")</f>
        <v>#REF!</v>
      </c>
      <c r="HJ65" t="e">
        <f>AND('5to. Perito_B'!#REF!,"AAAAAHr1l9k=")</f>
        <v>#REF!</v>
      </c>
      <c r="HK65" t="e">
        <f>AND('5to. Perito_B'!#REF!,"AAAAAHr1l9o=")</f>
        <v>#REF!</v>
      </c>
      <c r="HL65">
        <f>IF('5to. Perito_B'!35:35,"AAAAAHr1l9s=",0)</f>
        <v>0</v>
      </c>
      <c r="HM65" t="e">
        <f>AND('5to. Perito_B'!A35,"AAAAAHr1l9w=")</f>
        <v>#VALUE!</v>
      </c>
      <c r="HN65" t="e">
        <f>AND('5to. Perito_B'!B35,"AAAAAHr1l90=")</f>
        <v>#VALUE!</v>
      </c>
      <c r="HO65" t="e">
        <f>AND('5to. Perito_B'!C35,"AAAAAHr1l94=")</f>
        <v>#VALUE!</v>
      </c>
      <c r="HP65" t="e">
        <f>AND('5to. Perito_B'!D35,"AAAAAHr1l98=")</f>
        <v>#VALUE!</v>
      </c>
      <c r="HQ65" t="e">
        <f>AND('5to. Perito_B'!E35,"AAAAAHr1l+A=")</f>
        <v>#VALUE!</v>
      </c>
      <c r="HR65" t="e">
        <f>AND('5to. Perito_B'!F35,"AAAAAHr1l+E=")</f>
        <v>#VALUE!</v>
      </c>
      <c r="HS65" t="e">
        <f>AND('5to. Perito_B'!G35,"AAAAAHr1l+I=")</f>
        <v>#VALUE!</v>
      </c>
      <c r="HT65" t="e">
        <f>AND('5to. Perito_B'!H35,"AAAAAHr1l+M=")</f>
        <v>#VALUE!</v>
      </c>
      <c r="HU65" t="e">
        <f>AND('5to. Perito_B'!I35,"AAAAAHr1l+Q=")</f>
        <v>#VALUE!</v>
      </c>
      <c r="HV65" t="e">
        <f>AND('5to. Perito_B'!J35,"AAAAAHr1l+U=")</f>
        <v>#VALUE!</v>
      </c>
      <c r="HW65" t="e">
        <f>AND('5to. Perito_B'!K35,"AAAAAHr1l+Y=")</f>
        <v>#VALUE!</v>
      </c>
      <c r="HX65" t="e">
        <f>AND('5to. Perito_B'!L35,"AAAAAHr1l+c=")</f>
        <v>#VALUE!</v>
      </c>
      <c r="HY65" t="e">
        <f>AND('5to. Perito_B'!M35,"AAAAAHr1l+g=")</f>
        <v>#VALUE!</v>
      </c>
      <c r="HZ65" t="e">
        <f>AND('5to. Perito_B'!N35,"AAAAAHr1l+k=")</f>
        <v>#VALUE!</v>
      </c>
      <c r="IA65" t="e">
        <f>AND('5to. Perito_B'!O35,"AAAAAHr1l+o=")</f>
        <v>#VALUE!</v>
      </c>
      <c r="IB65" t="e">
        <f>AND('5to. Perito_B'!P35,"AAAAAHr1l+s=")</f>
        <v>#VALUE!</v>
      </c>
      <c r="IC65" t="e">
        <f>AND('5to. Perito_B'!Q35,"AAAAAHr1l+w=")</f>
        <v>#VALUE!</v>
      </c>
      <c r="ID65" t="e">
        <f>AND('5to. Perito_B'!R35,"AAAAAHr1l+0=")</f>
        <v>#VALUE!</v>
      </c>
      <c r="IE65" t="e">
        <f>AND('5to. Perito_B'!S35,"AAAAAHr1l+4=")</f>
        <v>#VALUE!</v>
      </c>
      <c r="IF65" t="e">
        <f>AND('5to. Perito_B'!T35,"AAAAAHr1l+8=")</f>
        <v>#VALUE!</v>
      </c>
      <c r="IG65" t="e">
        <f>AND('5to. Perito_B'!#REF!,"AAAAAHr1l/A=")</f>
        <v>#REF!</v>
      </c>
      <c r="IH65" t="e">
        <f>AND('5to. Perito_B'!#REF!,"AAAAAHr1l/E=")</f>
        <v>#REF!</v>
      </c>
      <c r="II65" t="e">
        <f>AND('5to. Perito_B'!#REF!,"AAAAAHr1l/I=")</f>
        <v>#REF!</v>
      </c>
      <c r="IJ65" t="e">
        <f>AND('5to. Perito_B'!#REF!,"AAAAAHr1l/M=")</f>
        <v>#REF!</v>
      </c>
      <c r="IK65" t="e">
        <f>AND('5to. Perito_B'!#REF!,"AAAAAHr1l/Q=")</f>
        <v>#REF!</v>
      </c>
      <c r="IL65">
        <f>IF('5to. Perito_B'!36:36,"AAAAAHr1l/U=",0)</f>
        <v>0</v>
      </c>
      <c r="IM65" t="e">
        <f>AND('5to. Perito_B'!A36,"AAAAAHr1l/Y=")</f>
        <v>#VALUE!</v>
      </c>
      <c r="IN65" t="e">
        <f>AND('5to. Perito_B'!B36,"AAAAAHr1l/c=")</f>
        <v>#VALUE!</v>
      </c>
      <c r="IO65" t="e">
        <f>AND('5to. Perito_B'!C36,"AAAAAHr1l/g=")</f>
        <v>#VALUE!</v>
      </c>
      <c r="IP65" t="e">
        <f>AND('5to. Perito_B'!D36,"AAAAAHr1l/k=")</f>
        <v>#VALUE!</v>
      </c>
      <c r="IQ65" t="e">
        <f>AND('5to. Perito_B'!E36,"AAAAAHr1l/o=")</f>
        <v>#VALUE!</v>
      </c>
      <c r="IR65" t="e">
        <f>AND('5to. Perito_B'!F36,"AAAAAHr1l/s=")</f>
        <v>#VALUE!</v>
      </c>
      <c r="IS65" t="e">
        <f>AND('5to. Perito_B'!G36,"AAAAAHr1l/w=")</f>
        <v>#VALUE!</v>
      </c>
      <c r="IT65" t="e">
        <f>AND('5to. Perito_B'!H36,"AAAAAHr1l/0=")</f>
        <v>#VALUE!</v>
      </c>
      <c r="IU65" t="e">
        <f>AND('5to. Perito_B'!I36,"AAAAAHr1l/4=")</f>
        <v>#VALUE!</v>
      </c>
      <c r="IV65" t="e">
        <f>AND('5to. Perito_B'!J36,"AAAAAHr1l/8=")</f>
        <v>#VALUE!</v>
      </c>
    </row>
    <row r="66" spans="1:256">
      <c r="A66" t="e">
        <f>AND('5to. Perito_B'!K36,"AAAAACV/rgA=")</f>
        <v>#VALUE!</v>
      </c>
      <c r="B66" t="e">
        <f>AND('5to. Perito_B'!L36,"AAAAACV/rgE=")</f>
        <v>#VALUE!</v>
      </c>
      <c r="C66" t="e">
        <f>AND('5to. Perito_B'!M36,"AAAAACV/rgI=")</f>
        <v>#VALUE!</v>
      </c>
      <c r="D66" t="e">
        <f>AND('5to. Perito_B'!N36,"AAAAACV/rgM=")</f>
        <v>#VALUE!</v>
      </c>
      <c r="E66" t="e">
        <f>AND('5to. Perito_B'!O36,"AAAAACV/rgQ=")</f>
        <v>#VALUE!</v>
      </c>
      <c r="F66" t="e">
        <f>AND('5to. Perito_B'!P36,"AAAAACV/rgU=")</f>
        <v>#VALUE!</v>
      </c>
      <c r="G66" t="e">
        <f>AND('5to. Perito_B'!Q36,"AAAAACV/rgY=")</f>
        <v>#VALUE!</v>
      </c>
      <c r="H66" t="e">
        <f>AND('5to. Perito_B'!R36,"AAAAACV/rgc=")</f>
        <v>#VALUE!</v>
      </c>
      <c r="I66" t="e">
        <f>AND('5to. Perito_B'!S36,"AAAAACV/rgg=")</f>
        <v>#VALUE!</v>
      </c>
      <c r="J66" t="e">
        <f>AND('5to. Perito_B'!T36,"AAAAACV/rgk=")</f>
        <v>#VALUE!</v>
      </c>
      <c r="K66" t="e">
        <f>AND('5to. Perito_B'!#REF!,"AAAAACV/rgo=")</f>
        <v>#REF!</v>
      </c>
      <c r="L66" t="e">
        <f>AND('5to. Perito_B'!#REF!,"AAAAACV/rgs=")</f>
        <v>#REF!</v>
      </c>
      <c r="M66" t="e">
        <f>AND('5to. Perito_B'!#REF!,"AAAAACV/rgw=")</f>
        <v>#REF!</v>
      </c>
      <c r="N66" t="e">
        <f>AND('5to. Perito_B'!#REF!,"AAAAACV/rg0=")</f>
        <v>#REF!</v>
      </c>
      <c r="O66" t="e">
        <f>AND('5to. Perito_B'!#REF!,"AAAAACV/rg4=")</f>
        <v>#REF!</v>
      </c>
      <c r="P66">
        <f>IF('5to. Perito_B'!37:37,"AAAAACV/rg8=",0)</f>
        <v>0</v>
      </c>
      <c r="Q66" t="e">
        <f>AND('5to. Perito_B'!A37,"AAAAACV/rhA=")</f>
        <v>#VALUE!</v>
      </c>
      <c r="R66" t="e">
        <f>AND('5to. Perito_B'!B37,"AAAAACV/rhE=")</f>
        <v>#VALUE!</v>
      </c>
      <c r="S66" t="e">
        <f>AND('5to. Perito_B'!C37,"AAAAACV/rhI=")</f>
        <v>#VALUE!</v>
      </c>
      <c r="T66" t="e">
        <f>AND('5to. Perito_B'!D37,"AAAAACV/rhM=")</f>
        <v>#VALUE!</v>
      </c>
      <c r="U66" t="e">
        <f>AND('5to. Perito_B'!E37,"AAAAACV/rhQ=")</f>
        <v>#VALUE!</v>
      </c>
      <c r="V66" t="e">
        <f>AND('5to. Perito_B'!F37,"AAAAACV/rhU=")</f>
        <v>#VALUE!</v>
      </c>
      <c r="W66" t="e">
        <f>AND('5to. Perito_B'!G37,"AAAAACV/rhY=")</f>
        <v>#VALUE!</v>
      </c>
      <c r="X66" t="e">
        <f>AND('5to. Perito_B'!H37,"AAAAACV/rhc=")</f>
        <v>#VALUE!</v>
      </c>
      <c r="Y66" t="e">
        <f>AND('5to. Perito_B'!I37,"AAAAACV/rhg=")</f>
        <v>#VALUE!</v>
      </c>
      <c r="Z66" t="e">
        <f>AND('5to. Perito_B'!J37,"AAAAACV/rhk=")</f>
        <v>#VALUE!</v>
      </c>
      <c r="AA66" t="e">
        <f>AND('5to. Perito_B'!K37,"AAAAACV/rho=")</f>
        <v>#VALUE!</v>
      </c>
      <c r="AB66" t="e">
        <f>AND('5to. Perito_B'!L37,"AAAAACV/rhs=")</f>
        <v>#VALUE!</v>
      </c>
      <c r="AC66" t="e">
        <f>AND('5to. Perito_B'!M37,"AAAAACV/rhw=")</f>
        <v>#VALUE!</v>
      </c>
      <c r="AD66" t="e">
        <f>AND('5to. Perito_B'!N37,"AAAAACV/rh0=")</f>
        <v>#VALUE!</v>
      </c>
      <c r="AE66" t="e">
        <f>AND('5to. Perito_B'!O37,"AAAAACV/rh4=")</f>
        <v>#VALUE!</v>
      </c>
      <c r="AF66" t="e">
        <f>AND('5to. Perito_B'!P37,"AAAAACV/rh8=")</f>
        <v>#VALUE!</v>
      </c>
      <c r="AG66" t="e">
        <f>AND('5to. Perito_B'!Q37,"AAAAACV/riA=")</f>
        <v>#VALUE!</v>
      </c>
      <c r="AH66" t="e">
        <f>AND('5to. Perito_B'!R37,"AAAAACV/riE=")</f>
        <v>#VALUE!</v>
      </c>
      <c r="AI66" t="e">
        <f>AND('5to. Perito_B'!S37,"AAAAACV/riI=")</f>
        <v>#VALUE!</v>
      </c>
      <c r="AJ66" t="e">
        <f>AND('5to. Perito_B'!T37,"AAAAACV/riM=")</f>
        <v>#VALUE!</v>
      </c>
      <c r="AK66" t="e">
        <f>AND('5to. Perito_B'!#REF!,"AAAAACV/riQ=")</f>
        <v>#REF!</v>
      </c>
      <c r="AL66" t="e">
        <f>AND('5to. Perito_B'!#REF!,"AAAAACV/riU=")</f>
        <v>#REF!</v>
      </c>
      <c r="AM66" t="e">
        <f>AND('5to. Perito_B'!#REF!,"AAAAACV/riY=")</f>
        <v>#REF!</v>
      </c>
      <c r="AN66" t="e">
        <f>AND('5to. Perito_B'!#REF!,"AAAAACV/ric=")</f>
        <v>#REF!</v>
      </c>
      <c r="AO66" t="e">
        <f>AND('5to. Perito_B'!#REF!,"AAAAACV/rig=")</f>
        <v>#REF!</v>
      </c>
      <c r="AP66">
        <f>IF('5to. Perito_B'!38:38,"AAAAACV/rik=",0)</f>
        <v>0</v>
      </c>
      <c r="AQ66" t="e">
        <f>AND('5to. Perito_B'!A38,"AAAAACV/rio=")</f>
        <v>#VALUE!</v>
      </c>
      <c r="AR66" t="e">
        <f>AND('5to. Perito_B'!B38,"AAAAACV/ris=")</f>
        <v>#VALUE!</v>
      </c>
      <c r="AS66" t="e">
        <f>AND('5to. Perito_B'!C38,"AAAAACV/riw=")</f>
        <v>#VALUE!</v>
      </c>
      <c r="AT66" t="e">
        <f>AND('5to. Perito_B'!D38,"AAAAACV/ri0=")</f>
        <v>#VALUE!</v>
      </c>
      <c r="AU66" t="e">
        <f>AND('5to. Perito_B'!E38,"AAAAACV/ri4=")</f>
        <v>#VALUE!</v>
      </c>
      <c r="AV66" t="e">
        <f>AND('5to. Perito_B'!F38,"AAAAACV/ri8=")</f>
        <v>#VALUE!</v>
      </c>
      <c r="AW66" t="e">
        <f>AND('5to. Perito_B'!G38,"AAAAACV/rjA=")</f>
        <v>#VALUE!</v>
      </c>
      <c r="AX66" t="e">
        <f>AND('5to. Perito_B'!H38,"AAAAACV/rjE=")</f>
        <v>#VALUE!</v>
      </c>
      <c r="AY66" t="e">
        <f>AND('5to. Perito_B'!I38,"AAAAACV/rjI=")</f>
        <v>#VALUE!</v>
      </c>
      <c r="AZ66" t="e">
        <f>AND('5to. Perito_B'!J38,"AAAAACV/rjM=")</f>
        <v>#VALUE!</v>
      </c>
      <c r="BA66" t="e">
        <f>AND('5to. Perito_B'!K38,"AAAAACV/rjQ=")</f>
        <v>#VALUE!</v>
      </c>
      <c r="BB66" t="e">
        <f>AND('5to. Perito_B'!L38,"AAAAACV/rjU=")</f>
        <v>#VALUE!</v>
      </c>
      <c r="BC66" t="e">
        <f>AND('5to. Perito_B'!M38,"AAAAACV/rjY=")</f>
        <v>#VALUE!</v>
      </c>
      <c r="BD66" t="e">
        <f>AND('5to. Perito_B'!N38,"AAAAACV/rjc=")</f>
        <v>#VALUE!</v>
      </c>
      <c r="BE66" t="e">
        <f>AND('5to. Perito_B'!O38,"AAAAACV/rjg=")</f>
        <v>#VALUE!</v>
      </c>
      <c r="BF66" t="e">
        <f>AND('5to. Perito_B'!P38,"AAAAACV/rjk=")</f>
        <v>#VALUE!</v>
      </c>
      <c r="BG66" t="e">
        <f>AND('5to. Perito_B'!Q38,"AAAAACV/rjo=")</f>
        <v>#VALUE!</v>
      </c>
      <c r="BH66" t="e">
        <f>AND('5to. Perito_B'!R38,"AAAAACV/rjs=")</f>
        <v>#VALUE!</v>
      </c>
      <c r="BI66" t="e">
        <f>AND('5to. Perito_B'!S38,"AAAAACV/rjw=")</f>
        <v>#VALUE!</v>
      </c>
      <c r="BJ66" t="e">
        <f>AND('5to. Perito_B'!T38,"AAAAACV/rj0=")</f>
        <v>#VALUE!</v>
      </c>
      <c r="BK66" t="e">
        <f>AND('5to. Perito_B'!#REF!,"AAAAACV/rj4=")</f>
        <v>#REF!</v>
      </c>
      <c r="BL66" t="e">
        <f>AND('5to. Perito_B'!#REF!,"AAAAACV/rj8=")</f>
        <v>#REF!</v>
      </c>
      <c r="BM66" t="e">
        <f>AND('5to. Perito_B'!#REF!,"AAAAACV/rkA=")</f>
        <v>#REF!</v>
      </c>
      <c r="BN66" t="e">
        <f>AND('5to. Perito_B'!#REF!,"AAAAACV/rkE=")</f>
        <v>#REF!</v>
      </c>
      <c r="BO66" t="e">
        <f>AND('5to. Perito_B'!#REF!,"AAAAACV/rkI=")</f>
        <v>#REF!</v>
      </c>
      <c r="BP66" t="e">
        <f>IF('5to. Perito_B'!#REF!,"AAAAACV/rkM=",0)</f>
        <v>#REF!</v>
      </c>
      <c r="BQ66" t="e">
        <f>AND('5to. Perito_B'!#REF!,"AAAAACV/rkQ=")</f>
        <v>#REF!</v>
      </c>
      <c r="BR66" t="e">
        <f>AND('5to. Perito_B'!#REF!,"AAAAACV/rkU=")</f>
        <v>#REF!</v>
      </c>
      <c r="BS66" t="e">
        <f>AND('5to. Perito_B'!#REF!,"AAAAACV/rkY=")</f>
        <v>#REF!</v>
      </c>
      <c r="BT66" t="e">
        <f>AND('5to. Perito_B'!#REF!,"AAAAACV/rkc=")</f>
        <v>#REF!</v>
      </c>
      <c r="BU66" t="e">
        <f>AND('5to. Perito_B'!#REF!,"AAAAACV/rkg=")</f>
        <v>#REF!</v>
      </c>
      <c r="BV66" t="e">
        <f>AND('5to. Perito_B'!#REF!,"AAAAACV/rkk=")</f>
        <v>#REF!</v>
      </c>
      <c r="BW66" t="e">
        <f>AND('5to. Perito_B'!#REF!,"AAAAACV/rko=")</f>
        <v>#REF!</v>
      </c>
      <c r="BX66" t="e">
        <f>AND('5to. Perito_B'!#REF!,"AAAAACV/rks=")</f>
        <v>#REF!</v>
      </c>
      <c r="BY66" t="e">
        <f>AND('5to. Perito_B'!#REF!,"AAAAACV/rkw=")</f>
        <v>#REF!</v>
      </c>
      <c r="BZ66" t="e">
        <f>AND('5to. Perito_B'!#REF!,"AAAAACV/rk0=")</f>
        <v>#REF!</v>
      </c>
      <c r="CA66" t="e">
        <f>AND('5to. Perito_B'!#REF!,"AAAAACV/rk4=")</f>
        <v>#REF!</v>
      </c>
      <c r="CB66" t="e">
        <f>AND('5to. Perito_B'!#REF!,"AAAAACV/rk8=")</f>
        <v>#REF!</v>
      </c>
      <c r="CC66" t="e">
        <f>AND('5to. Perito_B'!#REF!,"AAAAACV/rlA=")</f>
        <v>#REF!</v>
      </c>
      <c r="CD66" t="e">
        <f>AND('5to. Perito_B'!#REF!,"AAAAACV/rlE=")</f>
        <v>#REF!</v>
      </c>
      <c r="CE66" t="e">
        <f>AND('5to. Perito_B'!#REF!,"AAAAACV/rlI=")</f>
        <v>#REF!</v>
      </c>
      <c r="CF66" t="e">
        <f>AND('5to. Perito_B'!#REF!,"AAAAACV/rlM=")</f>
        <v>#REF!</v>
      </c>
      <c r="CG66" t="e">
        <f>AND('5to. Perito_B'!#REF!,"AAAAACV/rlQ=")</f>
        <v>#REF!</v>
      </c>
      <c r="CH66" t="e">
        <f>AND('5to. Perito_B'!#REF!,"AAAAACV/rlU=")</f>
        <v>#REF!</v>
      </c>
      <c r="CI66" t="e">
        <f>AND('5to. Perito_B'!#REF!,"AAAAACV/rlY=")</f>
        <v>#REF!</v>
      </c>
      <c r="CJ66" t="e">
        <f>AND('5to. Perito_B'!#REF!,"AAAAACV/rlc=")</f>
        <v>#REF!</v>
      </c>
      <c r="CK66" t="e">
        <f>AND('5to. Perito_B'!#REF!,"AAAAACV/rlg=")</f>
        <v>#REF!</v>
      </c>
      <c r="CL66" t="e">
        <f>AND('5to. Perito_B'!#REF!,"AAAAACV/rlk=")</f>
        <v>#REF!</v>
      </c>
      <c r="CM66" t="e">
        <f>AND('5to. Perito_B'!#REF!,"AAAAACV/rlo=")</f>
        <v>#REF!</v>
      </c>
      <c r="CN66" t="e">
        <f>AND('5to. Perito_B'!#REF!,"AAAAACV/rls=")</f>
        <v>#REF!</v>
      </c>
      <c r="CO66" t="e">
        <f>AND('5to. Perito_B'!#REF!,"AAAAACV/rlw=")</f>
        <v>#REF!</v>
      </c>
      <c r="CP66" t="e">
        <f>IF('5to. Perito_B'!#REF!,"AAAAACV/rl0=",0)</f>
        <v>#REF!</v>
      </c>
      <c r="CQ66" t="e">
        <f>AND('5to. Perito_B'!#REF!,"AAAAACV/rl4=")</f>
        <v>#REF!</v>
      </c>
      <c r="CR66" t="e">
        <f>AND('5to. Perito_B'!#REF!,"AAAAACV/rl8=")</f>
        <v>#REF!</v>
      </c>
      <c r="CS66" t="e">
        <f>AND('5to. Perito_B'!#REF!,"AAAAACV/rmA=")</f>
        <v>#REF!</v>
      </c>
      <c r="CT66" t="e">
        <f>AND('5to. Perito_B'!#REF!,"AAAAACV/rmE=")</f>
        <v>#REF!</v>
      </c>
      <c r="CU66" t="e">
        <f>AND('5to. Perito_B'!#REF!,"AAAAACV/rmI=")</f>
        <v>#REF!</v>
      </c>
      <c r="CV66" t="e">
        <f>AND('5to. Perito_B'!#REF!,"AAAAACV/rmM=")</f>
        <v>#REF!</v>
      </c>
      <c r="CW66" t="e">
        <f>AND('5to. Perito_B'!#REF!,"AAAAACV/rmQ=")</f>
        <v>#REF!</v>
      </c>
      <c r="CX66" t="e">
        <f>AND('5to. Perito_B'!#REF!,"AAAAACV/rmU=")</f>
        <v>#REF!</v>
      </c>
      <c r="CY66" t="e">
        <f>AND('5to. Perito_B'!#REF!,"AAAAACV/rmY=")</f>
        <v>#REF!</v>
      </c>
      <c r="CZ66" t="e">
        <f>AND('5to. Perito_B'!#REF!,"AAAAACV/rmc=")</f>
        <v>#REF!</v>
      </c>
      <c r="DA66" t="e">
        <f>AND('5to. Perito_B'!#REF!,"AAAAACV/rmg=")</f>
        <v>#REF!</v>
      </c>
      <c r="DB66" t="e">
        <f>AND('5to. Perito_B'!#REF!,"AAAAACV/rmk=")</f>
        <v>#REF!</v>
      </c>
      <c r="DC66" t="e">
        <f>AND('5to. Perito_B'!#REF!,"AAAAACV/rmo=")</f>
        <v>#REF!</v>
      </c>
      <c r="DD66" t="e">
        <f>AND('5to. Perito_B'!#REF!,"AAAAACV/rms=")</f>
        <v>#REF!</v>
      </c>
      <c r="DE66" t="e">
        <f>AND('5to. Perito_B'!#REF!,"AAAAACV/rmw=")</f>
        <v>#REF!</v>
      </c>
      <c r="DF66" t="e">
        <f>AND('5to. Perito_B'!#REF!,"AAAAACV/rm0=")</f>
        <v>#REF!</v>
      </c>
      <c r="DG66" t="e">
        <f>AND('5to. Perito_B'!#REF!,"AAAAACV/rm4=")</f>
        <v>#REF!</v>
      </c>
      <c r="DH66" t="e">
        <f>AND('5to. Perito_B'!#REF!,"AAAAACV/rm8=")</f>
        <v>#REF!</v>
      </c>
      <c r="DI66" t="e">
        <f>AND('5to. Perito_B'!#REF!,"AAAAACV/rnA=")</f>
        <v>#REF!</v>
      </c>
      <c r="DJ66" t="e">
        <f>AND('5to. Perito_B'!#REF!,"AAAAACV/rnE=")</f>
        <v>#REF!</v>
      </c>
      <c r="DK66" t="e">
        <f>AND('5to. Perito_B'!#REF!,"AAAAACV/rnI=")</f>
        <v>#REF!</v>
      </c>
      <c r="DL66" t="e">
        <f>AND('5to. Perito_B'!#REF!,"AAAAACV/rnM=")</f>
        <v>#REF!</v>
      </c>
      <c r="DM66" t="e">
        <f>AND('5to. Perito_B'!#REF!,"AAAAACV/rnQ=")</f>
        <v>#REF!</v>
      </c>
      <c r="DN66" t="e">
        <f>AND('5to. Perito_B'!#REF!,"AAAAACV/rnU=")</f>
        <v>#REF!</v>
      </c>
      <c r="DO66" t="e">
        <f>AND('5to. Perito_B'!#REF!,"AAAAACV/rnY=")</f>
        <v>#REF!</v>
      </c>
      <c r="DP66" t="e">
        <f>IF('5to. Perito_B'!#REF!,"AAAAACV/rnc=",0)</f>
        <v>#REF!</v>
      </c>
      <c r="DQ66" t="e">
        <f>AND('5to. Perito_B'!#REF!,"AAAAACV/rng=")</f>
        <v>#REF!</v>
      </c>
      <c r="DR66" t="e">
        <f>AND('5to. Perito_B'!#REF!,"AAAAACV/rnk=")</f>
        <v>#REF!</v>
      </c>
      <c r="DS66" t="e">
        <f>AND('5to. Perito_B'!#REF!,"AAAAACV/rno=")</f>
        <v>#REF!</v>
      </c>
      <c r="DT66" t="e">
        <f>AND('5to. Perito_B'!#REF!,"AAAAACV/rns=")</f>
        <v>#REF!</v>
      </c>
      <c r="DU66" t="e">
        <f>AND('5to. Perito_B'!#REF!,"AAAAACV/rnw=")</f>
        <v>#REF!</v>
      </c>
      <c r="DV66" t="e">
        <f>AND('5to. Perito_B'!#REF!,"AAAAACV/rn0=")</f>
        <v>#REF!</v>
      </c>
      <c r="DW66" t="e">
        <f>AND('5to. Perito_B'!#REF!,"AAAAACV/rn4=")</f>
        <v>#REF!</v>
      </c>
      <c r="DX66" t="e">
        <f>AND('5to. Perito_B'!#REF!,"AAAAACV/rn8=")</f>
        <v>#REF!</v>
      </c>
      <c r="DY66" t="e">
        <f>AND('5to. Perito_B'!#REF!,"AAAAACV/roA=")</f>
        <v>#REF!</v>
      </c>
      <c r="DZ66" t="e">
        <f>AND('5to. Perito_B'!#REF!,"AAAAACV/roE=")</f>
        <v>#REF!</v>
      </c>
      <c r="EA66" t="e">
        <f>AND('5to. Perito_B'!#REF!,"AAAAACV/roI=")</f>
        <v>#REF!</v>
      </c>
      <c r="EB66" t="e">
        <f>AND('5to. Perito_B'!#REF!,"AAAAACV/roM=")</f>
        <v>#REF!</v>
      </c>
      <c r="EC66" t="e">
        <f>AND('5to. Perito_B'!#REF!,"AAAAACV/roQ=")</f>
        <v>#REF!</v>
      </c>
      <c r="ED66" t="e">
        <f>AND('5to. Perito_B'!#REF!,"AAAAACV/roU=")</f>
        <v>#REF!</v>
      </c>
      <c r="EE66" t="e">
        <f>AND('5to. Perito_B'!#REF!,"AAAAACV/roY=")</f>
        <v>#REF!</v>
      </c>
      <c r="EF66" t="e">
        <f>AND('5to. Perito_B'!#REF!,"AAAAACV/roc=")</f>
        <v>#REF!</v>
      </c>
      <c r="EG66" t="e">
        <f>AND('5to. Perito_B'!#REF!,"AAAAACV/rog=")</f>
        <v>#REF!</v>
      </c>
      <c r="EH66" t="e">
        <f>AND('5to. Perito_B'!#REF!,"AAAAACV/rok=")</f>
        <v>#REF!</v>
      </c>
      <c r="EI66" t="e">
        <f>AND('5to. Perito_B'!#REF!,"AAAAACV/roo=")</f>
        <v>#REF!</v>
      </c>
      <c r="EJ66" t="e">
        <f>AND('5to. Perito_B'!#REF!,"AAAAACV/ros=")</f>
        <v>#REF!</v>
      </c>
      <c r="EK66" t="e">
        <f>AND('5to. Perito_B'!#REF!,"AAAAACV/row=")</f>
        <v>#REF!</v>
      </c>
      <c r="EL66" t="e">
        <f>AND('5to. Perito_B'!#REF!,"AAAAACV/ro0=")</f>
        <v>#REF!</v>
      </c>
      <c r="EM66" t="e">
        <f>AND('5to. Perito_B'!#REF!,"AAAAACV/ro4=")</f>
        <v>#REF!</v>
      </c>
      <c r="EN66" t="e">
        <f>AND('5to. Perito_B'!#REF!,"AAAAACV/ro8=")</f>
        <v>#REF!</v>
      </c>
      <c r="EO66" t="e">
        <f>AND('5to. Perito_B'!#REF!,"AAAAACV/rpA=")</f>
        <v>#REF!</v>
      </c>
      <c r="EP66" t="e">
        <f>IF('5to. Perito_B'!#REF!,"AAAAACV/rpE=",0)</f>
        <v>#REF!</v>
      </c>
      <c r="EQ66" t="e">
        <f>AND('5to. Perito_B'!#REF!,"AAAAACV/rpI=")</f>
        <v>#REF!</v>
      </c>
      <c r="ER66" t="e">
        <f>AND('5to. Perito_B'!#REF!,"AAAAACV/rpM=")</f>
        <v>#REF!</v>
      </c>
      <c r="ES66" t="e">
        <f>AND('5to. Perito_B'!#REF!,"AAAAACV/rpQ=")</f>
        <v>#REF!</v>
      </c>
      <c r="ET66" t="e">
        <f>AND('5to. Perito_B'!#REF!,"AAAAACV/rpU=")</f>
        <v>#REF!</v>
      </c>
      <c r="EU66" t="e">
        <f>AND('5to. Perito_B'!#REF!,"AAAAACV/rpY=")</f>
        <v>#REF!</v>
      </c>
      <c r="EV66" t="e">
        <f>AND('5to. Perito_B'!#REF!,"AAAAACV/rpc=")</f>
        <v>#REF!</v>
      </c>
      <c r="EW66" t="e">
        <f>AND('5to. Perito_B'!#REF!,"AAAAACV/rpg=")</f>
        <v>#REF!</v>
      </c>
      <c r="EX66" t="e">
        <f>AND('5to. Perito_B'!#REF!,"AAAAACV/rpk=")</f>
        <v>#REF!</v>
      </c>
      <c r="EY66" t="e">
        <f>AND('5to. Perito_B'!#REF!,"AAAAACV/rpo=")</f>
        <v>#REF!</v>
      </c>
      <c r="EZ66" t="e">
        <f>AND('5to. Perito_B'!#REF!,"AAAAACV/rps=")</f>
        <v>#REF!</v>
      </c>
      <c r="FA66" t="e">
        <f>AND('5to. Perito_B'!#REF!,"AAAAACV/rpw=")</f>
        <v>#REF!</v>
      </c>
      <c r="FB66" t="e">
        <f>AND('5to. Perito_B'!#REF!,"AAAAACV/rp0=")</f>
        <v>#REF!</v>
      </c>
      <c r="FC66" t="e">
        <f>AND('5to. Perito_B'!#REF!,"AAAAACV/rp4=")</f>
        <v>#REF!</v>
      </c>
      <c r="FD66" t="e">
        <f>AND('5to. Perito_B'!#REF!,"AAAAACV/rp8=")</f>
        <v>#REF!</v>
      </c>
      <c r="FE66" t="e">
        <f>AND('5to. Perito_B'!#REF!,"AAAAACV/rqA=")</f>
        <v>#REF!</v>
      </c>
      <c r="FF66" t="e">
        <f>AND('5to. Perito_B'!#REF!,"AAAAACV/rqE=")</f>
        <v>#REF!</v>
      </c>
      <c r="FG66" t="e">
        <f>AND('5to. Perito_B'!#REF!,"AAAAACV/rqI=")</f>
        <v>#REF!</v>
      </c>
      <c r="FH66" t="e">
        <f>AND('5to. Perito_B'!#REF!,"AAAAACV/rqM=")</f>
        <v>#REF!</v>
      </c>
      <c r="FI66" t="e">
        <f>AND('5to. Perito_B'!#REF!,"AAAAACV/rqQ=")</f>
        <v>#REF!</v>
      </c>
      <c r="FJ66" t="e">
        <f>AND('5to. Perito_B'!#REF!,"AAAAACV/rqU=")</f>
        <v>#REF!</v>
      </c>
      <c r="FK66" t="e">
        <f>AND('5to. Perito_B'!#REF!,"AAAAACV/rqY=")</f>
        <v>#REF!</v>
      </c>
      <c r="FL66" t="e">
        <f>AND('5to. Perito_B'!#REF!,"AAAAACV/rqc=")</f>
        <v>#REF!</v>
      </c>
      <c r="FM66" t="e">
        <f>AND('5to. Perito_B'!#REF!,"AAAAACV/rqg=")</f>
        <v>#REF!</v>
      </c>
      <c r="FN66" t="e">
        <f>AND('5to. Perito_B'!#REF!,"AAAAACV/rqk=")</f>
        <v>#REF!</v>
      </c>
      <c r="FO66" t="e">
        <f>AND('5to. Perito_B'!#REF!,"AAAAACV/rqo=")</f>
        <v>#REF!</v>
      </c>
      <c r="FP66" t="e">
        <f>IF('5to. Perito_B'!#REF!,"AAAAACV/rqs=",0)</f>
        <v>#REF!</v>
      </c>
      <c r="FQ66" t="e">
        <f>AND('5to. Perito_B'!#REF!,"AAAAACV/rqw=")</f>
        <v>#REF!</v>
      </c>
      <c r="FR66" t="e">
        <f>AND('5to. Perito_B'!#REF!,"AAAAACV/rq0=")</f>
        <v>#REF!</v>
      </c>
      <c r="FS66" t="e">
        <f>AND('5to. Perito_B'!#REF!,"AAAAACV/rq4=")</f>
        <v>#REF!</v>
      </c>
      <c r="FT66" t="e">
        <f>AND('5to. Perito_B'!#REF!,"AAAAACV/rq8=")</f>
        <v>#REF!</v>
      </c>
      <c r="FU66" t="e">
        <f>AND('5to. Perito_B'!#REF!,"AAAAACV/rrA=")</f>
        <v>#REF!</v>
      </c>
      <c r="FV66" t="e">
        <f>AND('5to. Perito_B'!#REF!,"AAAAACV/rrE=")</f>
        <v>#REF!</v>
      </c>
      <c r="FW66" t="e">
        <f>AND('5to. Perito_B'!#REF!,"AAAAACV/rrI=")</f>
        <v>#REF!</v>
      </c>
      <c r="FX66" t="e">
        <f>AND('5to. Perito_B'!#REF!,"AAAAACV/rrM=")</f>
        <v>#REF!</v>
      </c>
      <c r="FY66" t="e">
        <f>AND('5to. Perito_B'!#REF!,"AAAAACV/rrQ=")</f>
        <v>#REF!</v>
      </c>
      <c r="FZ66" t="e">
        <f>AND('5to. Perito_B'!#REF!,"AAAAACV/rrU=")</f>
        <v>#REF!</v>
      </c>
      <c r="GA66" t="e">
        <f>AND('5to. Perito_B'!#REF!,"AAAAACV/rrY=")</f>
        <v>#REF!</v>
      </c>
      <c r="GB66" t="e">
        <f>AND('5to. Perito_B'!#REF!,"AAAAACV/rrc=")</f>
        <v>#REF!</v>
      </c>
      <c r="GC66" t="e">
        <f>AND('5to. Perito_B'!#REF!,"AAAAACV/rrg=")</f>
        <v>#REF!</v>
      </c>
      <c r="GD66" t="e">
        <f>AND('5to. Perito_B'!#REF!,"AAAAACV/rrk=")</f>
        <v>#REF!</v>
      </c>
      <c r="GE66" t="e">
        <f>AND('5to. Perito_B'!#REF!,"AAAAACV/rro=")</f>
        <v>#REF!</v>
      </c>
      <c r="GF66" t="e">
        <f>AND('5to. Perito_B'!#REF!,"AAAAACV/rrs=")</f>
        <v>#REF!</v>
      </c>
      <c r="GG66" t="e">
        <f>AND('5to. Perito_B'!#REF!,"AAAAACV/rrw=")</f>
        <v>#REF!</v>
      </c>
      <c r="GH66" t="e">
        <f>AND('5to. Perito_B'!#REF!,"AAAAACV/rr0=")</f>
        <v>#REF!</v>
      </c>
      <c r="GI66" t="e">
        <f>AND('5to. Perito_B'!#REF!,"AAAAACV/rr4=")</f>
        <v>#REF!</v>
      </c>
      <c r="GJ66" t="e">
        <f>AND('5to. Perito_B'!#REF!,"AAAAACV/rr8=")</f>
        <v>#REF!</v>
      </c>
      <c r="GK66" t="e">
        <f>AND('5to. Perito_B'!#REF!,"AAAAACV/rsA=")</f>
        <v>#REF!</v>
      </c>
      <c r="GL66" t="e">
        <f>AND('5to. Perito_B'!#REF!,"AAAAACV/rsE=")</f>
        <v>#REF!</v>
      </c>
      <c r="GM66" t="e">
        <f>AND('5to. Perito_B'!#REF!,"AAAAACV/rsI=")</f>
        <v>#REF!</v>
      </c>
      <c r="GN66" t="e">
        <f>AND('5to. Perito_B'!#REF!,"AAAAACV/rsM=")</f>
        <v>#REF!</v>
      </c>
      <c r="GO66" t="e">
        <f>AND('5to. Perito_B'!#REF!,"AAAAACV/rsQ=")</f>
        <v>#REF!</v>
      </c>
      <c r="GP66" t="e">
        <f>IF('5to. Perito_B'!#REF!,"AAAAACV/rsU=",0)</f>
        <v>#REF!</v>
      </c>
      <c r="GQ66" t="e">
        <f>AND('5to. Perito_B'!#REF!,"AAAAACV/rsY=")</f>
        <v>#REF!</v>
      </c>
      <c r="GR66" t="e">
        <f>AND('5to. Perito_B'!#REF!,"AAAAACV/rsc=")</f>
        <v>#REF!</v>
      </c>
      <c r="GS66" t="e">
        <f>AND('5to. Perito_B'!#REF!,"AAAAACV/rsg=")</f>
        <v>#REF!</v>
      </c>
      <c r="GT66" t="e">
        <f>AND('5to. Perito_B'!#REF!,"AAAAACV/rsk=")</f>
        <v>#REF!</v>
      </c>
      <c r="GU66" t="e">
        <f>AND('5to. Perito_B'!#REF!,"AAAAACV/rso=")</f>
        <v>#REF!</v>
      </c>
      <c r="GV66" t="e">
        <f>AND('5to. Perito_B'!#REF!,"AAAAACV/rss=")</f>
        <v>#REF!</v>
      </c>
      <c r="GW66" t="e">
        <f>AND('5to. Perito_B'!#REF!,"AAAAACV/rsw=")</f>
        <v>#REF!</v>
      </c>
      <c r="GX66" t="e">
        <f>AND('5to. Perito_B'!#REF!,"AAAAACV/rs0=")</f>
        <v>#REF!</v>
      </c>
      <c r="GY66" t="e">
        <f>AND('5to. Perito_B'!#REF!,"AAAAACV/rs4=")</f>
        <v>#REF!</v>
      </c>
      <c r="GZ66" t="e">
        <f>AND('5to. Perito_B'!#REF!,"AAAAACV/rs8=")</f>
        <v>#REF!</v>
      </c>
      <c r="HA66" t="e">
        <f>AND('5to. Perito_B'!#REF!,"AAAAACV/rtA=")</f>
        <v>#REF!</v>
      </c>
      <c r="HB66" t="e">
        <f>AND('5to. Perito_B'!#REF!,"AAAAACV/rtE=")</f>
        <v>#REF!</v>
      </c>
      <c r="HC66" t="e">
        <f>AND('5to. Perito_B'!#REF!,"AAAAACV/rtI=")</f>
        <v>#REF!</v>
      </c>
      <c r="HD66" t="e">
        <f>AND('5to. Perito_B'!#REF!,"AAAAACV/rtM=")</f>
        <v>#REF!</v>
      </c>
      <c r="HE66" t="e">
        <f>AND('5to. Perito_B'!#REF!,"AAAAACV/rtQ=")</f>
        <v>#REF!</v>
      </c>
      <c r="HF66" t="e">
        <f>AND('5to. Perito_B'!#REF!,"AAAAACV/rtU=")</f>
        <v>#REF!</v>
      </c>
      <c r="HG66" t="e">
        <f>AND('5to. Perito_B'!#REF!,"AAAAACV/rtY=")</f>
        <v>#REF!</v>
      </c>
      <c r="HH66" t="e">
        <f>AND('5to. Perito_B'!#REF!,"AAAAACV/rtc=")</f>
        <v>#REF!</v>
      </c>
      <c r="HI66" t="e">
        <f>AND('5to. Perito_B'!#REF!,"AAAAACV/rtg=")</f>
        <v>#REF!</v>
      </c>
      <c r="HJ66" t="e">
        <f>AND('5to. Perito_B'!#REF!,"AAAAACV/rtk=")</f>
        <v>#REF!</v>
      </c>
      <c r="HK66" t="e">
        <f>AND('5to. Perito_B'!#REF!,"AAAAACV/rto=")</f>
        <v>#REF!</v>
      </c>
      <c r="HL66" t="e">
        <f>AND('5to. Perito_B'!#REF!,"AAAAACV/rts=")</f>
        <v>#REF!</v>
      </c>
      <c r="HM66" t="e">
        <f>AND('5to. Perito_B'!#REF!,"AAAAACV/rtw=")</f>
        <v>#REF!</v>
      </c>
      <c r="HN66" t="e">
        <f>AND('5to. Perito_B'!#REF!,"AAAAACV/rt0=")</f>
        <v>#REF!</v>
      </c>
      <c r="HO66" t="e">
        <f>AND('5to. Perito_B'!#REF!,"AAAAACV/rt4=")</f>
        <v>#REF!</v>
      </c>
      <c r="HP66" t="e">
        <f>IF('5to. Perito_B'!#REF!,"AAAAACV/rt8=",0)</f>
        <v>#REF!</v>
      </c>
      <c r="HQ66" t="e">
        <f>AND('5to. Perito_B'!#REF!,"AAAAACV/ruA=")</f>
        <v>#REF!</v>
      </c>
      <c r="HR66" t="e">
        <f>AND('5to. Perito_B'!#REF!,"AAAAACV/ruE=")</f>
        <v>#REF!</v>
      </c>
      <c r="HS66" t="e">
        <f>AND('5to. Perito_B'!#REF!,"AAAAACV/ruI=")</f>
        <v>#REF!</v>
      </c>
      <c r="HT66" t="e">
        <f>AND('5to. Perito_B'!#REF!,"AAAAACV/ruM=")</f>
        <v>#REF!</v>
      </c>
      <c r="HU66" t="e">
        <f>AND('5to. Perito_B'!#REF!,"AAAAACV/ruQ=")</f>
        <v>#REF!</v>
      </c>
      <c r="HV66" t="e">
        <f>AND('5to. Perito_B'!#REF!,"AAAAACV/ruU=")</f>
        <v>#REF!</v>
      </c>
      <c r="HW66" t="e">
        <f>AND('5to. Perito_B'!#REF!,"AAAAACV/ruY=")</f>
        <v>#REF!</v>
      </c>
      <c r="HX66" t="e">
        <f>AND('5to. Perito_B'!#REF!,"AAAAACV/ruc=")</f>
        <v>#REF!</v>
      </c>
      <c r="HY66" t="e">
        <f>AND('5to. Perito_B'!#REF!,"AAAAACV/rug=")</f>
        <v>#REF!</v>
      </c>
      <c r="HZ66" t="e">
        <f>AND('5to. Perito_B'!#REF!,"AAAAACV/ruk=")</f>
        <v>#REF!</v>
      </c>
      <c r="IA66" t="e">
        <f>AND('5to. Perito_B'!#REF!,"AAAAACV/ruo=")</f>
        <v>#REF!</v>
      </c>
      <c r="IB66" t="e">
        <f>AND('5to. Perito_B'!#REF!,"AAAAACV/rus=")</f>
        <v>#REF!</v>
      </c>
      <c r="IC66" t="e">
        <f>AND('5to. Perito_B'!#REF!,"AAAAACV/ruw=")</f>
        <v>#REF!</v>
      </c>
      <c r="ID66" t="e">
        <f>AND('5to. Perito_B'!#REF!,"AAAAACV/ru0=")</f>
        <v>#REF!</v>
      </c>
      <c r="IE66" t="e">
        <f>AND('5to. Perito_B'!#REF!,"AAAAACV/ru4=")</f>
        <v>#REF!</v>
      </c>
      <c r="IF66" t="e">
        <f>AND('5to. Perito_B'!#REF!,"AAAAACV/ru8=")</f>
        <v>#REF!</v>
      </c>
      <c r="IG66" t="e">
        <f>AND('5to. Perito_B'!#REF!,"AAAAACV/rvA=")</f>
        <v>#REF!</v>
      </c>
      <c r="IH66" t="e">
        <f>AND('5to. Perito_B'!#REF!,"AAAAACV/rvE=")</f>
        <v>#REF!</v>
      </c>
      <c r="II66" t="e">
        <f>AND('5to. Perito_B'!#REF!,"AAAAACV/rvI=")</f>
        <v>#REF!</v>
      </c>
      <c r="IJ66" t="e">
        <f>AND('5to. Perito_B'!#REF!,"AAAAACV/rvM=")</f>
        <v>#REF!</v>
      </c>
      <c r="IK66" t="e">
        <f>AND('5to. Perito_B'!#REF!,"AAAAACV/rvQ=")</f>
        <v>#REF!</v>
      </c>
      <c r="IL66" t="e">
        <f>AND('5to. Perito_B'!#REF!,"AAAAACV/rvU=")</f>
        <v>#REF!</v>
      </c>
      <c r="IM66" t="e">
        <f>AND('5to. Perito_B'!#REF!,"AAAAACV/rvY=")</f>
        <v>#REF!</v>
      </c>
      <c r="IN66" t="e">
        <f>AND('5to. Perito_B'!#REF!,"AAAAACV/rvc=")</f>
        <v>#REF!</v>
      </c>
      <c r="IO66" t="e">
        <f>AND('5to. Perito_B'!#REF!,"AAAAACV/rvg=")</f>
        <v>#REF!</v>
      </c>
      <c r="IP66" t="e">
        <f>IF('5to. Perito_B'!#REF!,"AAAAACV/rvk=",0)</f>
        <v>#REF!</v>
      </c>
      <c r="IQ66" t="e">
        <f>AND('5to. Perito_B'!#REF!,"AAAAACV/rvo=")</f>
        <v>#REF!</v>
      </c>
      <c r="IR66" t="e">
        <f>AND('5to. Perito_B'!#REF!,"AAAAACV/rvs=")</f>
        <v>#REF!</v>
      </c>
      <c r="IS66" t="e">
        <f>AND('5to. Perito_B'!#REF!,"AAAAACV/rvw=")</f>
        <v>#REF!</v>
      </c>
      <c r="IT66" t="e">
        <f>AND('5to. Perito_B'!#REF!,"AAAAACV/rv0=")</f>
        <v>#REF!</v>
      </c>
      <c r="IU66" t="e">
        <f>AND('5to. Perito_B'!#REF!,"AAAAACV/rv4=")</f>
        <v>#REF!</v>
      </c>
      <c r="IV66" t="e">
        <f>AND('5to. Perito_B'!#REF!,"AAAAACV/rv8=")</f>
        <v>#REF!</v>
      </c>
    </row>
    <row r="67" spans="1:256">
      <c r="A67" t="e">
        <f>AND('5to. Perito_B'!#REF!,"AAAAAH+KyAA=")</f>
        <v>#REF!</v>
      </c>
      <c r="B67" t="e">
        <f>AND('5to. Perito_B'!#REF!,"AAAAAH+KyAE=")</f>
        <v>#REF!</v>
      </c>
      <c r="C67" t="e">
        <f>AND('5to. Perito_B'!#REF!,"AAAAAH+KyAI=")</f>
        <v>#REF!</v>
      </c>
      <c r="D67" t="e">
        <f>AND('5to. Perito_B'!#REF!,"AAAAAH+KyAM=")</f>
        <v>#REF!</v>
      </c>
      <c r="E67" t="e">
        <f>AND('5to. Perito_B'!#REF!,"AAAAAH+KyAQ=")</f>
        <v>#REF!</v>
      </c>
      <c r="F67" t="e">
        <f>AND('5to. Perito_B'!#REF!,"AAAAAH+KyAU=")</f>
        <v>#REF!</v>
      </c>
      <c r="G67" t="e">
        <f>AND('5to. Perito_B'!#REF!,"AAAAAH+KyAY=")</f>
        <v>#REF!</v>
      </c>
      <c r="H67" t="e">
        <f>AND('5to. Perito_B'!#REF!,"AAAAAH+KyAc=")</f>
        <v>#REF!</v>
      </c>
      <c r="I67" t="e">
        <f>AND('5to. Perito_B'!#REF!,"AAAAAH+KyAg=")</f>
        <v>#REF!</v>
      </c>
      <c r="J67" t="e">
        <f>AND('5to. Perito_B'!#REF!,"AAAAAH+KyAk=")</f>
        <v>#REF!</v>
      </c>
      <c r="K67" t="e">
        <f>AND('5to. Perito_B'!#REF!,"AAAAAH+KyAo=")</f>
        <v>#REF!</v>
      </c>
      <c r="L67" t="e">
        <f>AND('5to. Perito_B'!#REF!,"AAAAAH+KyAs=")</f>
        <v>#REF!</v>
      </c>
      <c r="M67" t="e">
        <f>AND('5to. Perito_B'!#REF!,"AAAAAH+KyAw=")</f>
        <v>#REF!</v>
      </c>
      <c r="N67" t="e">
        <f>AND('5to. Perito_B'!#REF!,"AAAAAH+KyA0=")</f>
        <v>#REF!</v>
      </c>
      <c r="O67" t="e">
        <f>AND('5to. Perito_B'!#REF!,"AAAAAH+KyA4=")</f>
        <v>#REF!</v>
      </c>
      <c r="P67" t="e">
        <f>AND('5to. Perito_B'!#REF!,"AAAAAH+KyA8=")</f>
        <v>#REF!</v>
      </c>
      <c r="Q67" t="e">
        <f>AND('5to. Perito_B'!#REF!,"AAAAAH+KyBA=")</f>
        <v>#REF!</v>
      </c>
      <c r="R67" t="e">
        <f>AND('5to. Perito_B'!#REF!,"AAAAAH+KyBE=")</f>
        <v>#REF!</v>
      </c>
      <c r="S67" t="e">
        <f>AND('5to. Perito_B'!#REF!,"AAAAAH+KyBI=")</f>
        <v>#REF!</v>
      </c>
      <c r="T67" t="e">
        <f>IF('5to. Perito_B'!#REF!,"AAAAAH+KyBM=",0)</f>
        <v>#REF!</v>
      </c>
      <c r="U67" t="e">
        <f>AND('5to. Perito_B'!#REF!,"AAAAAH+KyBQ=")</f>
        <v>#REF!</v>
      </c>
      <c r="V67" t="e">
        <f>AND('5to. Perito_B'!#REF!,"AAAAAH+KyBU=")</f>
        <v>#REF!</v>
      </c>
      <c r="W67" t="e">
        <f>AND('5to. Perito_B'!#REF!,"AAAAAH+KyBY=")</f>
        <v>#REF!</v>
      </c>
      <c r="X67" t="e">
        <f>AND('5to. Perito_B'!#REF!,"AAAAAH+KyBc=")</f>
        <v>#REF!</v>
      </c>
      <c r="Y67" t="e">
        <f>AND('5to. Perito_B'!#REF!,"AAAAAH+KyBg=")</f>
        <v>#REF!</v>
      </c>
      <c r="Z67" t="e">
        <f>AND('5to. Perito_B'!#REF!,"AAAAAH+KyBk=")</f>
        <v>#REF!</v>
      </c>
      <c r="AA67" t="e">
        <f>AND('5to. Perito_B'!#REF!,"AAAAAH+KyBo=")</f>
        <v>#REF!</v>
      </c>
      <c r="AB67" t="e">
        <f>AND('5to. Perito_B'!#REF!,"AAAAAH+KyBs=")</f>
        <v>#REF!</v>
      </c>
      <c r="AC67" t="e">
        <f>AND('5to. Perito_B'!#REF!,"AAAAAH+KyBw=")</f>
        <v>#REF!</v>
      </c>
      <c r="AD67" t="e">
        <f>AND('5to. Perito_B'!#REF!,"AAAAAH+KyB0=")</f>
        <v>#REF!</v>
      </c>
      <c r="AE67" t="e">
        <f>AND('5to. Perito_B'!#REF!,"AAAAAH+KyB4=")</f>
        <v>#REF!</v>
      </c>
      <c r="AF67" t="e">
        <f>AND('5to. Perito_B'!#REF!,"AAAAAH+KyB8=")</f>
        <v>#REF!</v>
      </c>
      <c r="AG67" t="e">
        <f>AND('5to. Perito_B'!#REF!,"AAAAAH+KyCA=")</f>
        <v>#REF!</v>
      </c>
      <c r="AH67" t="e">
        <f>AND('5to. Perito_B'!#REF!,"AAAAAH+KyCE=")</f>
        <v>#REF!</v>
      </c>
      <c r="AI67" t="e">
        <f>AND('5to. Perito_B'!#REF!,"AAAAAH+KyCI=")</f>
        <v>#REF!</v>
      </c>
      <c r="AJ67" t="e">
        <f>AND('5to. Perito_B'!#REF!,"AAAAAH+KyCM=")</f>
        <v>#REF!</v>
      </c>
      <c r="AK67" t="e">
        <f>AND('5to. Perito_B'!#REF!,"AAAAAH+KyCQ=")</f>
        <v>#REF!</v>
      </c>
      <c r="AL67" t="e">
        <f>AND('5to. Perito_B'!#REF!,"AAAAAH+KyCU=")</f>
        <v>#REF!</v>
      </c>
      <c r="AM67" t="e">
        <f>AND('5to. Perito_B'!#REF!,"AAAAAH+KyCY=")</f>
        <v>#REF!</v>
      </c>
      <c r="AN67" t="e">
        <f>AND('5to. Perito_B'!#REF!,"AAAAAH+KyCc=")</f>
        <v>#REF!</v>
      </c>
      <c r="AO67" t="e">
        <f>AND('5to. Perito_B'!#REF!,"AAAAAH+KyCg=")</f>
        <v>#REF!</v>
      </c>
      <c r="AP67" t="e">
        <f>AND('5to. Perito_B'!#REF!,"AAAAAH+KyCk=")</f>
        <v>#REF!</v>
      </c>
      <c r="AQ67" t="e">
        <f>AND('5to. Perito_B'!#REF!,"AAAAAH+KyCo=")</f>
        <v>#REF!</v>
      </c>
      <c r="AR67" t="e">
        <f>AND('5to. Perito_B'!#REF!,"AAAAAH+KyCs=")</f>
        <v>#REF!</v>
      </c>
      <c r="AS67" t="e">
        <f>AND('5to. Perito_B'!#REF!,"AAAAAH+KyCw=")</f>
        <v>#REF!</v>
      </c>
      <c r="AT67" t="e">
        <f>IF('5to. Perito_B'!#REF!,"AAAAAH+KyC0=",0)</f>
        <v>#REF!</v>
      </c>
      <c r="AU67" t="e">
        <f>AND('5to. Perito_B'!#REF!,"AAAAAH+KyC4=")</f>
        <v>#REF!</v>
      </c>
      <c r="AV67" t="e">
        <f>AND('5to. Perito_B'!#REF!,"AAAAAH+KyC8=")</f>
        <v>#REF!</v>
      </c>
      <c r="AW67" t="e">
        <f>AND('5to. Perito_B'!#REF!,"AAAAAH+KyDA=")</f>
        <v>#REF!</v>
      </c>
      <c r="AX67" t="e">
        <f>AND('5to. Perito_B'!#REF!,"AAAAAH+KyDE=")</f>
        <v>#REF!</v>
      </c>
      <c r="AY67" t="e">
        <f>AND('5to. Perito_B'!#REF!,"AAAAAH+KyDI=")</f>
        <v>#REF!</v>
      </c>
      <c r="AZ67" t="e">
        <f>AND('5to. Perito_B'!#REF!,"AAAAAH+KyDM=")</f>
        <v>#REF!</v>
      </c>
      <c r="BA67" t="e">
        <f>AND('5to. Perito_B'!#REF!,"AAAAAH+KyDQ=")</f>
        <v>#REF!</v>
      </c>
      <c r="BB67" t="e">
        <f>AND('5to. Perito_B'!#REF!,"AAAAAH+KyDU=")</f>
        <v>#REF!</v>
      </c>
      <c r="BC67" t="e">
        <f>AND('5to. Perito_B'!#REF!,"AAAAAH+KyDY=")</f>
        <v>#REF!</v>
      </c>
      <c r="BD67" t="e">
        <f>AND('5to. Perito_B'!#REF!,"AAAAAH+KyDc=")</f>
        <v>#REF!</v>
      </c>
      <c r="BE67" t="e">
        <f>AND('5to. Perito_B'!#REF!,"AAAAAH+KyDg=")</f>
        <v>#REF!</v>
      </c>
      <c r="BF67" t="e">
        <f>AND('5to. Perito_B'!#REF!,"AAAAAH+KyDk=")</f>
        <v>#REF!</v>
      </c>
      <c r="BG67" t="e">
        <f>AND('5to. Perito_B'!#REF!,"AAAAAH+KyDo=")</f>
        <v>#REF!</v>
      </c>
      <c r="BH67" t="e">
        <f>AND('5to. Perito_B'!#REF!,"AAAAAH+KyDs=")</f>
        <v>#REF!</v>
      </c>
      <c r="BI67" t="e">
        <f>AND('5to. Perito_B'!#REF!,"AAAAAH+KyDw=")</f>
        <v>#REF!</v>
      </c>
      <c r="BJ67" t="e">
        <f>AND('5to. Perito_B'!#REF!,"AAAAAH+KyD0=")</f>
        <v>#REF!</v>
      </c>
      <c r="BK67" t="e">
        <f>AND('5to. Perito_B'!#REF!,"AAAAAH+KyD4=")</f>
        <v>#REF!</v>
      </c>
      <c r="BL67" t="e">
        <f>AND('5to. Perito_B'!#REF!,"AAAAAH+KyD8=")</f>
        <v>#REF!</v>
      </c>
      <c r="BM67" t="e">
        <f>AND('5to. Perito_B'!#REF!,"AAAAAH+KyEA=")</f>
        <v>#REF!</v>
      </c>
      <c r="BN67" t="e">
        <f>AND('5to. Perito_B'!#REF!,"AAAAAH+KyEE=")</f>
        <v>#REF!</v>
      </c>
      <c r="BO67" t="e">
        <f>AND('5to. Perito_B'!#REF!,"AAAAAH+KyEI=")</f>
        <v>#REF!</v>
      </c>
      <c r="BP67" t="e">
        <f>AND('5to. Perito_B'!#REF!,"AAAAAH+KyEM=")</f>
        <v>#REF!</v>
      </c>
      <c r="BQ67" t="e">
        <f>AND('5to. Perito_B'!#REF!,"AAAAAH+KyEQ=")</f>
        <v>#REF!</v>
      </c>
      <c r="BR67" t="e">
        <f>AND('5to. Perito_B'!#REF!,"AAAAAH+KyEU=")</f>
        <v>#REF!</v>
      </c>
      <c r="BS67" t="e">
        <f>AND('5to. Perito_B'!#REF!,"AAAAAH+KyEY=")</f>
        <v>#REF!</v>
      </c>
      <c r="BT67" t="e">
        <f>IF('5to. Perito_B'!#REF!,"AAAAAH+KyEc=",0)</f>
        <v>#REF!</v>
      </c>
      <c r="BU67" t="e">
        <f>AND('5to. Perito_B'!#REF!,"AAAAAH+KyEg=")</f>
        <v>#REF!</v>
      </c>
      <c r="BV67" t="e">
        <f>AND('5to. Perito_B'!#REF!,"AAAAAH+KyEk=")</f>
        <v>#REF!</v>
      </c>
      <c r="BW67" t="e">
        <f>AND('5to. Perito_B'!#REF!,"AAAAAH+KyEo=")</f>
        <v>#REF!</v>
      </c>
      <c r="BX67" t="e">
        <f>AND('5to. Perito_B'!#REF!,"AAAAAH+KyEs=")</f>
        <v>#REF!</v>
      </c>
      <c r="BY67" t="e">
        <f>AND('5to. Perito_B'!#REF!,"AAAAAH+KyEw=")</f>
        <v>#REF!</v>
      </c>
      <c r="BZ67" t="e">
        <f>AND('5to. Perito_B'!#REF!,"AAAAAH+KyE0=")</f>
        <v>#REF!</v>
      </c>
      <c r="CA67" t="e">
        <f>AND('5to. Perito_B'!#REF!,"AAAAAH+KyE4=")</f>
        <v>#REF!</v>
      </c>
      <c r="CB67" t="e">
        <f>AND('5to. Perito_B'!#REF!,"AAAAAH+KyE8=")</f>
        <v>#REF!</v>
      </c>
      <c r="CC67" t="e">
        <f>AND('5to. Perito_B'!#REF!,"AAAAAH+KyFA=")</f>
        <v>#REF!</v>
      </c>
      <c r="CD67" t="e">
        <f>AND('5to. Perito_B'!#REF!,"AAAAAH+KyFE=")</f>
        <v>#REF!</v>
      </c>
      <c r="CE67" t="e">
        <f>AND('5to. Perito_B'!#REF!,"AAAAAH+KyFI=")</f>
        <v>#REF!</v>
      </c>
      <c r="CF67" t="e">
        <f>AND('5to. Perito_B'!#REF!,"AAAAAH+KyFM=")</f>
        <v>#REF!</v>
      </c>
      <c r="CG67" t="e">
        <f>AND('5to. Perito_B'!#REF!,"AAAAAH+KyFQ=")</f>
        <v>#REF!</v>
      </c>
      <c r="CH67" t="e">
        <f>AND('5to. Perito_B'!#REF!,"AAAAAH+KyFU=")</f>
        <v>#REF!</v>
      </c>
      <c r="CI67" t="e">
        <f>AND('5to. Perito_B'!#REF!,"AAAAAH+KyFY=")</f>
        <v>#REF!</v>
      </c>
      <c r="CJ67" t="e">
        <f>AND('5to. Perito_B'!#REF!,"AAAAAH+KyFc=")</f>
        <v>#REF!</v>
      </c>
      <c r="CK67" t="e">
        <f>AND('5to. Perito_B'!#REF!,"AAAAAH+KyFg=")</f>
        <v>#REF!</v>
      </c>
      <c r="CL67" t="e">
        <f>AND('5to. Perito_B'!#REF!,"AAAAAH+KyFk=")</f>
        <v>#REF!</v>
      </c>
      <c r="CM67" t="e">
        <f>AND('5to. Perito_B'!#REF!,"AAAAAH+KyFo=")</f>
        <v>#REF!</v>
      </c>
      <c r="CN67" t="e">
        <f>AND('5to. Perito_B'!#REF!,"AAAAAH+KyFs=")</f>
        <v>#REF!</v>
      </c>
      <c r="CO67" t="e">
        <f>AND('5to. Perito_B'!#REF!,"AAAAAH+KyFw=")</f>
        <v>#REF!</v>
      </c>
      <c r="CP67" t="e">
        <f>AND('5to. Perito_B'!#REF!,"AAAAAH+KyF0=")</f>
        <v>#REF!</v>
      </c>
      <c r="CQ67" t="e">
        <f>AND('5to. Perito_B'!#REF!,"AAAAAH+KyF4=")</f>
        <v>#REF!</v>
      </c>
      <c r="CR67" t="e">
        <f>AND('5to. Perito_B'!#REF!,"AAAAAH+KyF8=")</f>
        <v>#REF!</v>
      </c>
      <c r="CS67" t="e">
        <f>AND('5to. Perito_B'!#REF!,"AAAAAH+KyGA=")</f>
        <v>#REF!</v>
      </c>
      <c r="CT67" t="e">
        <f>IF('5to. Perito_B'!#REF!,"AAAAAH+KyGE=",0)</f>
        <v>#REF!</v>
      </c>
      <c r="CU67" t="e">
        <f>AND('5to. Perito_B'!#REF!,"AAAAAH+KyGI=")</f>
        <v>#REF!</v>
      </c>
      <c r="CV67" t="e">
        <f>AND('5to. Perito_B'!#REF!,"AAAAAH+KyGM=")</f>
        <v>#REF!</v>
      </c>
      <c r="CW67" t="e">
        <f>AND('5to. Perito_B'!#REF!,"AAAAAH+KyGQ=")</f>
        <v>#REF!</v>
      </c>
      <c r="CX67" t="e">
        <f>AND('5to. Perito_B'!#REF!,"AAAAAH+KyGU=")</f>
        <v>#REF!</v>
      </c>
      <c r="CY67" t="e">
        <f>AND('5to. Perito_B'!#REF!,"AAAAAH+KyGY=")</f>
        <v>#REF!</v>
      </c>
      <c r="CZ67" t="e">
        <f>AND('5to. Perito_B'!#REF!,"AAAAAH+KyGc=")</f>
        <v>#REF!</v>
      </c>
      <c r="DA67" t="e">
        <f>AND('5to. Perito_B'!#REF!,"AAAAAH+KyGg=")</f>
        <v>#REF!</v>
      </c>
      <c r="DB67" t="e">
        <f>AND('5to. Perito_B'!#REF!,"AAAAAH+KyGk=")</f>
        <v>#REF!</v>
      </c>
      <c r="DC67" t="e">
        <f>AND('5to. Perito_B'!#REF!,"AAAAAH+KyGo=")</f>
        <v>#REF!</v>
      </c>
      <c r="DD67" t="e">
        <f>AND('5to. Perito_B'!#REF!,"AAAAAH+KyGs=")</f>
        <v>#REF!</v>
      </c>
      <c r="DE67" t="e">
        <f>AND('5to. Perito_B'!#REF!,"AAAAAH+KyGw=")</f>
        <v>#REF!</v>
      </c>
      <c r="DF67" t="e">
        <f>AND('5to. Perito_B'!#REF!,"AAAAAH+KyG0=")</f>
        <v>#REF!</v>
      </c>
      <c r="DG67" t="e">
        <f>AND('5to. Perito_B'!#REF!,"AAAAAH+KyG4=")</f>
        <v>#REF!</v>
      </c>
      <c r="DH67" t="e">
        <f>AND('5to. Perito_B'!#REF!,"AAAAAH+KyG8=")</f>
        <v>#REF!</v>
      </c>
      <c r="DI67" t="e">
        <f>AND('5to. Perito_B'!#REF!,"AAAAAH+KyHA=")</f>
        <v>#REF!</v>
      </c>
      <c r="DJ67" t="e">
        <f>AND('5to. Perito_B'!#REF!,"AAAAAH+KyHE=")</f>
        <v>#REF!</v>
      </c>
      <c r="DK67" t="e">
        <f>AND('5to. Perito_B'!#REF!,"AAAAAH+KyHI=")</f>
        <v>#REF!</v>
      </c>
      <c r="DL67" t="e">
        <f>AND('5to. Perito_B'!#REF!,"AAAAAH+KyHM=")</f>
        <v>#REF!</v>
      </c>
      <c r="DM67" t="e">
        <f>AND('5to. Perito_B'!#REF!,"AAAAAH+KyHQ=")</f>
        <v>#REF!</v>
      </c>
      <c r="DN67" t="e">
        <f>AND('5to. Perito_B'!#REF!,"AAAAAH+KyHU=")</f>
        <v>#REF!</v>
      </c>
      <c r="DO67" t="e">
        <f>AND('5to. Perito_B'!#REF!,"AAAAAH+KyHY=")</f>
        <v>#REF!</v>
      </c>
      <c r="DP67" t="e">
        <f>AND('5to. Perito_B'!#REF!,"AAAAAH+KyHc=")</f>
        <v>#REF!</v>
      </c>
      <c r="DQ67" t="e">
        <f>AND('5to. Perito_B'!#REF!,"AAAAAH+KyHg=")</f>
        <v>#REF!</v>
      </c>
      <c r="DR67" t="e">
        <f>AND('5to. Perito_B'!#REF!,"AAAAAH+KyHk=")</f>
        <v>#REF!</v>
      </c>
      <c r="DS67" t="e">
        <f>AND('5to. Perito_B'!#REF!,"AAAAAH+KyHo=")</f>
        <v>#REF!</v>
      </c>
      <c r="DT67" t="e">
        <f>IF('5to. Perito_B'!#REF!,"AAAAAH+KyHs=",0)</f>
        <v>#REF!</v>
      </c>
      <c r="DU67" t="e">
        <f>AND('5to. Perito_B'!#REF!,"AAAAAH+KyHw=")</f>
        <v>#REF!</v>
      </c>
      <c r="DV67" t="e">
        <f>AND('5to. Perito_B'!#REF!,"AAAAAH+KyH0=")</f>
        <v>#REF!</v>
      </c>
      <c r="DW67" t="e">
        <f>AND('5to. Perito_B'!#REF!,"AAAAAH+KyH4=")</f>
        <v>#REF!</v>
      </c>
      <c r="DX67" t="e">
        <f>AND('5to. Perito_B'!#REF!,"AAAAAH+KyH8=")</f>
        <v>#REF!</v>
      </c>
      <c r="DY67" t="e">
        <f>AND('5to. Perito_B'!#REF!,"AAAAAH+KyIA=")</f>
        <v>#REF!</v>
      </c>
      <c r="DZ67" t="e">
        <f>AND('5to. Perito_B'!#REF!,"AAAAAH+KyIE=")</f>
        <v>#REF!</v>
      </c>
      <c r="EA67" t="e">
        <f>AND('5to. Perito_B'!#REF!,"AAAAAH+KyII=")</f>
        <v>#REF!</v>
      </c>
      <c r="EB67" t="e">
        <f>AND('5to. Perito_B'!#REF!,"AAAAAH+KyIM=")</f>
        <v>#REF!</v>
      </c>
      <c r="EC67" t="e">
        <f>AND('5to. Perito_B'!#REF!,"AAAAAH+KyIQ=")</f>
        <v>#REF!</v>
      </c>
      <c r="ED67" t="e">
        <f>AND('5to. Perito_B'!#REF!,"AAAAAH+KyIU=")</f>
        <v>#REF!</v>
      </c>
      <c r="EE67" t="e">
        <f>AND('5to. Perito_B'!#REF!,"AAAAAH+KyIY=")</f>
        <v>#REF!</v>
      </c>
      <c r="EF67" t="e">
        <f>AND('5to. Perito_B'!#REF!,"AAAAAH+KyIc=")</f>
        <v>#REF!</v>
      </c>
      <c r="EG67" t="e">
        <f>AND('5to. Perito_B'!#REF!,"AAAAAH+KyIg=")</f>
        <v>#REF!</v>
      </c>
      <c r="EH67" t="e">
        <f>AND('5to. Perito_B'!#REF!,"AAAAAH+KyIk=")</f>
        <v>#REF!</v>
      </c>
      <c r="EI67" t="e">
        <f>AND('5to. Perito_B'!#REF!,"AAAAAH+KyIo=")</f>
        <v>#REF!</v>
      </c>
      <c r="EJ67" t="e">
        <f>AND('5to. Perito_B'!#REF!,"AAAAAH+KyIs=")</f>
        <v>#REF!</v>
      </c>
      <c r="EK67" t="e">
        <f>AND('5to. Perito_B'!#REF!,"AAAAAH+KyIw=")</f>
        <v>#REF!</v>
      </c>
      <c r="EL67" t="e">
        <f>AND('5to. Perito_B'!#REF!,"AAAAAH+KyI0=")</f>
        <v>#REF!</v>
      </c>
      <c r="EM67" t="e">
        <f>AND('5to. Perito_B'!#REF!,"AAAAAH+KyI4=")</f>
        <v>#REF!</v>
      </c>
      <c r="EN67" t="e">
        <f>AND('5to. Perito_B'!#REF!,"AAAAAH+KyI8=")</f>
        <v>#REF!</v>
      </c>
      <c r="EO67" t="e">
        <f>AND('5to. Perito_B'!#REF!,"AAAAAH+KyJA=")</f>
        <v>#REF!</v>
      </c>
      <c r="EP67" t="e">
        <f>AND('5to. Perito_B'!#REF!,"AAAAAH+KyJE=")</f>
        <v>#REF!</v>
      </c>
      <c r="EQ67" t="e">
        <f>AND('5to. Perito_B'!#REF!,"AAAAAH+KyJI=")</f>
        <v>#REF!</v>
      </c>
      <c r="ER67" t="e">
        <f>AND('5to. Perito_B'!#REF!,"AAAAAH+KyJM=")</f>
        <v>#REF!</v>
      </c>
      <c r="ES67" t="e">
        <f>AND('5to. Perito_B'!#REF!,"AAAAAH+KyJQ=")</f>
        <v>#REF!</v>
      </c>
      <c r="ET67" t="e">
        <f>IF('5to. Perito_B'!#REF!,"AAAAAH+KyJU=",0)</f>
        <v>#REF!</v>
      </c>
      <c r="EU67" t="e">
        <f>AND('5to. Perito_B'!#REF!,"AAAAAH+KyJY=")</f>
        <v>#REF!</v>
      </c>
      <c r="EV67" t="e">
        <f>AND('5to. Perito_B'!#REF!,"AAAAAH+KyJc=")</f>
        <v>#REF!</v>
      </c>
      <c r="EW67" t="e">
        <f>AND('5to. Perito_B'!#REF!,"AAAAAH+KyJg=")</f>
        <v>#REF!</v>
      </c>
      <c r="EX67" t="e">
        <f>AND('5to. Perito_B'!#REF!,"AAAAAH+KyJk=")</f>
        <v>#REF!</v>
      </c>
      <c r="EY67" t="e">
        <f>AND('5to. Perito_B'!#REF!,"AAAAAH+KyJo=")</f>
        <v>#REF!</v>
      </c>
      <c r="EZ67" t="e">
        <f>AND('5to. Perito_B'!#REF!,"AAAAAH+KyJs=")</f>
        <v>#REF!</v>
      </c>
      <c r="FA67" t="e">
        <f>AND('5to. Perito_B'!#REF!,"AAAAAH+KyJw=")</f>
        <v>#REF!</v>
      </c>
      <c r="FB67" t="e">
        <f>AND('5to. Perito_B'!#REF!,"AAAAAH+KyJ0=")</f>
        <v>#REF!</v>
      </c>
      <c r="FC67" t="e">
        <f>AND('5to. Perito_B'!#REF!,"AAAAAH+KyJ4=")</f>
        <v>#REF!</v>
      </c>
      <c r="FD67" t="e">
        <f>AND('5to. Perito_B'!#REF!,"AAAAAH+KyJ8=")</f>
        <v>#REF!</v>
      </c>
      <c r="FE67" t="e">
        <f>AND('5to. Perito_B'!#REF!,"AAAAAH+KyKA=")</f>
        <v>#REF!</v>
      </c>
      <c r="FF67" t="e">
        <f>AND('5to. Perito_B'!#REF!,"AAAAAH+KyKE=")</f>
        <v>#REF!</v>
      </c>
      <c r="FG67" t="e">
        <f>AND('5to. Perito_B'!#REF!,"AAAAAH+KyKI=")</f>
        <v>#REF!</v>
      </c>
      <c r="FH67" t="e">
        <f>AND('5to. Perito_B'!#REF!,"AAAAAH+KyKM=")</f>
        <v>#REF!</v>
      </c>
      <c r="FI67" t="e">
        <f>AND('5to. Perito_B'!#REF!,"AAAAAH+KyKQ=")</f>
        <v>#REF!</v>
      </c>
      <c r="FJ67" t="e">
        <f>AND('5to. Perito_B'!#REF!,"AAAAAH+KyKU=")</f>
        <v>#REF!</v>
      </c>
      <c r="FK67" t="e">
        <f>AND('5to. Perito_B'!#REF!,"AAAAAH+KyKY=")</f>
        <v>#REF!</v>
      </c>
      <c r="FL67" t="e">
        <f>AND('5to. Perito_B'!#REF!,"AAAAAH+KyKc=")</f>
        <v>#REF!</v>
      </c>
      <c r="FM67" t="e">
        <f>AND('5to. Perito_B'!#REF!,"AAAAAH+KyKg=")</f>
        <v>#REF!</v>
      </c>
      <c r="FN67" t="e">
        <f>AND('5to. Perito_B'!#REF!,"AAAAAH+KyKk=")</f>
        <v>#REF!</v>
      </c>
      <c r="FO67" t="e">
        <f>AND('5to. Perito_B'!#REF!,"AAAAAH+KyKo=")</f>
        <v>#REF!</v>
      </c>
      <c r="FP67" t="e">
        <f>AND('5to. Perito_B'!#REF!,"AAAAAH+KyKs=")</f>
        <v>#REF!</v>
      </c>
      <c r="FQ67" t="e">
        <f>AND('5to. Perito_B'!#REF!,"AAAAAH+KyKw=")</f>
        <v>#REF!</v>
      </c>
      <c r="FR67" t="e">
        <f>AND('5to. Perito_B'!#REF!,"AAAAAH+KyK0=")</f>
        <v>#REF!</v>
      </c>
      <c r="FS67" t="e">
        <f>AND('5to. Perito_B'!#REF!,"AAAAAH+KyK4=")</f>
        <v>#REF!</v>
      </c>
      <c r="FT67" t="e">
        <f>IF('5to. Perito_B'!#REF!,"AAAAAH+KyK8=",0)</f>
        <v>#REF!</v>
      </c>
      <c r="FU67" t="e">
        <f>AND('5to. Perito_B'!#REF!,"AAAAAH+KyLA=")</f>
        <v>#REF!</v>
      </c>
      <c r="FV67" t="e">
        <f>AND('5to. Perito_B'!#REF!,"AAAAAH+KyLE=")</f>
        <v>#REF!</v>
      </c>
      <c r="FW67" t="e">
        <f>AND('5to. Perito_B'!#REF!,"AAAAAH+KyLI=")</f>
        <v>#REF!</v>
      </c>
      <c r="FX67" t="e">
        <f>AND('5to. Perito_B'!#REF!,"AAAAAH+KyLM=")</f>
        <v>#REF!</v>
      </c>
      <c r="FY67" t="e">
        <f>AND('5to. Perito_B'!#REF!,"AAAAAH+KyLQ=")</f>
        <v>#REF!</v>
      </c>
      <c r="FZ67" t="e">
        <f>AND('5to. Perito_B'!#REF!,"AAAAAH+KyLU=")</f>
        <v>#REF!</v>
      </c>
      <c r="GA67" t="e">
        <f>AND('5to. Perito_B'!#REF!,"AAAAAH+KyLY=")</f>
        <v>#REF!</v>
      </c>
      <c r="GB67" t="e">
        <f>AND('5to. Perito_B'!#REF!,"AAAAAH+KyLc=")</f>
        <v>#REF!</v>
      </c>
      <c r="GC67" t="e">
        <f>AND('5to. Perito_B'!#REF!,"AAAAAH+KyLg=")</f>
        <v>#REF!</v>
      </c>
      <c r="GD67" t="e">
        <f>AND('5to. Perito_B'!#REF!,"AAAAAH+KyLk=")</f>
        <v>#REF!</v>
      </c>
      <c r="GE67" t="e">
        <f>AND('5to. Perito_B'!#REF!,"AAAAAH+KyLo=")</f>
        <v>#REF!</v>
      </c>
      <c r="GF67" t="e">
        <f>AND('5to. Perito_B'!#REF!,"AAAAAH+KyLs=")</f>
        <v>#REF!</v>
      </c>
      <c r="GG67" t="e">
        <f>AND('5to. Perito_B'!#REF!,"AAAAAH+KyLw=")</f>
        <v>#REF!</v>
      </c>
      <c r="GH67" t="e">
        <f>AND('5to. Perito_B'!#REF!,"AAAAAH+KyL0=")</f>
        <v>#REF!</v>
      </c>
      <c r="GI67" t="e">
        <f>AND('5to. Perito_B'!#REF!,"AAAAAH+KyL4=")</f>
        <v>#REF!</v>
      </c>
      <c r="GJ67" t="e">
        <f>AND('5to. Perito_B'!#REF!,"AAAAAH+KyL8=")</f>
        <v>#REF!</v>
      </c>
      <c r="GK67" t="e">
        <f>AND('5to. Perito_B'!#REF!,"AAAAAH+KyMA=")</f>
        <v>#REF!</v>
      </c>
      <c r="GL67" t="e">
        <f>AND('5to. Perito_B'!#REF!,"AAAAAH+KyME=")</f>
        <v>#REF!</v>
      </c>
      <c r="GM67" t="e">
        <f>AND('5to. Perito_B'!#REF!,"AAAAAH+KyMI=")</f>
        <v>#REF!</v>
      </c>
      <c r="GN67" t="e">
        <f>AND('5to. Perito_B'!#REF!,"AAAAAH+KyMM=")</f>
        <v>#REF!</v>
      </c>
      <c r="GO67" t="e">
        <f>AND('5to. Perito_B'!#REF!,"AAAAAH+KyMQ=")</f>
        <v>#REF!</v>
      </c>
      <c r="GP67" t="e">
        <f>AND('5to. Perito_B'!#REF!,"AAAAAH+KyMU=")</f>
        <v>#REF!</v>
      </c>
      <c r="GQ67" t="e">
        <f>AND('5to. Perito_B'!#REF!,"AAAAAH+KyMY=")</f>
        <v>#REF!</v>
      </c>
      <c r="GR67" t="e">
        <f>AND('5to. Perito_B'!#REF!,"AAAAAH+KyMc=")</f>
        <v>#REF!</v>
      </c>
      <c r="GS67" t="e">
        <f>AND('5to. Perito_B'!#REF!,"AAAAAH+KyMg=")</f>
        <v>#REF!</v>
      </c>
      <c r="GT67" t="e">
        <f>IF('5to. Perito_B'!#REF!,"AAAAAH+KyMk=",0)</f>
        <v>#REF!</v>
      </c>
      <c r="GU67" t="e">
        <f>AND('5to. Perito_B'!#REF!,"AAAAAH+KyMo=")</f>
        <v>#REF!</v>
      </c>
      <c r="GV67" t="e">
        <f>AND('5to. Perito_B'!#REF!,"AAAAAH+KyMs=")</f>
        <v>#REF!</v>
      </c>
      <c r="GW67" t="e">
        <f>AND('5to. Perito_B'!#REF!,"AAAAAH+KyMw=")</f>
        <v>#REF!</v>
      </c>
      <c r="GX67" t="e">
        <f>AND('5to. Perito_B'!#REF!,"AAAAAH+KyM0=")</f>
        <v>#REF!</v>
      </c>
      <c r="GY67" t="e">
        <f>AND('5to. Perito_B'!#REF!,"AAAAAH+KyM4=")</f>
        <v>#REF!</v>
      </c>
      <c r="GZ67" t="e">
        <f>AND('5to. Perito_B'!#REF!,"AAAAAH+KyM8=")</f>
        <v>#REF!</v>
      </c>
      <c r="HA67" t="e">
        <f>AND('5to. Perito_B'!#REF!,"AAAAAH+KyNA=")</f>
        <v>#REF!</v>
      </c>
      <c r="HB67" t="e">
        <f>AND('5to. Perito_B'!#REF!,"AAAAAH+KyNE=")</f>
        <v>#REF!</v>
      </c>
      <c r="HC67" t="e">
        <f>AND('5to. Perito_B'!#REF!,"AAAAAH+KyNI=")</f>
        <v>#REF!</v>
      </c>
      <c r="HD67" t="e">
        <f>AND('5to. Perito_B'!#REF!,"AAAAAH+KyNM=")</f>
        <v>#REF!</v>
      </c>
      <c r="HE67" t="e">
        <f>AND('5to. Perito_B'!#REF!,"AAAAAH+KyNQ=")</f>
        <v>#REF!</v>
      </c>
      <c r="HF67" t="e">
        <f>AND('5to. Perito_B'!#REF!,"AAAAAH+KyNU=")</f>
        <v>#REF!</v>
      </c>
      <c r="HG67" t="e">
        <f>AND('5to. Perito_B'!#REF!,"AAAAAH+KyNY=")</f>
        <v>#REF!</v>
      </c>
      <c r="HH67" t="e">
        <f>AND('5to. Perito_B'!#REF!,"AAAAAH+KyNc=")</f>
        <v>#REF!</v>
      </c>
      <c r="HI67" t="e">
        <f>AND('5to. Perito_B'!#REF!,"AAAAAH+KyNg=")</f>
        <v>#REF!</v>
      </c>
      <c r="HJ67" t="e">
        <f>AND('5to. Perito_B'!#REF!,"AAAAAH+KyNk=")</f>
        <v>#REF!</v>
      </c>
      <c r="HK67" t="e">
        <f>AND('5to. Perito_B'!#REF!,"AAAAAH+KyNo=")</f>
        <v>#REF!</v>
      </c>
      <c r="HL67" t="e">
        <f>AND('5to. Perito_B'!#REF!,"AAAAAH+KyNs=")</f>
        <v>#REF!</v>
      </c>
      <c r="HM67" t="e">
        <f>AND('5to. Perito_B'!#REF!,"AAAAAH+KyNw=")</f>
        <v>#REF!</v>
      </c>
      <c r="HN67" t="e">
        <f>AND('5to. Perito_B'!#REF!,"AAAAAH+KyN0=")</f>
        <v>#REF!</v>
      </c>
      <c r="HO67" t="e">
        <f>AND('5to. Perito_B'!#REF!,"AAAAAH+KyN4=")</f>
        <v>#REF!</v>
      </c>
      <c r="HP67" t="e">
        <f>AND('5to. Perito_B'!#REF!,"AAAAAH+KyN8=")</f>
        <v>#REF!</v>
      </c>
      <c r="HQ67" t="e">
        <f>AND('5to. Perito_B'!#REF!,"AAAAAH+KyOA=")</f>
        <v>#REF!</v>
      </c>
      <c r="HR67" t="e">
        <f>AND('5to. Perito_B'!#REF!,"AAAAAH+KyOE=")</f>
        <v>#REF!</v>
      </c>
      <c r="HS67" t="e">
        <f>AND('5to. Perito_B'!#REF!,"AAAAAH+KyOI=")</f>
        <v>#REF!</v>
      </c>
      <c r="HT67" t="e">
        <f>IF('5to. Perito_B'!#REF!,"AAAAAH+KyOM=",0)</f>
        <v>#REF!</v>
      </c>
      <c r="HU67" t="e">
        <f>AND('5to. Perito_B'!#REF!,"AAAAAH+KyOQ=")</f>
        <v>#REF!</v>
      </c>
      <c r="HV67" t="e">
        <f>AND('5to. Perito_B'!#REF!,"AAAAAH+KyOU=")</f>
        <v>#REF!</v>
      </c>
      <c r="HW67" t="e">
        <f>AND('5to. Perito_B'!#REF!,"AAAAAH+KyOY=")</f>
        <v>#REF!</v>
      </c>
      <c r="HX67" t="e">
        <f>AND('5to. Perito_B'!#REF!,"AAAAAH+KyOc=")</f>
        <v>#REF!</v>
      </c>
      <c r="HY67" t="e">
        <f>AND('5to. Perito_B'!#REF!,"AAAAAH+KyOg=")</f>
        <v>#REF!</v>
      </c>
      <c r="HZ67" t="e">
        <f>AND('5to. Perito_B'!#REF!,"AAAAAH+KyOk=")</f>
        <v>#REF!</v>
      </c>
      <c r="IA67" t="e">
        <f>AND('5to. Perito_B'!#REF!,"AAAAAH+KyOo=")</f>
        <v>#REF!</v>
      </c>
      <c r="IB67" t="e">
        <f>AND('5to. Perito_B'!#REF!,"AAAAAH+KyOs=")</f>
        <v>#REF!</v>
      </c>
      <c r="IC67" t="e">
        <f>AND('5to. Perito_B'!#REF!,"AAAAAH+KyOw=")</f>
        <v>#REF!</v>
      </c>
      <c r="ID67" t="e">
        <f>AND('5to. Perito_B'!#REF!,"AAAAAH+KyO0=")</f>
        <v>#REF!</v>
      </c>
      <c r="IE67" t="e">
        <f>AND('5to. Perito_B'!#REF!,"AAAAAH+KyO4=")</f>
        <v>#REF!</v>
      </c>
      <c r="IF67" t="e">
        <f>AND('5to. Perito_B'!#REF!,"AAAAAH+KyO8=")</f>
        <v>#REF!</v>
      </c>
      <c r="IG67" t="e">
        <f>AND('5to. Perito_B'!#REF!,"AAAAAH+KyPA=")</f>
        <v>#REF!</v>
      </c>
      <c r="IH67" t="e">
        <f>AND('5to. Perito_B'!#REF!,"AAAAAH+KyPE=")</f>
        <v>#REF!</v>
      </c>
      <c r="II67" t="e">
        <f>AND('5to. Perito_B'!#REF!,"AAAAAH+KyPI=")</f>
        <v>#REF!</v>
      </c>
      <c r="IJ67" t="e">
        <f>AND('5to. Perito_B'!#REF!,"AAAAAH+KyPM=")</f>
        <v>#REF!</v>
      </c>
      <c r="IK67" t="e">
        <f>AND('5to. Perito_B'!#REF!,"AAAAAH+KyPQ=")</f>
        <v>#REF!</v>
      </c>
      <c r="IL67" t="e">
        <f>AND('5to. Perito_B'!#REF!,"AAAAAH+KyPU=")</f>
        <v>#REF!</v>
      </c>
      <c r="IM67" t="e">
        <f>AND('5to. Perito_B'!#REF!,"AAAAAH+KyPY=")</f>
        <v>#REF!</v>
      </c>
      <c r="IN67" t="e">
        <f>AND('5to. Perito_B'!#REF!,"AAAAAH+KyPc=")</f>
        <v>#REF!</v>
      </c>
      <c r="IO67" t="e">
        <f>AND('5to. Perito_B'!#REF!,"AAAAAH+KyPg=")</f>
        <v>#REF!</v>
      </c>
      <c r="IP67" t="e">
        <f>AND('5to. Perito_B'!#REF!,"AAAAAH+KyPk=")</f>
        <v>#REF!</v>
      </c>
      <c r="IQ67" t="e">
        <f>AND('5to. Perito_B'!#REF!,"AAAAAH+KyPo=")</f>
        <v>#REF!</v>
      </c>
      <c r="IR67" t="e">
        <f>AND('5to. Perito_B'!#REF!,"AAAAAH+KyPs=")</f>
        <v>#REF!</v>
      </c>
      <c r="IS67" t="e">
        <f>AND('5to. Perito_B'!#REF!,"AAAAAH+KyPw=")</f>
        <v>#REF!</v>
      </c>
      <c r="IT67" t="e">
        <f>IF('5to. Perito_B'!#REF!,"AAAAAH+KyP0=",0)</f>
        <v>#REF!</v>
      </c>
      <c r="IU67" t="e">
        <f>AND('5to. Perito_B'!#REF!,"AAAAAH+KyP4=")</f>
        <v>#REF!</v>
      </c>
      <c r="IV67" t="e">
        <f>AND('5to. Perito_B'!#REF!,"AAAAAH+KyP8=")</f>
        <v>#REF!</v>
      </c>
    </row>
    <row r="68" spans="1:256">
      <c r="A68" t="e">
        <f>AND('5to. Perito_B'!#REF!,"AAAAAG/OTwA=")</f>
        <v>#REF!</v>
      </c>
      <c r="B68" t="e">
        <f>AND('5to. Perito_B'!#REF!,"AAAAAG/OTwE=")</f>
        <v>#REF!</v>
      </c>
      <c r="C68" t="e">
        <f>AND('5to. Perito_B'!#REF!,"AAAAAG/OTwI=")</f>
        <v>#REF!</v>
      </c>
      <c r="D68" t="e">
        <f>AND('5to. Perito_B'!#REF!,"AAAAAG/OTwM=")</f>
        <v>#REF!</v>
      </c>
      <c r="E68" t="e">
        <f>AND('5to. Perito_B'!#REF!,"AAAAAG/OTwQ=")</f>
        <v>#REF!</v>
      </c>
      <c r="F68" t="e">
        <f>AND('5to. Perito_B'!#REF!,"AAAAAG/OTwU=")</f>
        <v>#REF!</v>
      </c>
      <c r="G68" t="e">
        <f>AND('5to. Perito_B'!#REF!,"AAAAAG/OTwY=")</f>
        <v>#REF!</v>
      </c>
      <c r="H68" t="e">
        <f>AND('5to. Perito_B'!#REF!,"AAAAAG/OTwc=")</f>
        <v>#REF!</v>
      </c>
      <c r="I68" t="e">
        <f>AND('5to. Perito_B'!#REF!,"AAAAAG/OTwg=")</f>
        <v>#REF!</v>
      </c>
      <c r="J68" t="e">
        <f>AND('5to. Perito_B'!#REF!,"AAAAAG/OTwk=")</f>
        <v>#REF!</v>
      </c>
      <c r="K68" t="e">
        <f>AND('5to. Perito_B'!#REF!,"AAAAAG/OTwo=")</f>
        <v>#REF!</v>
      </c>
      <c r="L68" t="e">
        <f>AND('5to. Perito_B'!#REF!,"AAAAAG/OTws=")</f>
        <v>#REF!</v>
      </c>
      <c r="M68" t="e">
        <f>AND('5to. Perito_B'!#REF!,"AAAAAG/OTww=")</f>
        <v>#REF!</v>
      </c>
      <c r="N68" t="e">
        <f>AND('5to. Perito_B'!#REF!,"AAAAAG/OTw0=")</f>
        <v>#REF!</v>
      </c>
      <c r="O68" t="e">
        <f>AND('5to. Perito_B'!#REF!,"AAAAAG/OTw4=")</f>
        <v>#REF!</v>
      </c>
      <c r="P68" t="e">
        <f>AND('5to. Perito_B'!#REF!,"AAAAAG/OTw8=")</f>
        <v>#REF!</v>
      </c>
      <c r="Q68" t="e">
        <f>AND('5to. Perito_B'!#REF!,"AAAAAG/OTxA=")</f>
        <v>#REF!</v>
      </c>
      <c r="R68" t="e">
        <f>AND('5to. Perito_B'!#REF!,"AAAAAG/OTxE=")</f>
        <v>#REF!</v>
      </c>
      <c r="S68" t="e">
        <f>AND('5to. Perito_B'!#REF!,"AAAAAG/OTxI=")</f>
        <v>#REF!</v>
      </c>
      <c r="T68" t="e">
        <f>AND('5to. Perito_B'!#REF!,"AAAAAG/OTxM=")</f>
        <v>#REF!</v>
      </c>
      <c r="U68" t="e">
        <f>AND('5to. Perito_B'!#REF!,"AAAAAG/OTxQ=")</f>
        <v>#REF!</v>
      </c>
      <c r="V68" t="e">
        <f>AND('5to. Perito_B'!#REF!,"AAAAAG/OTxU=")</f>
        <v>#REF!</v>
      </c>
      <c r="W68" t="e">
        <f>AND('5to. Perito_B'!#REF!,"AAAAAG/OTxY=")</f>
        <v>#REF!</v>
      </c>
      <c r="X68" t="e">
        <f>IF('5to. Perito_B'!#REF!,"AAAAAG/OTxc=",0)</f>
        <v>#REF!</v>
      </c>
      <c r="Y68" t="e">
        <f>AND('5to. Perito_B'!#REF!,"AAAAAG/OTxg=")</f>
        <v>#REF!</v>
      </c>
      <c r="Z68" t="e">
        <f>AND('5to. Perito_B'!#REF!,"AAAAAG/OTxk=")</f>
        <v>#REF!</v>
      </c>
      <c r="AA68" t="e">
        <f>AND('5to. Perito_B'!#REF!,"AAAAAG/OTxo=")</f>
        <v>#REF!</v>
      </c>
      <c r="AB68" t="e">
        <f>AND('5to. Perito_B'!#REF!,"AAAAAG/OTxs=")</f>
        <v>#REF!</v>
      </c>
      <c r="AC68" t="e">
        <f>AND('5to. Perito_B'!#REF!,"AAAAAG/OTxw=")</f>
        <v>#REF!</v>
      </c>
      <c r="AD68" t="e">
        <f>AND('5to. Perito_B'!#REF!,"AAAAAG/OTx0=")</f>
        <v>#REF!</v>
      </c>
      <c r="AE68" t="e">
        <f>AND('5to. Perito_B'!#REF!,"AAAAAG/OTx4=")</f>
        <v>#REF!</v>
      </c>
      <c r="AF68" t="e">
        <f>AND('5to. Perito_B'!#REF!,"AAAAAG/OTx8=")</f>
        <v>#REF!</v>
      </c>
      <c r="AG68" t="e">
        <f>AND('5to. Perito_B'!#REF!,"AAAAAG/OTyA=")</f>
        <v>#REF!</v>
      </c>
      <c r="AH68" t="e">
        <f>AND('5to. Perito_B'!#REF!,"AAAAAG/OTyE=")</f>
        <v>#REF!</v>
      </c>
      <c r="AI68" t="e">
        <f>AND('5to. Perito_B'!#REF!,"AAAAAG/OTyI=")</f>
        <v>#REF!</v>
      </c>
      <c r="AJ68" t="e">
        <f>AND('5to. Perito_B'!#REF!,"AAAAAG/OTyM=")</f>
        <v>#REF!</v>
      </c>
      <c r="AK68" t="e">
        <f>AND('5to. Perito_B'!#REF!,"AAAAAG/OTyQ=")</f>
        <v>#REF!</v>
      </c>
      <c r="AL68" t="e">
        <f>AND('5to. Perito_B'!#REF!,"AAAAAG/OTyU=")</f>
        <v>#REF!</v>
      </c>
      <c r="AM68" t="e">
        <f>AND('5to. Perito_B'!#REF!,"AAAAAG/OTyY=")</f>
        <v>#REF!</v>
      </c>
      <c r="AN68" t="e">
        <f>AND('5to. Perito_B'!#REF!,"AAAAAG/OTyc=")</f>
        <v>#REF!</v>
      </c>
      <c r="AO68" t="e">
        <f>AND('5to. Perito_B'!#REF!,"AAAAAG/OTyg=")</f>
        <v>#REF!</v>
      </c>
      <c r="AP68" t="e">
        <f>AND('5to. Perito_B'!#REF!,"AAAAAG/OTyk=")</f>
        <v>#REF!</v>
      </c>
      <c r="AQ68" t="e">
        <f>AND('5to. Perito_B'!#REF!,"AAAAAG/OTyo=")</f>
        <v>#REF!</v>
      </c>
      <c r="AR68" t="e">
        <f>AND('5to. Perito_B'!#REF!,"AAAAAG/OTys=")</f>
        <v>#REF!</v>
      </c>
      <c r="AS68" t="e">
        <f>AND('5to. Perito_B'!#REF!,"AAAAAG/OTyw=")</f>
        <v>#REF!</v>
      </c>
      <c r="AT68" t="e">
        <f>AND('5to. Perito_B'!#REF!,"AAAAAG/OTy0=")</f>
        <v>#REF!</v>
      </c>
      <c r="AU68" t="e">
        <f>AND('5to. Perito_B'!#REF!,"AAAAAG/OTy4=")</f>
        <v>#REF!</v>
      </c>
      <c r="AV68" t="e">
        <f>AND('5to. Perito_B'!#REF!,"AAAAAG/OTy8=")</f>
        <v>#REF!</v>
      </c>
      <c r="AW68" t="e">
        <f>AND('5to. Perito_B'!#REF!,"AAAAAG/OTzA=")</f>
        <v>#REF!</v>
      </c>
      <c r="AX68" t="e">
        <f>IF('5to. Perito_B'!#REF!,"AAAAAG/OTzE=",0)</f>
        <v>#REF!</v>
      </c>
      <c r="AY68" t="e">
        <f>AND('5to. Perito_B'!#REF!,"AAAAAG/OTzI=")</f>
        <v>#REF!</v>
      </c>
      <c r="AZ68" t="e">
        <f>AND('5to. Perito_B'!#REF!,"AAAAAG/OTzM=")</f>
        <v>#REF!</v>
      </c>
      <c r="BA68" t="e">
        <f>AND('5to. Perito_B'!#REF!,"AAAAAG/OTzQ=")</f>
        <v>#REF!</v>
      </c>
      <c r="BB68" t="e">
        <f>AND('5to. Perito_B'!#REF!,"AAAAAG/OTzU=")</f>
        <v>#REF!</v>
      </c>
      <c r="BC68" t="e">
        <f>AND('5to. Perito_B'!#REF!,"AAAAAG/OTzY=")</f>
        <v>#REF!</v>
      </c>
      <c r="BD68" t="e">
        <f>AND('5to. Perito_B'!#REF!,"AAAAAG/OTzc=")</f>
        <v>#REF!</v>
      </c>
      <c r="BE68" t="e">
        <f>AND('5to. Perito_B'!#REF!,"AAAAAG/OTzg=")</f>
        <v>#REF!</v>
      </c>
      <c r="BF68" t="e">
        <f>AND('5to. Perito_B'!#REF!,"AAAAAG/OTzk=")</f>
        <v>#REF!</v>
      </c>
      <c r="BG68" t="e">
        <f>AND('5to. Perito_B'!#REF!,"AAAAAG/OTzo=")</f>
        <v>#REF!</v>
      </c>
      <c r="BH68" t="e">
        <f>AND('5to. Perito_B'!#REF!,"AAAAAG/OTzs=")</f>
        <v>#REF!</v>
      </c>
      <c r="BI68" t="e">
        <f>AND('5to. Perito_B'!#REF!,"AAAAAG/OTzw=")</f>
        <v>#REF!</v>
      </c>
      <c r="BJ68" t="e">
        <f>AND('5to. Perito_B'!#REF!,"AAAAAG/OTz0=")</f>
        <v>#REF!</v>
      </c>
      <c r="BK68" t="e">
        <f>AND('5to. Perito_B'!#REF!,"AAAAAG/OTz4=")</f>
        <v>#REF!</v>
      </c>
      <c r="BL68" t="e">
        <f>AND('5to. Perito_B'!#REF!,"AAAAAG/OTz8=")</f>
        <v>#REF!</v>
      </c>
      <c r="BM68" t="e">
        <f>AND('5to. Perito_B'!#REF!,"AAAAAG/OT0A=")</f>
        <v>#REF!</v>
      </c>
      <c r="BN68" t="e">
        <f>AND('5to. Perito_B'!#REF!,"AAAAAG/OT0E=")</f>
        <v>#REF!</v>
      </c>
      <c r="BO68" t="e">
        <f>AND('5to. Perito_B'!#REF!,"AAAAAG/OT0I=")</f>
        <v>#REF!</v>
      </c>
      <c r="BP68" t="e">
        <f>AND('5to. Perito_B'!#REF!,"AAAAAG/OT0M=")</f>
        <v>#REF!</v>
      </c>
      <c r="BQ68" t="e">
        <f>AND('5to. Perito_B'!#REF!,"AAAAAG/OT0Q=")</f>
        <v>#REF!</v>
      </c>
      <c r="BR68" t="e">
        <f>AND('5to. Perito_B'!#REF!,"AAAAAG/OT0U=")</f>
        <v>#REF!</v>
      </c>
      <c r="BS68" t="e">
        <f>AND('5to. Perito_B'!#REF!,"AAAAAG/OT0Y=")</f>
        <v>#REF!</v>
      </c>
      <c r="BT68" t="e">
        <f>AND('5to. Perito_B'!#REF!,"AAAAAG/OT0c=")</f>
        <v>#REF!</v>
      </c>
      <c r="BU68" t="e">
        <f>AND('5to. Perito_B'!#REF!,"AAAAAG/OT0g=")</f>
        <v>#REF!</v>
      </c>
      <c r="BV68" t="e">
        <f>AND('5to. Perito_B'!#REF!,"AAAAAG/OT0k=")</f>
        <v>#REF!</v>
      </c>
      <c r="BW68" t="e">
        <f>AND('5to. Perito_B'!#REF!,"AAAAAG/OT0o=")</f>
        <v>#REF!</v>
      </c>
      <c r="BX68" t="e">
        <f>IF('5to. Perito_B'!#REF!,"AAAAAG/OT0s=",0)</f>
        <v>#REF!</v>
      </c>
      <c r="BY68" t="e">
        <f>AND('5to. Perito_B'!#REF!,"AAAAAG/OT0w=")</f>
        <v>#REF!</v>
      </c>
      <c r="BZ68" t="e">
        <f>AND('5to. Perito_B'!#REF!,"AAAAAG/OT00=")</f>
        <v>#REF!</v>
      </c>
      <c r="CA68" t="e">
        <f>AND('5to. Perito_B'!#REF!,"AAAAAG/OT04=")</f>
        <v>#REF!</v>
      </c>
      <c r="CB68" t="e">
        <f>AND('5to. Perito_B'!#REF!,"AAAAAG/OT08=")</f>
        <v>#REF!</v>
      </c>
      <c r="CC68" t="e">
        <f>AND('5to. Perito_B'!#REF!,"AAAAAG/OT1A=")</f>
        <v>#REF!</v>
      </c>
      <c r="CD68" t="e">
        <f>AND('5to. Perito_B'!#REF!,"AAAAAG/OT1E=")</f>
        <v>#REF!</v>
      </c>
      <c r="CE68" t="e">
        <f>AND('5to. Perito_B'!#REF!,"AAAAAG/OT1I=")</f>
        <v>#REF!</v>
      </c>
      <c r="CF68" t="e">
        <f>AND('5to. Perito_B'!#REF!,"AAAAAG/OT1M=")</f>
        <v>#REF!</v>
      </c>
      <c r="CG68" t="e">
        <f>AND('5to. Perito_B'!#REF!,"AAAAAG/OT1Q=")</f>
        <v>#REF!</v>
      </c>
      <c r="CH68" t="e">
        <f>AND('5to. Perito_B'!#REF!,"AAAAAG/OT1U=")</f>
        <v>#REF!</v>
      </c>
      <c r="CI68" t="e">
        <f>AND('5to. Perito_B'!#REF!,"AAAAAG/OT1Y=")</f>
        <v>#REF!</v>
      </c>
      <c r="CJ68" t="e">
        <f>AND('5to. Perito_B'!#REF!,"AAAAAG/OT1c=")</f>
        <v>#REF!</v>
      </c>
      <c r="CK68" t="e">
        <f>AND('5to. Perito_B'!#REF!,"AAAAAG/OT1g=")</f>
        <v>#REF!</v>
      </c>
      <c r="CL68" t="e">
        <f>AND('5to. Perito_B'!#REF!,"AAAAAG/OT1k=")</f>
        <v>#REF!</v>
      </c>
      <c r="CM68" t="e">
        <f>AND('5to. Perito_B'!#REF!,"AAAAAG/OT1o=")</f>
        <v>#REF!</v>
      </c>
      <c r="CN68" t="e">
        <f>AND('5to. Perito_B'!#REF!,"AAAAAG/OT1s=")</f>
        <v>#REF!</v>
      </c>
      <c r="CO68" t="e">
        <f>AND('5to. Perito_B'!#REF!,"AAAAAG/OT1w=")</f>
        <v>#REF!</v>
      </c>
      <c r="CP68" t="e">
        <f>AND('5to. Perito_B'!#REF!,"AAAAAG/OT10=")</f>
        <v>#REF!</v>
      </c>
      <c r="CQ68" t="e">
        <f>AND('5to. Perito_B'!#REF!,"AAAAAG/OT14=")</f>
        <v>#REF!</v>
      </c>
      <c r="CR68" t="e">
        <f>AND('5to. Perito_B'!#REF!,"AAAAAG/OT18=")</f>
        <v>#REF!</v>
      </c>
      <c r="CS68" t="e">
        <f>AND('5to. Perito_B'!#REF!,"AAAAAG/OT2A=")</f>
        <v>#REF!</v>
      </c>
      <c r="CT68" t="e">
        <f>AND('5to. Perito_B'!#REF!,"AAAAAG/OT2E=")</f>
        <v>#REF!</v>
      </c>
      <c r="CU68" t="e">
        <f>AND('5to. Perito_B'!#REF!,"AAAAAG/OT2I=")</f>
        <v>#REF!</v>
      </c>
      <c r="CV68" t="e">
        <f>AND('5to. Perito_B'!#REF!,"AAAAAG/OT2M=")</f>
        <v>#REF!</v>
      </c>
      <c r="CW68" t="e">
        <f>AND('5to. Perito_B'!#REF!,"AAAAAG/OT2Q=")</f>
        <v>#REF!</v>
      </c>
      <c r="CX68" t="e">
        <f>IF('5to. Perito_B'!#REF!,"AAAAAG/OT2U=",0)</f>
        <v>#REF!</v>
      </c>
      <c r="CY68" t="e">
        <f>AND('5to. Perito_B'!#REF!,"AAAAAG/OT2Y=")</f>
        <v>#REF!</v>
      </c>
      <c r="CZ68" t="e">
        <f>AND('5to. Perito_B'!#REF!,"AAAAAG/OT2c=")</f>
        <v>#REF!</v>
      </c>
      <c r="DA68" t="e">
        <f>AND('5to. Perito_B'!#REF!,"AAAAAG/OT2g=")</f>
        <v>#REF!</v>
      </c>
      <c r="DB68" t="e">
        <f>AND('5to. Perito_B'!#REF!,"AAAAAG/OT2k=")</f>
        <v>#REF!</v>
      </c>
      <c r="DC68" t="e">
        <f>AND('5to. Perito_B'!#REF!,"AAAAAG/OT2o=")</f>
        <v>#REF!</v>
      </c>
      <c r="DD68" t="e">
        <f>AND('5to. Perito_B'!#REF!,"AAAAAG/OT2s=")</f>
        <v>#REF!</v>
      </c>
      <c r="DE68" t="e">
        <f>AND('5to. Perito_B'!#REF!,"AAAAAG/OT2w=")</f>
        <v>#REF!</v>
      </c>
      <c r="DF68" t="e">
        <f>AND('5to. Perito_B'!#REF!,"AAAAAG/OT20=")</f>
        <v>#REF!</v>
      </c>
      <c r="DG68" t="e">
        <f>AND('5to. Perito_B'!#REF!,"AAAAAG/OT24=")</f>
        <v>#REF!</v>
      </c>
      <c r="DH68" t="e">
        <f>AND('5to. Perito_B'!#REF!,"AAAAAG/OT28=")</f>
        <v>#REF!</v>
      </c>
      <c r="DI68" t="e">
        <f>AND('5to. Perito_B'!#REF!,"AAAAAG/OT3A=")</f>
        <v>#REF!</v>
      </c>
      <c r="DJ68" t="e">
        <f>AND('5to. Perito_B'!#REF!,"AAAAAG/OT3E=")</f>
        <v>#REF!</v>
      </c>
      <c r="DK68" t="e">
        <f>AND('5to. Perito_B'!#REF!,"AAAAAG/OT3I=")</f>
        <v>#REF!</v>
      </c>
      <c r="DL68" t="e">
        <f>AND('5to. Perito_B'!#REF!,"AAAAAG/OT3M=")</f>
        <v>#REF!</v>
      </c>
      <c r="DM68" t="e">
        <f>AND('5to. Perito_B'!#REF!,"AAAAAG/OT3Q=")</f>
        <v>#REF!</v>
      </c>
      <c r="DN68" t="e">
        <f>AND('5to. Perito_B'!#REF!,"AAAAAG/OT3U=")</f>
        <v>#REF!</v>
      </c>
      <c r="DO68" t="e">
        <f>AND('5to. Perito_B'!#REF!,"AAAAAG/OT3Y=")</f>
        <v>#REF!</v>
      </c>
      <c r="DP68" t="e">
        <f>AND('5to. Perito_B'!#REF!,"AAAAAG/OT3c=")</f>
        <v>#REF!</v>
      </c>
      <c r="DQ68" t="e">
        <f>AND('5to. Perito_B'!#REF!,"AAAAAG/OT3g=")</f>
        <v>#REF!</v>
      </c>
      <c r="DR68" t="e">
        <f>AND('5to. Perito_B'!#REF!,"AAAAAG/OT3k=")</f>
        <v>#REF!</v>
      </c>
      <c r="DS68" t="e">
        <f>AND('5to. Perito_B'!#REF!,"AAAAAG/OT3o=")</f>
        <v>#REF!</v>
      </c>
      <c r="DT68" t="e">
        <f>AND('5to. Perito_B'!#REF!,"AAAAAG/OT3s=")</f>
        <v>#REF!</v>
      </c>
      <c r="DU68" t="e">
        <f>AND('5to. Perito_B'!#REF!,"AAAAAG/OT3w=")</f>
        <v>#REF!</v>
      </c>
      <c r="DV68" t="e">
        <f>AND('5to. Perito_B'!#REF!,"AAAAAG/OT30=")</f>
        <v>#REF!</v>
      </c>
      <c r="DW68" t="e">
        <f>AND('5to. Perito_B'!#REF!,"AAAAAG/OT34=")</f>
        <v>#REF!</v>
      </c>
      <c r="DX68" t="e">
        <f>IF('5to. Perito_B'!#REF!,"AAAAAG/OT38=",0)</f>
        <v>#REF!</v>
      </c>
      <c r="DY68" t="e">
        <f>AND('5to. Perito_B'!#REF!,"AAAAAG/OT4A=")</f>
        <v>#REF!</v>
      </c>
      <c r="DZ68" t="e">
        <f>AND('5to. Perito_B'!#REF!,"AAAAAG/OT4E=")</f>
        <v>#REF!</v>
      </c>
      <c r="EA68" t="e">
        <f>AND('5to. Perito_B'!#REF!,"AAAAAG/OT4I=")</f>
        <v>#REF!</v>
      </c>
      <c r="EB68" t="e">
        <f>AND('5to. Perito_B'!#REF!,"AAAAAG/OT4M=")</f>
        <v>#REF!</v>
      </c>
      <c r="EC68" t="e">
        <f>AND('5to. Perito_B'!#REF!,"AAAAAG/OT4Q=")</f>
        <v>#REF!</v>
      </c>
      <c r="ED68" t="e">
        <f>AND('5to. Perito_B'!#REF!,"AAAAAG/OT4U=")</f>
        <v>#REF!</v>
      </c>
      <c r="EE68" t="e">
        <f>AND('5to. Perito_B'!#REF!,"AAAAAG/OT4Y=")</f>
        <v>#REF!</v>
      </c>
      <c r="EF68" t="e">
        <f>AND('5to. Perito_B'!#REF!,"AAAAAG/OT4c=")</f>
        <v>#REF!</v>
      </c>
      <c r="EG68" t="e">
        <f>AND('5to. Perito_B'!#REF!,"AAAAAG/OT4g=")</f>
        <v>#REF!</v>
      </c>
      <c r="EH68" t="e">
        <f>AND('5to. Perito_B'!#REF!,"AAAAAG/OT4k=")</f>
        <v>#REF!</v>
      </c>
      <c r="EI68" t="e">
        <f>AND('5to. Perito_B'!#REF!,"AAAAAG/OT4o=")</f>
        <v>#REF!</v>
      </c>
      <c r="EJ68" t="e">
        <f>AND('5to. Perito_B'!#REF!,"AAAAAG/OT4s=")</f>
        <v>#REF!</v>
      </c>
      <c r="EK68" t="e">
        <f>AND('5to. Perito_B'!#REF!,"AAAAAG/OT4w=")</f>
        <v>#REF!</v>
      </c>
      <c r="EL68" t="e">
        <f>AND('5to. Perito_B'!#REF!,"AAAAAG/OT40=")</f>
        <v>#REF!</v>
      </c>
      <c r="EM68" t="e">
        <f>AND('5to. Perito_B'!#REF!,"AAAAAG/OT44=")</f>
        <v>#REF!</v>
      </c>
      <c r="EN68" t="e">
        <f>AND('5to. Perito_B'!#REF!,"AAAAAG/OT48=")</f>
        <v>#REF!</v>
      </c>
      <c r="EO68" t="e">
        <f>AND('5to. Perito_B'!#REF!,"AAAAAG/OT5A=")</f>
        <v>#REF!</v>
      </c>
      <c r="EP68" t="e">
        <f>AND('5to. Perito_B'!#REF!,"AAAAAG/OT5E=")</f>
        <v>#REF!</v>
      </c>
      <c r="EQ68" t="e">
        <f>AND('5to. Perito_B'!#REF!,"AAAAAG/OT5I=")</f>
        <v>#REF!</v>
      </c>
      <c r="ER68" t="e">
        <f>AND('5to. Perito_B'!#REF!,"AAAAAG/OT5M=")</f>
        <v>#REF!</v>
      </c>
      <c r="ES68" t="e">
        <f>AND('5to. Perito_B'!#REF!,"AAAAAG/OT5Q=")</f>
        <v>#REF!</v>
      </c>
      <c r="ET68" t="e">
        <f>AND('5to. Perito_B'!#REF!,"AAAAAG/OT5U=")</f>
        <v>#REF!</v>
      </c>
      <c r="EU68" t="e">
        <f>AND('5to. Perito_B'!#REF!,"AAAAAG/OT5Y=")</f>
        <v>#REF!</v>
      </c>
      <c r="EV68" t="e">
        <f>AND('5to. Perito_B'!#REF!,"AAAAAG/OT5c=")</f>
        <v>#REF!</v>
      </c>
      <c r="EW68" t="e">
        <f>AND('5to. Perito_B'!#REF!,"AAAAAG/OT5g=")</f>
        <v>#REF!</v>
      </c>
      <c r="EX68" t="e">
        <f>IF('5to. Perito_B'!#REF!,"AAAAAG/OT5k=",0)</f>
        <v>#REF!</v>
      </c>
      <c r="EY68" t="e">
        <f>AND('5to. Perito_B'!#REF!,"AAAAAG/OT5o=")</f>
        <v>#REF!</v>
      </c>
      <c r="EZ68" t="e">
        <f>AND('5to. Perito_B'!#REF!,"AAAAAG/OT5s=")</f>
        <v>#REF!</v>
      </c>
      <c r="FA68" t="e">
        <f>AND('5to. Perito_B'!#REF!,"AAAAAG/OT5w=")</f>
        <v>#REF!</v>
      </c>
      <c r="FB68" t="e">
        <f>AND('5to. Perito_B'!#REF!,"AAAAAG/OT50=")</f>
        <v>#REF!</v>
      </c>
      <c r="FC68" t="e">
        <f>AND('5to. Perito_B'!#REF!,"AAAAAG/OT54=")</f>
        <v>#REF!</v>
      </c>
      <c r="FD68" t="e">
        <f>AND('5to. Perito_B'!#REF!,"AAAAAG/OT58=")</f>
        <v>#REF!</v>
      </c>
      <c r="FE68" t="e">
        <f>AND('5to. Perito_B'!#REF!,"AAAAAG/OT6A=")</f>
        <v>#REF!</v>
      </c>
      <c r="FF68" t="e">
        <f>AND('5to. Perito_B'!#REF!,"AAAAAG/OT6E=")</f>
        <v>#REF!</v>
      </c>
      <c r="FG68" t="e">
        <f>AND('5to. Perito_B'!#REF!,"AAAAAG/OT6I=")</f>
        <v>#REF!</v>
      </c>
      <c r="FH68" t="e">
        <f>AND('5to. Perito_B'!#REF!,"AAAAAG/OT6M=")</f>
        <v>#REF!</v>
      </c>
      <c r="FI68" t="e">
        <f>AND('5to. Perito_B'!#REF!,"AAAAAG/OT6Q=")</f>
        <v>#REF!</v>
      </c>
      <c r="FJ68" t="e">
        <f>AND('5to. Perito_B'!#REF!,"AAAAAG/OT6U=")</f>
        <v>#REF!</v>
      </c>
      <c r="FK68" t="e">
        <f>AND('5to. Perito_B'!#REF!,"AAAAAG/OT6Y=")</f>
        <v>#REF!</v>
      </c>
      <c r="FL68" t="e">
        <f>AND('5to. Perito_B'!#REF!,"AAAAAG/OT6c=")</f>
        <v>#REF!</v>
      </c>
      <c r="FM68" t="e">
        <f>AND('5to. Perito_B'!#REF!,"AAAAAG/OT6g=")</f>
        <v>#REF!</v>
      </c>
      <c r="FN68" t="e">
        <f>AND('5to. Perito_B'!#REF!,"AAAAAG/OT6k=")</f>
        <v>#REF!</v>
      </c>
      <c r="FO68" t="e">
        <f>AND('5to. Perito_B'!#REF!,"AAAAAG/OT6o=")</f>
        <v>#REF!</v>
      </c>
      <c r="FP68" t="e">
        <f>AND('5to. Perito_B'!#REF!,"AAAAAG/OT6s=")</f>
        <v>#REF!</v>
      </c>
      <c r="FQ68" t="e">
        <f>AND('5to. Perito_B'!#REF!,"AAAAAG/OT6w=")</f>
        <v>#REF!</v>
      </c>
      <c r="FR68" t="e">
        <f>AND('5to. Perito_B'!#REF!,"AAAAAG/OT60=")</f>
        <v>#REF!</v>
      </c>
      <c r="FS68" t="e">
        <f>AND('5to. Perito_B'!#REF!,"AAAAAG/OT64=")</f>
        <v>#REF!</v>
      </c>
      <c r="FT68" t="e">
        <f>AND('5to. Perito_B'!#REF!,"AAAAAG/OT68=")</f>
        <v>#REF!</v>
      </c>
      <c r="FU68" t="e">
        <f>AND('5to. Perito_B'!#REF!,"AAAAAG/OT7A=")</f>
        <v>#REF!</v>
      </c>
      <c r="FV68" t="e">
        <f>AND('5to. Perito_B'!#REF!,"AAAAAG/OT7E=")</f>
        <v>#REF!</v>
      </c>
      <c r="FW68" t="e">
        <f>AND('5to. Perito_B'!#REF!,"AAAAAG/OT7I=")</f>
        <v>#REF!</v>
      </c>
      <c r="FX68">
        <f>IF('5to. Perito_B'!A:A,"AAAAAG/OT7M=",0)</f>
        <v>0</v>
      </c>
      <c r="FY68">
        <f>IF('5to. Perito_B'!B:B,"AAAAAG/OT7Q=",0)</f>
        <v>0</v>
      </c>
      <c r="FZ68">
        <f>IF('5to. Perito_B'!C:C,"AAAAAG/OT7U=",0)</f>
        <v>0</v>
      </c>
      <c r="GA68">
        <f>IF('5to. Perito_B'!D:D,"AAAAAG/OT7Y=",0)</f>
        <v>0</v>
      </c>
      <c r="GB68">
        <f>IF('5to. Perito_B'!E:E,"AAAAAG/OT7c=",0)</f>
        <v>0</v>
      </c>
      <c r="GC68">
        <f>IF('5to. Perito_B'!F:F,"AAAAAG/OT7g=",0)</f>
        <v>0</v>
      </c>
      <c r="GD68">
        <f>IF('5to. Perito_B'!G:G,"AAAAAG/OT7k=",0)</f>
        <v>0</v>
      </c>
      <c r="GE68">
        <f>IF('5to. Perito_B'!H:H,"AAAAAG/OT7o=",0)</f>
        <v>0</v>
      </c>
      <c r="GF68">
        <f>IF('5to. Perito_B'!I:I,"AAAAAG/OT7s=",0)</f>
        <v>0</v>
      </c>
      <c r="GG68">
        <f>IF('5to. Perito_B'!J:J,"AAAAAG/OT7w=",0)</f>
        <v>0</v>
      </c>
      <c r="GH68">
        <f>IF('5to. Perito_B'!K:K,"AAAAAG/OT70=",0)</f>
        <v>0</v>
      </c>
      <c r="GI68">
        <f>IF('5to. Perito_B'!L:L,"AAAAAG/OT74=",0)</f>
        <v>0</v>
      </c>
      <c r="GJ68">
        <f>IF('5to. Perito_B'!M:M,"AAAAAG/OT78=",0)</f>
        <v>0</v>
      </c>
      <c r="GK68">
        <f>IF('5to. Perito_B'!N:N,"AAAAAG/OT8A=",0)</f>
        <v>0</v>
      </c>
      <c r="GL68">
        <f>IF('5to. Perito_B'!O:O,"AAAAAG/OT8E=",0)</f>
        <v>0</v>
      </c>
      <c r="GM68">
        <f>IF('5to. Perito_B'!P:P,"AAAAAG/OT8I=",0)</f>
        <v>0</v>
      </c>
      <c r="GN68">
        <f>IF('5to. Perito_B'!Q:Q,"AAAAAG/OT8M=",0)</f>
        <v>0</v>
      </c>
      <c r="GO68">
        <f>IF('5to. Perito_B'!R:R,"AAAAAG/OT8Q=",0)</f>
        <v>0</v>
      </c>
      <c r="GP68">
        <f>IF('5to. Perito_B'!S:S,"AAAAAG/OT8U=",0)</f>
        <v>0</v>
      </c>
      <c r="GQ68">
        <f>IF('5to. Perito_B'!T:T,"AAAAAG/OT8Y=",0)</f>
        <v>0</v>
      </c>
      <c r="GR68" t="e">
        <f>IF('5to. Perito_B'!#REF!,"AAAAAG/OT8c=",0)</f>
        <v>#REF!</v>
      </c>
      <c r="GS68" t="e">
        <f>IF('5to. Perito_B'!#REF!,"AAAAAG/OT8g=",0)</f>
        <v>#REF!</v>
      </c>
      <c r="GT68" t="e">
        <f>IF('5to. Perito_B'!#REF!,"AAAAAG/OT8k=",0)</f>
        <v>#REF!</v>
      </c>
      <c r="GU68" t="e">
        <f>IF('5to. Perito_B'!#REF!,"AAAAAG/OT8o=",0)</f>
        <v>#REF!</v>
      </c>
      <c r="GV68" t="e">
        <f>IF('5to. Perito_B'!#REF!,"AAAAAG/OT8s=",0)</f>
        <v>#REF!</v>
      </c>
      <c r="GW68" t="e">
        <f>IF('6to. Secre.'!#REF!,"AAAAAG/OT8w=",0)</f>
        <v>#REF!</v>
      </c>
      <c r="GX68" t="e">
        <f>AND('6to. Secre.'!#REF!,"AAAAAG/OT80=")</f>
        <v>#REF!</v>
      </c>
      <c r="GY68" t="e">
        <f>AND('6to. Secre.'!#REF!,"AAAAAG/OT84=")</f>
        <v>#REF!</v>
      </c>
      <c r="GZ68" t="e">
        <f>AND('6to. Secre.'!#REF!,"AAAAAG/OT88=")</f>
        <v>#REF!</v>
      </c>
      <c r="HA68" t="e">
        <f>AND('6to. Secre.'!#REF!,"AAAAAG/OT9A=")</f>
        <v>#REF!</v>
      </c>
      <c r="HB68" t="e">
        <f>AND('6to. Secre.'!#REF!,"AAAAAG/OT9E=")</f>
        <v>#REF!</v>
      </c>
      <c r="HC68" t="e">
        <f>AND('6to. Secre.'!#REF!,"AAAAAG/OT9I=")</f>
        <v>#REF!</v>
      </c>
      <c r="HD68" t="e">
        <f>AND('6to. Secre.'!#REF!,"AAAAAG/OT9M=")</f>
        <v>#REF!</v>
      </c>
      <c r="HE68" t="e">
        <f>AND('6to. Secre.'!#REF!,"AAAAAG/OT9Q=")</f>
        <v>#REF!</v>
      </c>
      <c r="HF68" t="e">
        <f>AND('6to. Secre.'!#REF!,"AAAAAG/OT9U=")</f>
        <v>#REF!</v>
      </c>
      <c r="HG68" t="e">
        <f>AND('6to. Secre.'!#REF!,"AAAAAG/OT9Y=")</f>
        <v>#REF!</v>
      </c>
      <c r="HH68" t="e">
        <f>AND('6to. Secre.'!#REF!,"AAAAAG/OT9c=")</f>
        <v>#REF!</v>
      </c>
      <c r="HI68" t="e">
        <f>AND('6to. Secre.'!#REF!,"AAAAAG/OT9g=")</f>
        <v>#REF!</v>
      </c>
      <c r="HJ68" t="e">
        <f>AND('6to. Secre.'!#REF!,"AAAAAG/OT9k=")</f>
        <v>#REF!</v>
      </c>
      <c r="HK68" t="e">
        <f>AND('6to. Secre.'!#REF!,"AAAAAG/OT9o=")</f>
        <v>#REF!</v>
      </c>
      <c r="HL68" t="e">
        <f>AND('6to. Secre.'!#REF!,"AAAAAG/OT9s=")</f>
        <v>#REF!</v>
      </c>
      <c r="HM68" t="e">
        <f>AND('6to. Secre.'!#REF!,"AAAAAG/OT9w=")</f>
        <v>#REF!</v>
      </c>
      <c r="HN68" t="e">
        <f>AND('6to. Secre.'!#REF!,"AAAAAG/OT90=")</f>
        <v>#REF!</v>
      </c>
      <c r="HO68" t="e">
        <f>AND('6to. Secre.'!#REF!,"AAAAAG/OT94=")</f>
        <v>#REF!</v>
      </c>
      <c r="HP68" t="e">
        <f>AND('6to. Secre.'!#REF!,"AAAAAG/OT98=")</f>
        <v>#REF!</v>
      </c>
      <c r="HQ68" t="e">
        <f>AND('6to. Secre.'!#REF!,"AAAAAG/OT+A=")</f>
        <v>#REF!</v>
      </c>
      <c r="HR68" t="e">
        <f>AND('6to. Secre.'!#REF!,"AAAAAG/OT+E=")</f>
        <v>#REF!</v>
      </c>
      <c r="HS68" t="e">
        <f>AND('6to. Secre.'!#REF!,"AAAAAG/OT+I=")</f>
        <v>#REF!</v>
      </c>
      <c r="HT68" t="e">
        <f>AND('6to. Secre.'!#REF!,"AAAAAG/OT+M=")</f>
        <v>#REF!</v>
      </c>
      <c r="HU68" t="e">
        <f>AND('6to. Secre.'!#REF!,"AAAAAG/OT+Q=")</f>
        <v>#REF!</v>
      </c>
      <c r="HV68" t="e">
        <f>AND('6to. Secre.'!#REF!,"AAAAAG/OT+U=")</f>
        <v>#REF!</v>
      </c>
      <c r="HW68" t="e">
        <f>IF('6to. Secre.'!#REF!,"AAAAAG/OT+Y=",0)</f>
        <v>#REF!</v>
      </c>
      <c r="HX68" t="e">
        <f>AND('6to. Secre.'!#REF!,"AAAAAG/OT+c=")</f>
        <v>#REF!</v>
      </c>
      <c r="HY68" t="e">
        <f>AND('6to. Secre.'!#REF!,"AAAAAG/OT+g=")</f>
        <v>#REF!</v>
      </c>
      <c r="HZ68" t="e">
        <f>AND('6to. Secre.'!#REF!,"AAAAAG/OT+k=")</f>
        <v>#REF!</v>
      </c>
      <c r="IA68" t="e">
        <f>AND('6to. Secre.'!#REF!,"AAAAAG/OT+o=")</f>
        <v>#REF!</v>
      </c>
      <c r="IB68" t="e">
        <f>AND('6to. Secre.'!#REF!,"AAAAAG/OT+s=")</f>
        <v>#REF!</v>
      </c>
      <c r="IC68" t="e">
        <f>AND('6to. Secre.'!#REF!,"AAAAAG/OT+w=")</f>
        <v>#REF!</v>
      </c>
      <c r="ID68" t="e">
        <f>AND('6to. Secre.'!#REF!,"AAAAAG/OT+0=")</f>
        <v>#REF!</v>
      </c>
      <c r="IE68" t="e">
        <f>AND('6to. Secre.'!#REF!,"AAAAAG/OT+4=")</f>
        <v>#REF!</v>
      </c>
      <c r="IF68" t="e">
        <f>AND('6to. Secre.'!#REF!,"AAAAAG/OT+8=")</f>
        <v>#REF!</v>
      </c>
      <c r="IG68" t="e">
        <f>AND('6to. Secre.'!#REF!,"AAAAAG/OT/A=")</f>
        <v>#REF!</v>
      </c>
      <c r="IH68" t="e">
        <f>AND('6to. Secre.'!#REF!,"AAAAAG/OT/E=")</f>
        <v>#REF!</v>
      </c>
      <c r="II68" t="e">
        <f>AND('6to. Secre.'!#REF!,"AAAAAG/OT/I=")</f>
        <v>#REF!</v>
      </c>
      <c r="IJ68" t="e">
        <f>AND('6to. Secre.'!#REF!,"AAAAAG/OT/M=")</f>
        <v>#REF!</v>
      </c>
      <c r="IK68" t="e">
        <f>AND('6to. Secre.'!#REF!,"AAAAAG/OT/Q=")</f>
        <v>#REF!</v>
      </c>
      <c r="IL68" t="e">
        <f>AND('6to. Secre.'!#REF!,"AAAAAG/OT/U=")</f>
        <v>#REF!</v>
      </c>
      <c r="IM68" t="e">
        <f>AND('6to. Secre.'!#REF!,"AAAAAG/OT/Y=")</f>
        <v>#REF!</v>
      </c>
      <c r="IN68" t="e">
        <f>AND('6to. Secre.'!#REF!,"AAAAAG/OT/c=")</f>
        <v>#REF!</v>
      </c>
      <c r="IO68" t="e">
        <f>AND('6to. Secre.'!#REF!,"AAAAAG/OT/g=")</f>
        <v>#REF!</v>
      </c>
      <c r="IP68" t="e">
        <f>AND('6to. Secre.'!#REF!,"AAAAAG/OT/k=")</f>
        <v>#REF!</v>
      </c>
      <c r="IQ68" t="e">
        <f>AND('6to. Secre.'!#REF!,"AAAAAG/OT/o=")</f>
        <v>#REF!</v>
      </c>
      <c r="IR68" t="e">
        <f>AND('6to. Secre.'!#REF!,"AAAAAG/OT/s=")</f>
        <v>#REF!</v>
      </c>
      <c r="IS68" t="e">
        <f>AND('6to. Secre.'!#REF!,"AAAAAG/OT/w=")</f>
        <v>#REF!</v>
      </c>
      <c r="IT68" t="e">
        <f>AND('6to. Secre.'!#REF!,"AAAAAG/OT/0=")</f>
        <v>#REF!</v>
      </c>
      <c r="IU68" t="e">
        <f>AND('6to. Secre.'!#REF!,"AAAAAG/OT/4=")</f>
        <v>#REF!</v>
      </c>
      <c r="IV68" t="e">
        <f>AND('6to. Secre.'!#REF!,"AAAAAG/OT/8=")</f>
        <v>#REF!</v>
      </c>
    </row>
    <row r="69" spans="1:256">
      <c r="A69" t="e">
        <f>IF('6to. Secre.'!#REF!,"AAAAABrvfgA=",0)</f>
        <v>#REF!</v>
      </c>
      <c r="B69" t="e">
        <f>AND('6to. Secre.'!#REF!,"AAAAABrvfgE=")</f>
        <v>#REF!</v>
      </c>
      <c r="C69" t="e">
        <f>AND('6to. Secre.'!#REF!,"AAAAABrvfgI=")</f>
        <v>#REF!</v>
      </c>
      <c r="D69" t="e">
        <f>AND('6to. Secre.'!#REF!,"AAAAABrvfgM=")</f>
        <v>#REF!</v>
      </c>
      <c r="E69" t="e">
        <f>AND('6to. Secre.'!#REF!,"AAAAABrvfgQ=")</f>
        <v>#REF!</v>
      </c>
      <c r="F69" t="e">
        <f>AND('6to. Secre.'!#REF!,"AAAAABrvfgU=")</f>
        <v>#REF!</v>
      </c>
      <c r="G69" t="e">
        <f>AND('6to. Secre.'!#REF!,"AAAAABrvfgY=")</f>
        <v>#REF!</v>
      </c>
      <c r="H69" t="e">
        <f>AND('6to. Secre.'!#REF!,"AAAAABrvfgc=")</f>
        <v>#REF!</v>
      </c>
      <c r="I69" t="e">
        <f>AND('6to. Secre.'!#REF!,"AAAAABrvfgg=")</f>
        <v>#REF!</v>
      </c>
      <c r="J69" t="e">
        <f>AND('6to. Secre.'!#REF!,"AAAAABrvfgk=")</f>
        <v>#REF!</v>
      </c>
      <c r="K69" t="e">
        <f>AND('6to. Secre.'!#REF!,"AAAAABrvfgo=")</f>
        <v>#REF!</v>
      </c>
      <c r="L69" t="e">
        <f>AND('6to. Secre.'!#REF!,"AAAAABrvfgs=")</f>
        <v>#REF!</v>
      </c>
      <c r="M69" t="e">
        <f>AND('6to. Secre.'!#REF!,"AAAAABrvfgw=")</f>
        <v>#REF!</v>
      </c>
      <c r="N69" t="e">
        <f>AND('6to. Secre.'!#REF!,"AAAAABrvfg0=")</f>
        <v>#REF!</v>
      </c>
      <c r="O69" t="e">
        <f>AND('6to. Secre.'!#REF!,"AAAAABrvfg4=")</f>
        <v>#REF!</v>
      </c>
      <c r="P69" t="e">
        <f>AND('6to. Secre.'!#REF!,"AAAAABrvfg8=")</f>
        <v>#REF!</v>
      </c>
      <c r="Q69" t="e">
        <f>AND('6to. Secre.'!#REF!,"AAAAABrvfhA=")</f>
        <v>#REF!</v>
      </c>
      <c r="R69" t="e">
        <f>AND('6to. Secre.'!#REF!,"AAAAABrvfhE=")</f>
        <v>#REF!</v>
      </c>
      <c r="S69" t="e">
        <f>AND('6to. Secre.'!#REF!,"AAAAABrvfhI=")</f>
        <v>#REF!</v>
      </c>
      <c r="T69" t="e">
        <f>AND('6to. Secre.'!#REF!,"AAAAABrvfhM=")</f>
        <v>#REF!</v>
      </c>
      <c r="U69" t="e">
        <f>AND('6to. Secre.'!#REF!,"AAAAABrvfhQ=")</f>
        <v>#REF!</v>
      </c>
      <c r="V69" t="e">
        <f>AND('6to. Secre.'!#REF!,"AAAAABrvfhU=")</f>
        <v>#REF!</v>
      </c>
      <c r="W69" t="e">
        <f>AND('6to. Secre.'!#REF!,"AAAAABrvfhY=")</f>
        <v>#REF!</v>
      </c>
      <c r="X69" t="e">
        <f>AND('6to. Secre.'!#REF!,"AAAAABrvfhc=")</f>
        <v>#REF!</v>
      </c>
      <c r="Y69" t="e">
        <f>AND('6to. Secre.'!#REF!,"AAAAABrvfhg=")</f>
        <v>#REF!</v>
      </c>
      <c r="Z69" t="e">
        <f>AND('6to. Secre.'!#REF!,"AAAAABrvfhk=")</f>
        <v>#REF!</v>
      </c>
      <c r="AA69" t="e">
        <f>IF('6to. Secre.'!#REF!,"AAAAABrvfho=",0)</f>
        <v>#REF!</v>
      </c>
      <c r="AB69" t="e">
        <f>AND('6to. Secre.'!#REF!,"AAAAABrvfhs=")</f>
        <v>#REF!</v>
      </c>
      <c r="AC69" t="e">
        <f>AND('6to. Secre.'!#REF!,"AAAAABrvfhw=")</f>
        <v>#REF!</v>
      </c>
      <c r="AD69" t="e">
        <f>AND('6to. Secre.'!#REF!,"AAAAABrvfh0=")</f>
        <v>#REF!</v>
      </c>
      <c r="AE69" t="e">
        <f>AND('6to. Secre.'!#REF!,"AAAAABrvfh4=")</f>
        <v>#REF!</v>
      </c>
      <c r="AF69" t="e">
        <f>AND('6to. Secre.'!#REF!,"AAAAABrvfh8=")</f>
        <v>#REF!</v>
      </c>
      <c r="AG69" t="e">
        <f>AND('6to. Secre.'!#REF!,"AAAAABrvfiA=")</f>
        <v>#REF!</v>
      </c>
      <c r="AH69" t="e">
        <f>AND('6to. Secre.'!#REF!,"AAAAABrvfiE=")</f>
        <v>#REF!</v>
      </c>
      <c r="AI69" t="e">
        <f>AND('6to. Secre.'!#REF!,"AAAAABrvfiI=")</f>
        <v>#REF!</v>
      </c>
      <c r="AJ69" t="e">
        <f>AND('6to. Secre.'!#REF!,"AAAAABrvfiM=")</f>
        <v>#REF!</v>
      </c>
      <c r="AK69" t="e">
        <f>AND('6to. Secre.'!#REF!,"AAAAABrvfiQ=")</f>
        <v>#REF!</v>
      </c>
      <c r="AL69" t="e">
        <f>AND('6to. Secre.'!#REF!,"AAAAABrvfiU=")</f>
        <v>#REF!</v>
      </c>
      <c r="AM69" t="e">
        <f>AND('6to. Secre.'!#REF!,"AAAAABrvfiY=")</f>
        <v>#REF!</v>
      </c>
      <c r="AN69" t="e">
        <f>AND('6to. Secre.'!#REF!,"AAAAABrvfic=")</f>
        <v>#REF!</v>
      </c>
      <c r="AO69" t="e">
        <f>AND('6to. Secre.'!#REF!,"AAAAABrvfig=")</f>
        <v>#REF!</v>
      </c>
      <c r="AP69" t="e">
        <f>AND('6to. Secre.'!#REF!,"AAAAABrvfik=")</f>
        <v>#REF!</v>
      </c>
      <c r="AQ69" t="e">
        <f>AND('6to. Secre.'!#REF!,"AAAAABrvfio=")</f>
        <v>#REF!</v>
      </c>
      <c r="AR69" t="e">
        <f>AND('6to. Secre.'!#REF!,"AAAAABrvfis=")</f>
        <v>#REF!</v>
      </c>
      <c r="AS69" t="e">
        <f>AND('6to. Secre.'!#REF!,"AAAAABrvfiw=")</f>
        <v>#REF!</v>
      </c>
      <c r="AT69" t="e">
        <f>AND('6to. Secre.'!#REF!,"AAAAABrvfi0=")</f>
        <v>#REF!</v>
      </c>
      <c r="AU69" t="e">
        <f>AND('6to. Secre.'!#REF!,"AAAAABrvfi4=")</f>
        <v>#REF!</v>
      </c>
      <c r="AV69" t="e">
        <f>AND('6to. Secre.'!#REF!,"AAAAABrvfi8=")</f>
        <v>#REF!</v>
      </c>
      <c r="AW69" t="e">
        <f>AND('6to. Secre.'!#REF!,"AAAAABrvfjA=")</f>
        <v>#REF!</v>
      </c>
      <c r="AX69" t="e">
        <f>AND('6to. Secre.'!#REF!,"AAAAABrvfjE=")</f>
        <v>#REF!</v>
      </c>
      <c r="AY69" t="e">
        <f>AND('6to. Secre.'!#REF!,"AAAAABrvfjI=")</f>
        <v>#REF!</v>
      </c>
      <c r="AZ69" t="e">
        <f>AND('6to. Secre.'!#REF!,"AAAAABrvfjM=")</f>
        <v>#REF!</v>
      </c>
      <c r="BA69">
        <f>IF('6to. Secre.'!2:2,"AAAAABrvfjQ=",0)</f>
        <v>0</v>
      </c>
      <c r="BB69" t="e">
        <f>AND('6to. Secre.'!A2,"AAAAABrvfjU=")</f>
        <v>#VALUE!</v>
      </c>
      <c r="BC69" t="e">
        <f>AND('6to. Secre.'!B2,"AAAAABrvfjY=")</f>
        <v>#VALUE!</v>
      </c>
      <c r="BD69" t="e">
        <f>AND('6to. Secre.'!C2,"AAAAABrvfjc=")</f>
        <v>#VALUE!</v>
      </c>
      <c r="BE69" t="e">
        <f>AND('6to. Secre.'!D2,"AAAAABrvfjg=")</f>
        <v>#VALUE!</v>
      </c>
      <c r="BF69" t="e">
        <f>AND('6to. Secre.'!E2,"AAAAABrvfjk=")</f>
        <v>#VALUE!</v>
      </c>
      <c r="BG69" t="e">
        <f>AND('6to. Secre.'!F2,"AAAAABrvfjo=")</f>
        <v>#VALUE!</v>
      </c>
      <c r="BH69" t="e">
        <f>AND('6to. Secre.'!G2,"AAAAABrvfjs=")</f>
        <v>#VALUE!</v>
      </c>
      <c r="BI69" t="e">
        <f>AND('6to. Secre.'!H2,"AAAAABrvfjw=")</f>
        <v>#VALUE!</v>
      </c>
      <c r="BJ69" t="e">
        <f>AND('6to. Secre.'!I2,"AAAAABrvfj0=")</f>
        <v>#VALUE!</v>
      </c>
      <c r="BK69" t="e">
        <f>AND('6to. Secre.'!J2,"AAAAABrvfj4=")</f>
        <v>#VALUE!</v>
      </c>
      <c r="BL69" t="e">
        <f>AND('6to. Secre.'!K2,"AAAAABrvfj8=")</f>
        <v>#VALUE!</v>
      </c>
      <c r="BM69" t="e">
        <f>AND('6to. Secre.'!L2,"AAAAABrvfkA=")</f>
        <v>#VALUE!</v>
      </c>
      <c r="BN69" t="e">
        <f>AND('6to. Secre.'!M2,"AAAAABrvfkE=")</f>
        <v>#VALUE!</v>
      </c>
      <c r="BO69" t="e">
        <f>AND('6to. Secre.'!N2,"AAAAABrvfkI=")</f>
        <v>#VALUE!</v>
      </c>
      <c r="BP69" t="e">
        <f>AND('6to. Secre.'!O2,"AAAAABrvfkM=")</f>
        <v>#VALUE!</v>
      </c>
      <c r="BQ69" t="e">
        <f>AND('6to. Secre.'!P2,"AAAAABrvfkQ=")</f>
        <v>#VALUE!</v>
      </c>
      <c r="BR69" t="e">
        <f>AND('6to. Secre.'!Q2,"AAAAABrvfkU=")</f>
        <v>#VALUE!</v>
      </c>
      <c r="BS69" t="e">
        <f>AND('6to. Secre.'!R2,"AAAAABrvfkY=")</f>
        <v>#VALUE!</v>
      </c>
      <c r="BT69" t="e">
        <f>AND('6to. Secre.'!S2,"AAAAABrvfkc=")</f>
        <v>#VALUE!</v>
      </c>
      <c r="BU69" t="e">
        <f>AND('6to. Secre.'!T2,"AAAAABrvfkg=")</f>
        <v>#VALUE!</v>
      </c>
      <c r="BV69" t="e">
        <f>AND('6to. Secre.'!#REF!,"AAAAABrvfkk=")</f>
        <v>#REF!</v>
      </c>
      <c r="BW69" t="e">
        <f>AND('6to. Secre.'!#REF!,"AAAAABrvfko=")</f>
        <v>#REF!</v>
      </c>
      <c r="BX69" t="e">
        <f>AND('6to. Secre.'!#REF!,"AAAAABrvfks=")</f>
        <v>#REF!</v>
      </c>
      <c r="BY69" t="e">
        <f>AND('6to. Secre.'!#REF!,"AAAAABrvfkw=")</f>
        <v>#REF!</v>
      </c>
      <c r="BZ69" t="e">
        <f>AND('6to. Secre.'!#REF!,"AAAAABrvfk0=")</f>
        <v>#REF!</v>
      </c>
      <c r="CA69">
        <f>IF('6to. Secre.'!3:3,"AAAAABrvfk4=",0)</f>
        <v>0</v>
      </c>
      <c r="CB69" t="e">
        <f>AND('6to. Secre.'!A3,"AAAAABrvfk8=")</f>
        <v>#VALUE!</v>
      </c>
      <c r="CC69" t="e">
        <f>AND('6to. Secre.'!B3,"AAAAABrvflA=")</f>
        <v>#VALUE!</v>
      </c>
      <c r="CD69" t="e">
        <f>AND('6to. Secre.'!C3,"AAAAABrvflE=")</f>
        <v>#VALUE!</v>
      </c>
      <c r="CE69" t="e">
        <f>AND('6to. Secre.'!D3,"AAAAABrvflI=")</f>
        <v>#VALUE!</v>
      </c>
      <c r="CF69" t="e">
        <f>AND('6to. Secre.'!E3,"AAAAABrvflM=")</f>
        <v>#VALUE!</v>
      </c>
      <c r="CG69" t="e">
        <f>AND('6to. Secre.'!F3,"AAAAABrvflQ=")</f>
        <v>#VALUE!</v>
      </c>
      <c r="CH69" t="e">
        <f>AND('6to. Secre.'!G3,"AAAAABrvflU=")</f>
        <v>#VALUE!</v>
      </c>
      <c r="CI69" t="e">
        <f>AND('6to. Secre.'!H3,"AAAAABrvflY=")</f>
        <v>#VALUE!</v>
      </c>
      <c r="CJ69" t="e">
        <f>AND('6to. Secre.'!I3,"AAAAABrvflc=")</f>
        <v>#VALUE!</v>
      </c>
      <c r="CK69" t="e">
        <f>AND('6to. Secre.'!J3,"AAAAABrvflg=")</f>
        <v>#VALUE!</v>
      </c>
      <c r="CL69" t="e">
        <f>AND('6to. Secre.'!K3,"AAAAABrvflk=")</f>
        <v>#VALUE!</v>
      </c>
      <c r="CM69" t="e">
        <f>AND('6to. Secre.'!L3,"AAAAABrvflo=")</f>
        <v>#VALUE!</v>
      </c>
      <c r="CN69" t="e">
        <f>AND('6to. Secre.'!M3,"AAAAABrvfls=")</f>
        <v>#VALUE!</v>
      </c>
      <c r="CO69" t="e">
        <f>AND('6to. Secre.'!N3,"AAAAABrvflw=")</f>
        <v>#VALUE!</v>
      </c>
      <c r="CP69" t="e">
        <f>AND('6to. Secre.'!O3,"AAAAABrvfl0=")</f>
        <v>#VALUE!</v>
      </c>
      <c r="CQ69" t="e">
        <f>AND('6to. Secre.'!P3,"AAAAABrvfl4=")</f>
        <v>#VALUE!</v>
      </c>
      <c r="CR69" t="e">
        <f>AND('6to. Secre.'!Q3,"AAAAABrvfl8=")</f>
        <v>#VALUE!</v>
      </c>
      <c r="CS69" t="e">
        <f>AND('6to. Secre.'!R3,"AAAAABrvfmA=")</f>
        <v>#VALUE!</v>
      </c>
      <c r="CT69" t="e">
        <f>AND('6to. Secre.'!S3,"AAAAABrvfmE=")</f>
        <v>#VALUE!</v>
      </c>
      <c r="CU69" t="e">
        <f>AND('6to. Secre.'!T3,"AAAAABrvfmI=")</f>
        <v>#VALUE!</v>
      </c>
      <c r="CV69" t="e">
        <f>AND('6to. Secre.'!#REF!,"AAAAABrvfmM=")</f>
        <v>#REF!</v>
      </c>
      <c r="CW69" t="e">
        <f>AND('6to. Secre.'!#REF!,"AAAAABrvfmQ=")</f>
        <v>#REF!</v>
      </c>
      <c r="CX69" t="e">
        <f>AND('6to. Secre.'!#REF!,"AAAAABrvfmU=")</f>
        <v>#REF!</v>
      </c>
      <c r="CY69" t="e">
        <f>AND('6to. Secre.'!#REF!,"AAAAABrvfmY=")</f>
        <v>#REF!</v>
      </c>
      <c r="CZ69" t="e">
        <f>AND('6to. Secre.'!#REF!,"AAAAABrvfmc=")</f>
        <v>#REF!</v>
      </c>
      <c r="DA69">
        <f>IF('6to. Secre.'!4:4,"AAAAABrvfmg=",0)</f>
        <v>0</v>
      </c>
      <c r="DB69" t="e">
        <f>AND('6to. Secre.'!A4,"AAAAABrvfmk=")</f>
        <v>#VALUE!</v>
      </c>
      <c r="DC69" t="e">
        <f>AND('6to. Secre.'!B4,"AAAAABrvfmo=")</f>
        <v>#VALUE!</v>
      </c>
      <c r="DD69" t="e">
        <f>AND('6to. Secre.'!C4,"AAAAABrvfms=")</f>
        <v>#VALUE!</v>
      </c>
      <c r="DE69" t="e">
        <f>AND('6to. Secre.'!D4,"AAAAABrvfmw=")</f>
        <v>#VALUE!</v>
      </c>
      <c r="DF69" t="e">
        <f>AND('6to. Secre.'!E4,"AAAAABrvfm0=")</f>
        <v>#VALUE!</v>
      </c>
      <c r="DG69" t="e">
        <f>AND('6to. Secre.'!F4,"AAAAABrvfm4=")</f>
        <v>#VALUE!</v>
      </c>
      <c r="DH69" t="e">
        <f>AND('6to. Secre.'!G4,"AAAAABrvfm8=")</f>
        <v>#VALUE!</v>
      </c>
      <c r="DI69" t="e">
        <f>AND('6to. Secre.'!H4,"AAAAABrvfnA=")</f>
        <v>#VALUE!</v>
      </c>
      <c r="DJ69" t="e">
        <f>AND('6to. Secre.'!I4,"AAAAABrvfnE=")</f>
        <v>#VALUE!</v>
      </c>
      <c r="DK69" t="e">
        <f>AND('6to. Secre.'!J4,"AAAAABrvfnI=")</f>
        <v>#VALUE!</v>
      </c>
      <c r="DL69" t="e">
        <f>AND('6to. Secre.'!K4,"AAAAABrvfnM=")</f>
        <v>#VALUE!</v>
      </c>
      <c r="DM69" t="e">
        <f>AND('6to. Secre.'!L4,"AAAAABrvfnQ=")</f>
        <v>#VALUE!</v>
      </c>
      <c r="DN69" t="e">
        <f>AND('6to. Secre.'!M4,"AAAAABrvfnU=")</f>
        <v>#VALUE!</v>
      </c>
      <c r="DO69" t="e">
        <f>AND('6to. Secre.'!N4,"AAAAABrvfnY=")</f>
        <v>#VALUE!</v>
      </c>
      <c r="DP69" t="e">
        <f>AND('6to. Secre.'!O4,"AAAAABrvfnc=")</f>
        <v>#VALUE!</v>
      </c>
      <c r="DQ69" t="e">
        <f>AND('6to. Secre.'!P4,"AAAAABrvfng=")</f>
        <v>#VALUE!</v>
      </c>
      <c r="DR69" t="e">
        <f>AND('6to. Secre.'!Q4,"AAAAABrvfnk=")</f>
        <v>#VALUE!</v>
      </c>
      <c r="DS69" t="e">
        <f>AND('6to. Secre.'!R4,"AAAAABrvfno=")</f>
        <v>#VALUE!</v>
      </c>
      <c r="DT69" t="e">
        <f>AND('6to. Secre.'!S4,"AAAAABrvfns=")</f>
        <v>#VALUE!</v>
      </c>
      <c r="DU69" t="e">
        <f>AND('6to. Secre.'!T4,"AAAAABrvfnw=")</f>
        <v>#VALUE!</v>
      </c>
      <c r="DV69" t="e">
        <f>AND('6to. Secre.'!#REF!,"AAAAABrvfn0=")</f>
        <v>#REF!</v>
      </c>
      <c r="DW69" t="e">
        <f>AND('6to. Secre.'!#REF!,"AAAAABrvfn4=")</f>
        <v>#REF!</v>
      </c>
      <c r="DX69" t="e">
        <f>AND('6to. Secre.'!#REF!,"AAAAABrvfn8=")</f>
        <v>#REF!</v>
      </c>
      <c r="DY69" t="e">
        <f>AND('6to. Secre.'!#REF!,"AAAAABrvfoA=")</f>
        <v>#REF!</v>
      </c>
      <c r="DZ69" t="e">
        <f>AND('6to. Secre.'!#REF!,"AAAAABrvfoE=")</f>
        <v>#REF!</v>
      </c>
      <c r="EA69">
        <f>IF('6to. Secre.'!5:5,"AAAAABrvfoI=",0)</f>
        <v>0</v>
      </c>
      <c r="EB69" t="e">
        <f>AND('6to. Secre.'!A5,"AAAAABrvfoM=")</f>
        <v>#VALUE!</v>
      </c>
      <c r="EC69" t="e">
        <f>AND('6to. Secre.'!B5,"AAAAABrvfoQ=")</f>
        <v>#VALUE!</v>
      </c>
      <c r="ED69" t="e">
        <f>AND('6to. Secre.'!C5,"AAAAABrvfoU=")</f>
        <v>#VALUE!</v>
      </c>
      <c r="EE69" t="e">
        <f>AND('6to. Secre.'!D5,"AAAAABrvfoY=")</f>
        <v>#VALUE!</v>
      </c>
      <c r="EF69" t="e">
        <f>AND('6to. Secre.'!E5,"AAAAABrvfoc=")</f>
        <v>#VALUE!</v>
      </c>
      <c r="EG69" t="e">
        <f>AND('6to. Secre.'!F5,"AAAAABrvfog=")</f>
        <v>#VALUE!</v>
      </c>
      <c r="EH69" t="e">
        <f>AND('6to. Secre.'!G5,"AAAAABrvfok=")</f>
        <v>#VALUE!</v>
      </c>
      <c r="EI69" t="e">
        <f>AND('6to. Secre.'!H5,"AAAAABrvfoo=")</f>
        <v>#VALUE!</v>
      </c>
      <c r="EJ69" t="e">
        <f>AND('6to. Secre.'!I5,"AAAAABrvfos=")</f>
        <v>#VALUE!</v>
      </c>
      <c r="EK69" t="e">
        <f>AND('6to. Secre.'!J5,"AAAAABrvfow=")</f>
        <v>#VALUE!</v>
      </c>
      <c r="EL69" t="e">
        <f>AND('6to. Secre.'!K5,"AAAAABrvfo0=")</f>
        <v>#VALUE!</v>
      </c>
      <c r="EM69" t="e">
        <f>AND('6to. Secre.'!L5,"AAAAABrvfo4=")</f>
        <v>#VALUE!</v>
      </c>
      <c r="EN69" t="e">
        <f>AND('6to. Secre.'!M5,"AAAAABrvfo8=")</f>
        <v>#VALUE!</v>
      </c>
      <c r="EO69" t="e">
        <f>AND('6to. Secre.'!N5,"AAAAABrvfpA=")</f>
        <v>#VALUE!</v>
      </c>
      <c r="EP69" t="e">
        <f>AND('6to. Secre.'!O5,"AAAAABrvfpE=")</f>
        <v>#VALUE!</v>
      </c>
      <c r="EQ69" t="e">
        <f>AND('6to. Secre.'!P5,"AAAAABrvfpI=")</f>
        <v>#VALUE!</v>
      </c>
      <c r="ER69" t="e">
        <f>AND('6to. Secre.'!Q5,"AAAAABrvfpM=")</f>
        <v>#VALUE!</v>
      </c>
      <c r="ES69" t="e">
        <f>AND('6to. Secre.'!R5,"AAAAABrvfpQ=")</f>
        <v>#VALUE!</v>
      </c>
      <c r="ET69" t="e">
        <f>AND('6to. Secre.'!S5,"AAAAABrvfpU=")</f>
        <v>#VALUE!</v>
      </c>
      <c r="EU69" t="e">
        <f>AND('6to. Secre.'!T5,"AAAAABrvfpY=")</f>
        <v>#VALUE!</v>
      </c>
      <c r="EV69" t="e">
        <f>AND('6to. Secre.'!#REF!,"AAAAABrvfpc=")</f>
        <v>#REF!</v>
      </c>
      <c r="EW69" t="e">
        <f>AND('6to. Secre.'!#REF!,"AAAAABrvfpg=")</f>
        <v>#REF!</v>
      </c>
      <c r="EX69" t="e">
        <f>AND('6to. Secre.'!#REF!,"AAAAABrvfpk=")</f>
        <v>#REF!</v>
      </c>
      <c r="EY69" t="e">
        <f>AND('6to. Secre.'!#REF!,"AAAAABrvfpo=")</f>
        <v>#REF!</v>
      </c>
      <c r="EZ69" t="e">
        <f>AND('6to. Secre.'!#REF!,"AAAAABrvfps=")</f>
        <v>#REF!</v>
      </c>
      <c r="FA69">
        <f>IF('6to. Secre.'!6:6,"AAAAABrvfpw=",0)</f>
        <v>0</v>
      </c>
      <c r="FB69" t="e">
        <f>AND('6to. Secre.'!A6,"AAAAABrvfp0=")</f>
        <v>#VALUE!</v>
      </c>
      <c r="FC69" t="e">
        <f>AND('6to. Secre.'!B6,"AAAAABrvfp4=")</f>
        <v>#VALUE!</v>
      </c>
      <c r="FD69" t="e">
        <f>AND('6to. Secre.'!C6,"AAAAABrvfp8=")</f>
        <v>#VALUE!</v>
      </c>
      <c r="FE69" t="e">
        <f>AND('6to. Secre.'!D6,"AAAAABrvfqA=")</f>
        <v>#VALUE!</v>
      </c>
      <c r="FF69" t="e">
        <f>AND('6to. Secre.'!E6,"AAAAABrvfqE=")</f>
        <v>#VALUE!</v>
      </c>
      <c r="FG69" t="e">
        <f>AND('6to. Secre.'!F6,"AAAAABrvfqI=")</f>
        <v>#VALUE!</v>
      </c>
      <c r="FH69" t="e">
        <f>AND('6to. Secre.'!G6,"AAAAABrvfqM=")</f>
        <v>#VALUE!</v>
      </c>
      <c r="FI69" t="e">
        <f>AND('6to. Secre.'!H6,"AAAAABrvfqQ=")</f>
        <v>#VALUE!</v>
      </c>
      <c r="FJ69" t="e">
        <f>AND('6to. Secre.'!I6,"AAAAABrvfqU=")</f>
        <v>#VALUE!</v>
      </c>
      <c r="FK69" t="e">
        <f>AND('6to. Secre.'!J6,"AAAAABrvfqY=")</f>
        <v>#VALUE!</v>
      </c>
      <c r="FL69" t="e">
        <f>AND('6to. Secre.'!K6,"AAAAABrvfqc=")</f>
        <v>#VALUE!</v>
      </c>
      <c r="FM69" t="e">
        <f>AND('6to. Secre.'!L6,"AAAAABrvfqg=")</f>
        <v>#VALUE!</v>
      </c>
      <c r="FN69" t="e">
        <f>AND('6to. Secre.'!M6,"AAAAABrvfqk=")</f>
        <v>#VALUE!</v>
      </c>
      <c r="FO69" t="e">
        <f>AND('6to. Secre.'!N6,"AAAAABrvfqo=")</f>
        <v>#VALUE!</v>
      </c>
      <c r="FP69" t="e">
        <f>AND('6to. Secre.'!O6,"AAAAABrvfqs=")</f>
        <v>#VALUE!</v>
      </c>
      <c r="FQ69" t="e">
        <f>AND('6to. Secre.'!P6,"AAAAABrvfqw=")</f>
        <v>#VALUE!</v>
      </c>
      <c r="FR69" t="e">
        <f>AND('6to. Secre.'!Q6,"AAAAABrvfq0=")</f>
        <v>#VALUE!</v>
      </c>
      <c r="FS69" t="e">
        <f>AND('6to. Secre.'!R6,"AAAAABrvfq4=")</f>
        <v>#VALUE!</v>
      </c>
      <c r="FT69" t="e">
        <f>AND('6to. Secre.'!S6,"AAAAABrvfq8=")</f>
        <v>#VALUE!</v>
      </c>
      <c r="FU69" t="e">
        <f>AND('6to. Secre.'!T6,"AAAAABrvfrA=")</f>
        <v>#VALUE!</v>
      </c>
      <c r="FV69" t="e">
        <f>AND('6to. Secre.'!#REF!,"AAAAABrvfrE=")</f>
        <v>#REF!</v>
      </c>
      <c r="FW69" t="e">
        <f>AND('6to. Secre.'!#REF!,"AAAAABrvfrI=")</f>
        <v>#REF!</v>
      </c>
      <c r="FX69" t="e">
        <f>AND('6to. Secre.'!#REF!,"AAAAABrvfrM=")</f>
        <v>#REF!</v>
      </c>
      <c r="FY69" t="e">
        <f>AND('6to. Secre.'!#REF!,"AAAAABrvfrQ=")</f>
        <v>#REF!</v>
      </c>
      <c r="FZ69" t="e">
        <f>AND('6to. Secre.'!#REF!,"AAAAABrvfrU=")</f>
        <v>#REF!</v>
      </c>
      <c r="GA69">
        <f>IF('6to. Secre.'!7:7,"AAAAABrvfrY=",0)</f>
        <v>0</v>
      </c>
      <c r="GB69" t="e">
        <f>AND('6to. Secre.'!A7,"AAAAABrvfrc=")</f>
        <v>#VALUE!</v>
      </c>
      <c r="GC69" t="e">
        <f>AND('6to. Secre.'!B7,"AAAAABrvfrg=")</f>
        <v>#VALUE!</v>
      </c>
      <c r="GD69" t="e">
        <f>AND('6to. Secre.'!C7,"AAAAABrvfrk=")</f>
        <v>#VALUE!</v>
      </c>
      <c r="GE69" t="e">
        <f>AND('6to. Secre.'!D7,"AAAAABrvfro=")</f>
        <v>#VALUE!</v>
      </c>
      <c r="GF69" t="e">
        <f>AND('6to. Secre.'!E7,"AAAAABrvfrs=")</f>
        <v>#VALUE!</v>
      </c>
      <c r="GG69" t="e">
        <f>AND('6to. Secre.'!F7,"AAAAABrvfrw=")</f>
        <v>#VALUE!</v>
      </c>
      <c r="GH69" t="e">
        <f>AND('6to. Secre.'!G7,"AAAAABrvfr0=")</f>
        <v>#VALUE!</v>
      </c>
      <c r="GI69" t="e">
        <f>AND('6to. Secre.'!H7,"AAAAABrvfr4=")</f>
        <v>#VALUE!</v>
      </c>
      <c r="GJ69" t="e">
        <f>AND('6to. Secre.'!I7,"AAAAABrvfr8=")</f>
        <v>#VALUE!</v>
      </c>
      <c r="GK69" t="e">
        <f>AND('6to. Secre.'!J7,"AAAAABrvfsA=")</f>
        <v>#VALUE!</v>
      </c>
      <c r="GL69" t="e">
        <f>AND('6to. Secre.'!K7,"AAAAABrvfsE=")</f>
        <v>#VALUE!</v>
      </c>
      <c r="GM69" t="e">
        <f>AND('6to. Secre.'!L7,"AAAAABrvfsI=")</f>
        <v>#VALUE!</v>
      </c>
      <c r="GN69" t="e">
        <f>AND('6to. Secre.'!M7,"AAAAABrvfsM=")</f>
        <v>#VALUE!</v>
      </c>
      <c r="GO69" t="e">
        <f>AND('6to. Secre.'!N7,"AAAAABrvfsQ=")</f>
        <v>#VALUE!</v>
      </c>
      <c r="GP69" t="e">
        <f>AND('6to. Secre.'!O7,"AAAAABrvfsU=")</f>
        <v>#VALUE!</v>
      </c>
      <c r="GQ69" t="e">
        <f>AND('6to. Secre.'!P7,"AAAAABrvfsY=")</f>
        <v>#VALUE!</v>
      </c>
      <c r="GR69" t="e">
        <f>AND('6to. Secre.'!Q7,"AAAAABrvfsc=")</f>
        <v>#VALUE!</v>
      </c>
      <c r="GS69" t="e">
        <f>AND('6to. Secre.'!R7,"AAAAABrvfsg=")</f>
        <v>#VALUE!</v>
      </c>
      <c r="GT69" t="e">
        <f>AND('6to. Secre.'!S7,"AAAAABrvfsk=")</f>
        <v>#VALUE!</v>
      </c>
      <c r="GU69" t="e">
        <f>AND('6to. Secre.'!T7,"AAAAABrvfso=")</f>
        <v>#VALUE!</v>
      </c>
      <c r="GV69" t="e">
        <f>AND('6to. Secre.'!#REF!,"AAAAABrvfss=")</f>
        <v>#REF!</v>
      </c>
      <c r="GW69" t="e">
        <f>AND('6to. Secre.'!#REF!,"AAAAABrvfsw=")</f>
        <v>#REF!</v>
      </c>
      <c r="GX69" t="e">
        <f>AND('6to. Secre.'!#REF!,"AAAAABrvfs0=")</f>
        <v>#REF!</v>
      </c>
      <c r="GY69" t="e">
        <f>AND('6to. Secre.'!#REF!,"AAAAABrvfs4=")</f>
        <v>#REF!</v>
      </c>
      <c r="GZ69" t="e">
        <f>AND('6to. Secre.'!#REF!,"AAAAABrvfs8=")</f>
        <v>#REF!</v>
      </c>
      <c r="HA69">
        <f>IF('6to. Secre.'!8:8,"AAAAABrvftA=",0)</f>
        <v>0</v>
      </c>
      <c r="HB69" t="e">
        <f>AND('6to. Secre.'!A8,"AAAAABrvftE=")</f>
        <v>#VALUE!</v>
      </c>
      <c r="HC69" t="e">
        <f>AND('6to. Secre.'!B8,"AAAAABrvftI=")</f>
        <v>#VALUE!</v>
      </c>
      <c r="HD69" t="e">
        <f>AND('6to. Secre.'!C8,"AAAAABrvftM=")</f>
        <v>#VALUE!</v>
      </c>
      <c r="HE69" t="e">
        <f>AND('6to. Secre.'!D8,"AAAAABrvftQ=")</f>
        <v>#VALUE!</v>
      </c>
      <c r="HF69" t="e">
        <f>AND('6to. Secre.'!E8,"AAAAABrvftU=")</f>
        <v>#VALUE!</v>
      </c>
      <c r="HG69" t="e">
        <f>AND('6to. Secre.'!F8,"AAAAABrvftY=")</f>
        <v>#VALUE!</v>
      </c>
      <c r="HH69" t="e">
        <f>AND('6to. Secre.'!G8,"AAAAABrvftc=")</f>
        <v>#VALUE!</v>
      </c>
      <c r="HI69" t="e">
        <f>AND('6to. Secre.'!H8,"AAAAABrvftg=")</f>
        <v>#VALUE!</v>
      </c>
      <c r="HJ69" t="e">
        <f>AND('6to. Secre.'!I8,"AAAAABrvftk=")</f>
        <v>#VALUE!</v>
      </c>
      <c r="HK69" t="e">
        <f>AND('6to. Secre.'!J8,"AAAAABrvfto=")</f>
        <v>#VALUE!</v>
      </c>
      <c r="HL69" t="e">
        <f>AND('6to. Secre.'!K8,"AAAAABrvfts=")</f>
        <v>#VALUE!</v>
      </c>
      <c r="HM69" t="e">
        <f>AND('6to. Secre.'!L8,"AAAAABrvftw=")</f>
        <v>#VALUE!</v>
      </c>
      <c r="HN69" t="e">
        <f>AND('6to. Secre.'!M8,"AAAAABrvft0=")</f>
        <v>#VALUE!</v>
      </c>
      <c r="HO69" t="e">
        <f>AND('6to. Secre.'!N8,"AAAAABrvft4=")</f>
        <v>#VALUE!</v>
      </c>
      <c r="HP69" t="e">
        <f>AND('6to. Secre.'!O8,"AAAAABrvft8=")</f>
        <v>#VALUE!</v>
      </c>
      <c r="HQ69" t="e">
        <f>AND('6to. Secre.'!P8,"AAAAABrvfuA=")</f>
        <v>#VALUE!</v>
      </c>
      <c r="HR69" t="e">
        <f>AND('6to. Secre.'!Q8,"AAAAABrvfuE=")</f>
        <v>#VALUE!</v>
      </c>
      <c r="HS69" t="e">
        <f>AND('6to. Secre.'!R8,"AAAAABrvfuI=")</f>
        <v>#VALUE!</v>
      </c>
      <c r="HT69" t="e">
        <f>AND('6to. Secre.'!S8,"AAAAABrvfuM=")</f>
        <v>#VALUE!</v>
      </c>
      <c r="HU69" t="e">
        <f>AND('6to. Secre.'!T8,"AAAAABrvfuQ=")</f>
        <v>#VALUE!</v>
      </c>
      <c r="HV69" t="e">
        <f>AND('6to. Secre.'!#REF!,"AAAAABrvfuU=")</f>
        <v>#REF!</v>
      </c>
      <c r="HW69" t="e">
        <f>AND('6to. Secre.'!#REF!,"AAAAABrvfuY=")</f>
        <v>#REF!</v>
      </c>
      <c r="HX69" t="e">
        <f>AND('6to. Secre.'!#REF!,"AAAAABrvfuc=")</f>
        <v>#REF!</v>
      </c>
      <c r="HY69" t="e">
        <f>AND('6to. Secre.'!#REF!,"AAAAABrvfug=")</f>
        <v>#REF!</v>
      </c>
      <c r="HZ69" t="e">
        <f>AND('6to. Secre.'!#REF!,"AAAAABrvfuk=")</f>
        <v>#REF!</v>
      </c>
      <c r="IA69">
        <f>IF('6to. Secre.'!9:9,"AAAAABrvfuo=",0)</f>
        <v>0</v>
      </c>
      <c r="IB69" t="e">
        <f>AND('6to. Secre.'!A9,"AAAAABrvfus=")</f>
        <v>#VALUE!</v>
      </c>
      <c r="IC69" t="e">
        <f>AND('6to. Secre.'!B9,"AAAAABrvfuw=")</f>
        <v>#VALUE!</v>
      </c>
      <c r="ID69" t="e">
        <f>AND('6to. Secre.'!C9,"AAAAABrvfu0=")</f>
        <v>#VALUE!</v>
      </c>
      <c r="IE69" t="e">
        <f>AND('6to. Secre.'!D9,"AAAAABrvfu4=")</f>
        <v>#VALUE!</v>
      </c>
      <c r="IF69" t="e">
        <f>AND('6to. Secre.'!E9,"AAAAABrvfu8=")</f>
        <v>#VALUE!</v>
      </c>
      <c r="IG69" t="e">
        <f>AND('6to. Secre.'!F9,"AAAAABrvfvA=")</f>
        <v>#VALUE!</v>
      </c>
      <c r="IH69" t="e">
        <f>AND('6to. Secre.'!G9,"AAAAABrvfvE=")</f>
        <v>#VALUE!</v>
      </c>
      <c r="II69" t="e">
        <f>AND('6to. Secre.'!H9,"AAAAABrvfvI=")</f>
        <v>#VALUE!</v>
      </c>
      <c r="IJ69" t="e">
        <f>AND('6to. Secre.'!I9,"AAAAABrvfvM=")</f>
        <v>#VALUE!</v>
      </c>
      <c r="IK69" t="e">
        <f>AND('6to. Secre.'!J9,"AAAAABrvfvQ=")</f>
        <v>#VALUE!</v>
      </c>
      <c r="IL69" t="e">
        <f>AND('6to. Secre.'!K9,"AAAAABrvfvU=")</f>
        <v>#VALUE!</v>
      </c>
      <c r="IM69" t="e">
        <f>AND('6to. Secre.'!L9,"AAAAABrvfvY=")</f>
        <v>#VALUE!</v>
      </c>
      <c r="IN69" t="e">
        <f>AND('6to. Secre.'!M9,"AAAAABrvfvc=")</f>
        <v>#VALUE!</v>
      </c>
      <c r="IO69" t="e">
        <f>AND('6to. Secre.'!N9,"AAAAABrvfvg=")</f>
        <v>#VALUE!</v>
      </c>
      <c r="IP69" t="e">
        <f>AND('6to. Secre.'!O9,"AAAAABrvfvk=")</f>
        <v>#VALUE!</v>
      </c>
      <c r="IQ69" t="e">
        <f>AND('6to. Secre.'!P9,"AAAAABrvfvo=")</f>
        <v>#VALUE!</v>
      </c>
      <c r="IR69" t="e">
        <f>AND('6to. Secre.'!Q9,"AAAAABrvfvs=")</f>
        <v>#VALUE!</v>
      </c>
      <c r="IS69" t="e">
        <f>AND('6to. Secre.'!R9,"AAAAABrvfvw=")</f>
        <v>#VALUE!</v>
      </c>
      <c r="IT69" t="e">
        <f>AND('6to. Secre.'!S9,"AAAAABrvfv0=")</f>
        <v>#VALUE!</v>
      </c>
      <c r="IU69" t="e">
        <f>AND('6to. Secre.'!T9,"AAAAABrvfv4=")</f>
        <v>#VALUE!</v>
      </c>
      <c r="IV69" t="e">
        <f>AND('6to. Secre.'!#REF!,"AAAAABrvfv8=")</f>
        <v>#REF!</v>
      </c>
    </row>
    <row r="70" spans="1:256">
      <c r="A70" t="e">
        <f>AND('6to. Secre.'!#REF!,"AAAAAG3/PwA=")</f>
        <v>#REF!</v>
      </c>
      <c r="B70" t="e">
        <f>AND('6to. Secre.'!#REF!,"AAAAAG3/PwE=")</f>
        <v>#REF!</v>
      </c>
      <c r="C70" t="e">
        <f>AND('6to. Secre.'!#REF!,"AAAAAG3/PwI=")</f>
        <v>#REF!</v>
      </c>
      <c r="D70" t="e">
        <f>AND('6to. Secre.'!#REF!,"AAAAAG3/PwM=")</f>
        <v>#REF!</v>
      </c>
      <c r="E70">
        <f>IF('6to. Secre.'!10:10,"AAAAAG3/PwQ=",0)</f>
        <v>0</v>
      </c>
      <c r="F70" t="e">
        <f>AND('6to. Secre.'!A10,"AAAAAG3/PwU=")</f>
        <v>#VALUE!</v>
      </c>
      <c r="G70" t="e">
        <f>AND('6to. Secre.'!B10,"AAAAAG3/PwY=")</f>
        <v>#VALUE!</v>
      </c>
      <c r="H70" t="e">
        <f>AND('6to. Secre.'!C10,"AAAAAG3/Pwc=")</f>
        <v>#VALUE!</v>
      </c>
      <c r="I70" t="e">
        <f>AND('6to. Secre.'!D10,"AAAAAG3/Pwg=")</f>
        <v>#VALUE!</v>
      </c>
      <c r="J70" t="e">
        <f>AND('6to. Secre.'!E10,"AAAAAG3/Pwk=")</f>
        <v>#VALUE!</v>
      </c>
      <c r="K70" t="e">
        <f>AND('6to. Secre.'!F10,"AAAAAG3/Pwo=")</f>
        <v>#VALUE!</v>
      </c>
      <c r="L70" t="e">
        <f>AND('6to. Secre.'!G10,"AAAAAG3/Pws=")</f>
        <v>#VALUE!</v>
      </c>
      <c r="M70" t="e">
        <f>AND('6to. Secre.'!H10,"AAAAAG3/Pww=")</f>
        <v>#VALUE!</v>
      </c>
      <c r="N70" t="e">
        <f>AND('6to. Secre.'!I10,"AAAAAG3/Pw0=")</f>
        <v>#VALUE!</v>
      </c>
      <c r="O70" t="e">
        <f>AND('6to. Secre.'!J10,"AAAAAG3/Pw4=")</f>
        <v>#VALUE!</v>
      </c>
      <c r="P70" t="e">
        <f>AND('6to. Secre.'!K10,"AAAAAG3/Pw8=")</f>
        <v>#VALUE!</v>
      </c>
      <c r="Q70" t="e">
        <f>AND('6to. Secre.'!L10,"AAAAAG3/PxA=")</f>
        <v>#VALUE!</v>
      </c>
      <c r="R70" t="e">
        <f>AND('6to. Secre.'!M10,"AAAAAG3/PxE=")</f>
        <v>#VALUE!</v>
      </c>
      <c r="S70" t="e">
        <f>AND('6to. Secre.'!N10,"AAAAAG3/PxI=")</f>
        <v>#VALUE!</v>
      </c>
      <c r="T70" t="e">
        <f>AND('6to. Secre.'!O10,"AAAAAG3/PxM=")</f>
        <v>#VALUE!</v>
      </c>
      <c r="U70" t="e">
        <f>AND('6to. Secre.'!P10,"AAAAAG3/PxQ=")</f>
        <v>#VALUE!</v>
      </c>
      <c r="V70" t="e">
        <f>AND('6to. Secre.'!Q10,"AAAAAG3/PxU=")</f>
        <v>#VALUE!</v>
      </c>
      <c r="W70" t="e">
        <f>AND('6to. Secre.'!R10,"AAAAAG3/PxY=")</f>
        <v>#VALUE!</v>
      </c>
      <c r="X70" t="e">
        <f>AND('6to. Secre.'!S10,"AAAAAG3/Pxc=")</f>
        <v>#VALUE!</v>
      </c>
      <c r="Y70" t="e">
        <f>AND('6to. Secre.'!T10,"AAAAAG3/Pxg=")</f>
        <v>#VALUE!</v>
      </c>
      <c r="Z70" t="e">
        <f>AND('6to. Secre.'!#REF!,"AAAAAG3/Pxk=")</f>
        <v>#REF!</v>
      </c>
      <c r="AA70" t="e">
        <f>AND('6to. Secre.'!#REF!,"AAAAAG3/Pxo=")</f>
        <v>#REF!</v>
      </c>
      <c r="AB70" t="e">
        <f>AND('6to. Secre.'!#REF!,"AAAAAG3/Pxs=")</f>
        <v>#REF!</v>
      </c>
      <c r="AC70" t="e">
        <f>AND('6to. Secre.'!#REF!,"AAAAAG3/Pxw=")</f>
        <v>#REF!</v>
      </c>
      <c r="AD70" t="e">
        <f>AND('6to. Secre.'!#REF!,"AAAAAG3/Px0=")</f>
        <v>#REF!</v>
      </c>
      <c r="AE70">
        <f>IF('6to. Secre.'!11:11,"AAAAAG3/Px4=",0)</f>
        <v>0</v>
      </c>
      <c r="AF70" t="e">
        <f>AND('6to. Secre.'!A11,"AAAAAG3/Px8=")</f>
        <v>#VALUE!</v>
      </c>
      <c r="AG70" t="e">
        <f>AND('6to. Secre.'!B11,"AAAAAG3/PyA=")</f>
        <v>#VALUE!</v>
      </c>
      <c r="AH70" t="e">
        <f>AND('6to. Secre.'!C11,"AAAAAG3/PyE=")</f>
        <v>#VALUE!</v>
      </c>
      <c r="AI70" t="e">
        <f>AND('6to. Secre.'!D11,"AAAAAG3/PyI=")</f>
        <v>#VALUE!</v>
      </c>
      <c r="AJ70" t="e">
        <f>AND('6to. Secre.'!E11,"AAAAAG3/PyM=")</f>
        <v>#VALUE!</v>
      </c>
      <c r="AK70" t="e">
        <f>AND('6to. Secre.'!F11,"AAAAAG3/PyQ=")</f>
        <v>#VALUE!</v>
      </c>
      <c r="AL70" t="e">
        <f>AND('6to. Secre.'!G11,"AAAAAG3/PyU=")</f>
        <v>#VALUE!</v>
      </c>
      <c r="AM70" t="e">
        <f>AND('6to. Secre.'!H11,"AAAAAG3/PyY=")</f>
        <v>#VALUE!</v>
      </c>
      <c r="AN70" t="e">
        <f>AND('6to. Secre.'!I11,"AAAAAG3/Pyc=")</f>
        <v>#VALUE!</v>
      </c>
      <c r="AO70" t="e">
        <f>AND('6to. Secre.'!J11,"AAAAAG3/Pyg=")</f>
        <v>#VALUE!</v>
      </c>
      <c r="AP70" t="e">
        <f>AND('6to. Secre.'!K11,"AAAAAG3/Pyk=")</f>
        <v>#VALUE!</v>
      </c>
      <c r="AQ70" t="e">
        <f>AND('6to. Secre.'!L11,"AAAAAG3/Pyo=")</f>
        <v>#VALUE!</v>
      </c>
      <c r="AR70" t="e">
        <f>AND('6to. Secre.'!M11,"AAAAAG3/Pys=")</f>
        <v>#VALUE!</v>
      </c>
      <c r="AS70" t="e">
        <f>AND('6to. Secre.'!N11,"AAAAAG3/Pyw=")</f>
        <v>#VALUE!</v>
      </c>
      <c r="AT70" t="e">
        <f>AND('6to. Secre.'!O11,"AAAAAG3/Py0=")</f>
        <v>#VALUE!</v>
      </c>
      <c r="AU70" t="e">
        <f>AND('6to. Secre.'!P11,"AAAAAG3/Py4=")</f>
        <v>#VALUE!</v>
      </c>
      <c r="AV70" t="e">
        <f>AND('6to. Secre.'!Q11,"AAAAAG3/Py8=")</f>
        <v>#VALUE!</v>
      </c>
      <c r="AW70" t="e">
        <f>AND('6to. Secre.'!R11,"AAAAAG3/PzA=")</f>
        <v>#VALUE!</v>
      </c>
      <c r="AX70" t="e">
        <f>AND('6to. Secre.'!S11,"AAAAAG3/PzE=")</f>
        <v>#VALUE!</v>
      </c>
      <c r="AY70" t="e">
        <f>AND('6to. Secre.'!T11,"AAAAAG3/PzI=")</f>
        <v>#VALUE!</v>
      </c>
      <c r="AZ70" t="e">
        <f>AND('6to. Secre.'!#REF!,"AAAAAG3/PzM=")</f>
        <v>#REF!</v>
      </c>
      <c r="BA70" t="e">
        <f>AND('6to. Secre.'!#REF!,"AAAAAG3/PzQ=")</f>
        <v>#REF!</v>
      </c>
      <c r="BB70" t="e">
        <f>AND('6to. Secre.'!#REF!,"AAAAAG3/PzU=")</f>
        <v>#REF!</v>
      </c>
      <c r="BC70" t="e">
        <f>AND('6to. Secre.'!#REF!,"AAAAAG3/PzY=")</f>
        <v>#REF!</v>
      </c>
      <c r="BD70" t="e">
        <f>AND('6to. Secre.'!#REF!,"AAAAAG3/Pzc=")</f>
        <v>#REF!</v>
      </c>
      <c r="BE70">
        <f>IF('6to. Secre.'!12:12,"AAAAAG3/Pzg=",0)</f>
        <v>0</v>
      </c>
      <c r="BF70" t="e">
        <f>AND('6to. Secre.'!A12,"AAAAAG3/Pzk=")</f>
        <v>#VALUE!</v>
      </c>
      <c r="BG70" t="e">
        <f>AND('6to. Secre.'!B12,"AAAAAG3/Pzo=")</f>
        <v>#VALUE!</v>
      </c>
      <c r="BH70" t="e">
        <f>AND('6to. Secre.'!C12,"AAAAAG3/Pzs=")</f>
        <v>#VALUE!</v>
      </c>
      <c r="BI70" t="e">
        <f>AND('6to. Secre.'!D12,"AAAAAG3/Pzw=")</f>
        <v>#VALUE!</v>
      </c>
      <c r="BJ70" t="e">
        <f>AND('6to. Secre.'!E12,"AAAAAG3/Pz0=")</f>
        <v>#VALUE!</v>
      </c>
      <c r="BK70" t="e">
        <f>AND('6to. Secre.'!F12,"AAAAAG3/Pz4=")</f>
        <v>#VALUE!</v>
      </c>
      <c r="BL70" t="e">
        <f>AND('6to. Secre.'!G12,"AAAAAG3/Pz8=")</f>
        <v>#VALUE!</v>
      </c>
      <c r="BM70" t="e">
        <f>AND('6to. Secre.'!H12,"AAAAAG3/P0A=")</f>
        <v>#VALUE!</v>
      </c>
      <c r="BN70" t="e">
        <f>AND('6to. Secre.'!I12,"AAAAAG3/P0E=")</f>
        <v>#VALUE!</v>
      </c>
      <c r="BO70" t="e">
        <f>AND('6to. Secre.'!J12,"AAAAAG3/P0I=")</f>
        <v>#VALUE!</v>
      </c>
      <c r="BP70" t="e">
        <f>AND('6to. Secre.'!K12,"AAAAAG3/P0M=")</f>
        <v>#VALUE!</v>
      </c>
      <c r="BQ70" t="e">
        <f>AND('6to. Secre.'!L12,"AAAAAG3/P0Q=")</f>
        <v>#VALUE!</v>
      </c>
      <c r="BR70" t="e">
        <f>AND('6to. Secre.'!M12,"AAAAAG3/P0U=")</f>
        <v>#VALUE!</v>
      </c>
      <c r="BS70" t="e">
        <f>AND('6to. Secre.'!N12,"AAAAAG3/P0Y=")</f>
        <v>#VALUE!</v>
      </c>
      <c r="BT70" t="e">
        <f>AND('6to. Secre.'!O12,"AAAAAG3/P0c=")</f>
        <v>#VALUE!</v>
      </c>
      <c r="BU70" t="e">
        <f>AND('6to. Secre.'!P12,"AAAAAG3/P0g=")</f>
        <v>#VALUE!</v>
      </c>
      <c r="BV70" t="e">
        <f>AND('6to. Secre.'!Q12,"AAAAAG3/P0k=")</f>
        <v>#VALUE!</v>
      </c>
      <c r="BW70" t="e">
        <f>AND('6to. Secre.'!R12,"AAAAAG3/P0o=")</f>
        <v>#VALUE!</v>
      </c>
      <c r="BX70" t="e">
        <f>AND('6to. Secre.'!S12,"AAAAAG3/P0s=")</f>
        <v>#VALUE!</v>
      </c>
      <c r="BY70" t="e">
        <f>AND('6to. Secre.'!T12,"AAAAAG3/P0w=")</f>
        <v>#VALUE!</v>
      </c>
      <c r="BZ70" t="e">
        <f>AND('6to. Secre.'!#REF!,"AAAAAG3/P00=")</f>
        <v>#REF!</v>
      </c>
      <c r="CA70" t="e">
        <f>AND('6to. Secre.'!#REF!,"AAAAAG3/P04=")</f>
        <v>#REF!</v>
      </c>
      <c r="CB70" t="e">
        <f>AND('6to. Secre.'!#REF!,"AAAAAG3/P08=")</f>
        <v>#REF!</v>
      </c>
      <c r="CC70" t="e">
        <f>AND('6to. Secre.'!#REF!,"AAAAAG3/P1A=")</f>
        <v>#REF!</v>
      </c>
      <c r="CD70" t="e">
        <f>AND('6to. Secre.'!#REF!,"AAAAAG3/P1E=")</f>
        <v>#REF!</v>
      </c>
      <c r="CE70">
        <f>IF('6to. Secre.'!13:13,"AAAAAG3/P1I=",0)</f>
        <v>0</v>
      </c>
      <c r="CF70" t="e">
        <f>AND('6to. Secre.'!A13,"AAAAAG3/P1M=")</f>
        <v>#VALUE!</v>
      </c>
      <c r="CG70" t="e">
        <f>AND('6to. Secre.'!B13,"AAAAAG3/P1Q=")</f>
        <v>#VALUE!</v>
      </c>
      <c r="CH70" t="e">
        <f>AND('6to. Secre.'!C13,"AAAAAG3/P1U=")</f>
        <v>#VALUE!</v>
      </c>
      <c r="CI70" t="e">
        <f>AND('6to. Secre.'!D13,"AAAAAG3/P1Y=")</f>
        <v>#VALUE!</v>
      </c>
      <c r="CJ70" t="e">
        <f>AND('6to. Secre.'!E13,"AAAAAG3/P1c=")</f>
        <v>#VALUE!</v>
      </c>
      <c r="CK70" t="e">
        <f>AND('6to. Secre.'!F13,"AAAAAG3/P1g=")</f>
        <v>#VALUE!</v>
      </c>
      <c r="CL70" t="e">
        <f>AND('6to. Secre.'!G13,"AAAAAG3/P1k=")</f>
        <v>#VALUE!</v>
      </c>
      <c r="CM70" t="e">
        <f>AND('6to. Secre.'!H13,"AAAAAG3/P1o=")</f>
        <v>#VALUE!</v>
      </c>
      <c r="CN70" t="e">
        <f>AND('6to. Secre.'!I13,"AAAAAG3/P1s=")</f>
        <v>#VALUE!</v>
      </c>
      <c r="CO70" t="e">
        <f>AND('6to. Secre.'!J13,"AAAAAG3/P1w=")</f>
        <v>#VALUE!</v>
      </c>
      <c r="CP70" t="e">
        <f>AND('6to. Secre.'!K13,"AAAAAG3/P10=")</f>
        <v>#VALUE!</v>
      </c>
      <c r="CQ70" t="e">
        <f>AND('6to. Secre.'!L13,"AAAAAG3/P14=")</f>
        <v>#VALUE!</v>
      </c>
      <c r="CR70" t="e">
        <f>AND('6to. Secre.'!M13,"AAAAAG3/P18=")</f>
        <v>#VALUE!</v>
      </c>
      <c r="CS70" t="e">
        <f>AND('6to. Secre.'!N13,"AAAAAG3/P2A=")</f>
        <v>#VALUE!</v>
      </c>
      <c r="CT70" t="e">
        <f>AND('6to. Secre.'!O13,"AAAAAG3/P2E=")</f>
        <v>#VALUE!</v>
      </c>
      <c r="CU70" t="e">
        <f>AND('6to. Secre.'!P13,"AAAAAG3/P2I=")</f>
        <v>#VALUE!</v>
      </c>
      <c r="CV70" t="e">
        <f>AND('6to. Secre.'!Q13,"AAAAAG3/P2M=")</f>
        <v>#VALUE!</v>
      </c>
      <c r="CW70" t="e">
        <f>AND('6to. Secre.'!R13,"AAAAAG3/P2Q=")</f>
        <v>#VALUE!</v>
      </c>
      <c r="CX70" t="e">
        <f>AND('6to. Secre.'!S13,"AAAAAG3/P2U=")</f>
        <v>#VALUE!</v>
      </c>
      <c r="CY70" t="e">
        <f>AND('6to. Secre.'!T13,"AAAAAG3/P2Y=")</f>
        <v>#VALUE!</v>
      </c>
      <c r="CZ70" t="e">
        <f>AND('6to. Secre.'!#REF!,"AAAAAG3/P2c=")</f>
        <v>#REF!</v>
      </c>
      <c r="DA70" t="e">
        <f>AND('6to. Secre.'!#REF!,"AAAAAG3/P2g=")</f>
        <v>#REF!</v>
      </c>
      <c r="DB70" t="e">
        <f>AND('6to. Secre.'!#REF!,"AAAAAG3/P2k=")</f>
        <v>#REF!</v>
      </c>
      <c r="DC70" t="e">
        <f>AND('6to. Secre.'!#REF!,"AAAAAG3/P2o=")</f>
        <v>#REF!</v>
      </c>
      <c r="DD70" t="e">
        <f>AND('6to. Secre.'!#REF!,"AAAAAG3/P2s=")</f>
        <v>#REF!</v>
      </c>
      <c r="DE70">
        <f>IF('6to. Secre.'!14:14,"AAAAAG3/P2w=",0)</f>
        <v>0</v>
      </c>
      <c r="DF70" t="e">
        <f>AND('6to. Secre.'!A14,"AAAAAG3/P20=")</f>
        <v>#VALUE!</v>
      </c>
      <c r="DG70" t="e">
        <f>AND('6to. Secre.'!B14,"AAAAAG3/P24=")</f>
        <v>#VALUE!</v>
      </c>
      <c r="DH70" t="e">
        <f>AND('6to. Secre.'!C14,"AAAAAG3/P28=")</f>
        <v>#VALUE!</v>
      </c>
      <c r="DI70" t="e">
        <f>AND('6to. Secre.'!D14,"AAAAAG3/P3A=")</f>
        <v>#VALUE!</v>
      </c>
      <c r="DJ70" t="e">
        <f>AND('6to. Secre.'!E14,"AAAAAG3/P3E=")</f>
        <v>#VALUE!</v>
      </c>
      <c r="DK70" t="e">
        <f>AND('6to. Secre.'!F14,"AAAAAG3/P3I=")</f>
        <v>#VALUE!</v>
      </c>
      <c r="DL70" t="e">
        <f>AND('6to. Secre.'!G14,"AAAAAG3/P3M=")</f>
        <v>#VALUE!</v>
      </c>
      <c r="DM70" t="e">
        <f>AND('6to. Secre.'!H14,"AAAAAG3/P3Q=")</f>
        <v>#VALUE!</v>
      </c>
      <c r="DN70" t="e">
        <f>AND('6to. Secre.'!I14,"AAAAAG3/P3U=")</f>
        <v>#VALUE!</v>
      </c>
      <c r="DO70" t="e">
        <f>AND('6to. Secre.'!J14,"AAAAAG3/P3Y=")</f>
        <v>#VALUE!</v>
      </c>
      <c r="DP70" t="e">
        <f>AND('6to. Secre.'!K14,"AAAAAG3/P3c=")</f>
        <v>#VALUE!</v>
      </c>
      <c r="DQ70" t="e">
        <f>AND('6to. Secre.'!L14,"AAAAAG3/P3g=")</f>
        <v>#VALUE!</v>
      </c>
      <c r="DR70" t="e">
        <f>AND('6to. Secre.'!M14,"AAAAAG3/P3k=")</f>
        <v>#VALUE!</v>
      </c>
      <c r="DS70" t="e">
        <f>AND('6to. Secre.'!N14,"AAAAAG3/P3o=")</f>
        <v>#VALUE!</v>
      </c>
      <c r="DT70" t="e">
        <f>AND('6to. Secre.'!O14,"AAAAAG3/P3s=")</f>
        <v>#VALUE!</v>
      </c>
      <c r="DU70" t="e">
        <f>AND('6to. Secre.'!P14,"AAAAAG3/P3w=")</f>
        <v>#VALUE!</v>
      </c>
      <c r="DV70" t="e">
        <f>AND('6to. Secre.'!Q14,"AAAAAG3/P30=")</f>
        <v>#VALUE!</v>
      </c>
      <c r="DW70" t="e">
        <f>AND('6to. Secre.'!R14,"AAAAAG3/P34=")</f>
        <v>#VALUE!</v>
      </c>
      <c r="DX70" t="e">
        <f>AND('6to. Secre.'!S14,"AAAAAG3/P38=")</f>
        <v>#VALUE!</v>
      </c>
      <c r="DY70" t="e">
        <f>AND('6to. Secre.'!T14,"AAAAAG3/P4A=")</f>
        <v>#VALUE!</v>
      </c>
      <c r="DZ70" t="e">
        <f>AND('6to. Secre.'!#REF!,"AAAAAG3/P4E=")</f>
        <v>#REF!</v>
      </c>
      <c r="EA70" t="e">
        <f>AND('6to. Secre.'!#REF!,"AAAAAG3/P4I=")</f>
        <v>#REF!</v>
      </c>
      <c r="EB70" t="e">
        <f>AND('6to. Secre.'!#REF!,"AAAAAG3/P4M=")</f>
        <v>#REF!</v>
      </c>
      <c r="EC70" t="e">
        <f>AND('6to. Secre.'!#REF!,"AAAAAG3/P4Q=")</f>
        <v>#REF!</v>
      </c>
      <c r="ED70" t="e">
        <f>AND('6to. Secre.'!#REF!,"AAAAAG3/P4U=")</f>
        <v>#REF!</v>
      </c>
      <c r="EE70">
        <f>IF('6to. Secre.'!15:15,"AAAAAG3/P4Y=",0)</f>
        <v>0</v>
      </c>
      <c r="EF70" t="e">
        <f>AND('6to. Secre.'!A15,"AAAAAG3/P4c=")</f>
        <v>#VALUE!</v>
      </c>
      <c r="EG70" t="e">
        <f>AND('6to. Secre.'!B15,"AAAAAG3/P4g=")</f>
        <v>#VALUE!</v>
      </c>
      <c r="EH70" t="e">
        <f>AND('6to. Secre.'!C15,"AAAAAG3/P4k=")</f>
        <v>#VALUE!</v>
      </c>
      <c r="EI70" t="e">
        <f>AND('6to. Secre.'!D15,"AAAAAG3/P4o=")</f>
        <v>#VALUE!</v>
      </c>
      <c r="EJ70" t="e">
        <f>AND('6to. Secre.'!E15,"AAAAAG3/P4s=")</f>
        <v>#VALUE!</v>
      </c>
      <c r="EK70" t="e">
        <f>AND('6to. Secre.'!F15,"AAAAAG3/P4w=")</f>
        <v>#VALUE!</v>
      </c>
      <c r="EL70" t="e">
        <f>AND('6to. Secre.'!G15,"AAAAAG3/P40=")</f>
        <v>#VALUE!</v>
      </c>
      <c r="EM70" t="e">
        <f>AND('6to. Secre.'!H15,"AAAAAG3/P44=")</f>
        <v>#VALUE!</v>
      </c>
      <c r="EN70" t="e">
        <f>AND('6to. Secre.'!I15,"AAAAAG3/P48=")</f>
        <v>#VALUE!</v>
      </c>
      <c r="EO70" t="e">
        <f>AND('6to. Secre.'!J15,"AAAAAG3/P5A=")</f>
        <v>#VALUE!</v>
      </c>
      <c r="EP70" t="e">
        <f>AND('6to. Secre.'!K15,"AAAAAG3/P5E=")</f>
        <v>#VALUE!</v>
      </c>
      <c r="EQ70" t="e">
        <f>AND('6to. Secre.'!L15,"AAAAAG3/P5I=")</f>
        <v>#VALUE!</v>
      </c>
      <c r="ER70" t="e">
        <f>AND('6to. Secre.'!M15,"AAAAAG3/P5M=")</f>
        <v>#VALUE!</v>
      </c>
      <c r="ES70" t="e">
        <f>AND('6to. Secre.'!N15,"AAAAAG3/P5Q=")</f>
        <v>#VALUE!</v>
      </c>
      <c r="ET70" t="e">
        <f>AND('6to. Secre.'!O15,"AAAAAG3/P5U=")</f>
        <v>#VALUE!</v>
      </c>
      <c r="EU70" t="e">
        <f>AND('6to. Secre.'!P15,"AAAAAG3/P5Y=")</f>
        <v>#VALUE!</v>
      </c>
      <c r="EV70" t="e">
        <f>AND('6to. Secre.'!Q15,"AAAAAG3/P5c=")</f>
        <v>#VALUE!</v>
      </c>
      <c r="EW70" t="e">
        <f>AND('6to. Secre.'!R15,"AAAAAG3/P5g=")</f>
        <v>#VALUE!</v>
      </c>
      <c r="EX70" t="e">
        <f>AND('6to. Secre.'!S15,"AAAAAG3/P5k=")</f>
        <v>#VALUE!</v>
      </c>
      <c r="EY70" t="e">
        <f>AND('6to. Secre.'!T15,"AAAAAG3/P5o=")</f>
        <v>#VALUE!</v>
      </c>
      <c r="EZ70" t="e">
        <f>AND('6to. Secre.'!#REF!,"AAAAAG3/P5s=")</f>
        <v>#REF!</v>
      </c>
      <c r="FA70" t="e">
        <f>AND('6to. Secre.'!#REF!,"AAAAAG3/P5w=")</f>
        <v>#REF!</v>
      </c>
      <c r="FB70" t="e">
        <f>AND('6to. Secre.'!#REF!,"AAAAAG3/P50=")</f>
        <v>#REF!</v>
      </c>
      <c r="FC70" t="e">
        <f>AND('6to. Secre.'!#REF!,"AAAAAG3/P54=")</f>
        <v>#REF!</v>
      </c>
      <c r="FD70" t="e">
        <f>AND('6to. Secre.'!#REF!,"AAAAAG3/P58=")</f>
        <v>#REF!</v>
      </c>
      <c r="FE70">
        <f>IF('6to. Secre.'!16:16,"AAAAAG3/P6A=",0)</f>
        <v>0</v>
      </c>
      <c r="FF70" t="e">
        <f>AND('6to. Secre.'!A16,"AAAAAG3/P6E=")</f>
        <v>#VALUE!</v>
      </c>
      <c r="FG70" t="e">
        <f>AND('6to. Secre.'!B16,"AAAAAG3/P6I=")</f>
        <v>#VALUE!</v>
      </c>
      <c r="FH70" t="e">
        <f>AND('6to. Secre.'!C16,"AAAAAG3/P6M=")</f>
        <v>#VALUE!</v>
      </c>
      <c r="FI70" t="e">
        <f>AND('6to. Secre.'!D16,"AAAAAG3/P6Q=")</f>
        <v>#VALUE!</v>
      </c>
      <c r="FJ70" t="e">
        <f>AND('6to. Secre.'!E16,"AAAAAG3/P6U=")</f>
        <v>#VALUE!</v>
      </c>
      <c r="FK70" t="e">
        <f>AND('6to. Secre.'!F16,"AAAAAG3/P6Y=")</f>
        <v>#VALUE!</v>
      </c>
      <c r="FL70" t="e">
        <f>AND('6to. Secre.'!G16,"AAAAAG3/P6c=")</f>
        <v>#VALUE!</v>
      </c>
      <c r="FM70" t="e">
        <f>AND('6to. Secre.'!H16,"AAAAAG3/P6g=")</f>
        <v>#VALUE!</v>
      </c>
      <c r="FN70" t="e">
        <f>AND('6to. Secre.'!I16,"AAAAAG3/P6k=")</f>
        <v>#VALUE!</v>
      </c>
      <c r="FO70" t="e">
        <f>AND('6to. Secre.'!J16,"AAAAAG3/P6o=")</f>
        <v>#VALUE!</v>
      </c>
      <c r="FP70" t="e">
        <f>AND('6to. Secre.'!K16,"AAAAAG3/P6s=")</f>
        <v>#VALUE!</v>
      </c>
      <c r="FQ70" t="e">
        <f>AND('6to. Secre.'!L16,"AAAAAG3/P6w=")</f>
        <v>#VALUE!</v>
      </c>
      <c r="FR70" t="e">
        <f>AND('6to. Secre.'!M16,"AAAAAG3/P60=")</f>
        <v>#VALUE!</v>
      </c>
      <c r="FS70" t="e">
        <f>AND('6to. Secre.'!N16,"AAAAAG3/P64=")</f>
        <v>#VALUE!</v>
      </c>
      <c r="FT70" t="e">
        <f>AND('6to. Secre.'!O16,"AAAAAG3/P68=")</f>
        <v>#VALUE!</v>
      </c>
      <c r="FU70" t="e">
        <f>AND('6to. Secre.'!P16,"AAAAAG3/P7A=")</f>
        <v>#VALUE!</v>
      </c>
      <c r="FV70" t="e">
        <f>AND('6to. Secre.'!Q16,"AAAAAG3/P7E=")</f>
        <v>#VALUE!</v>
      </c>
      <c r="FW70" t="e">
        <f>AND('6to. Secre.'!R16,"AAAAAG3/P7I=")</f>
        <v>#VALUE!</v>
      </c>
      <c r="FX70" t="e">
        <f>AND('6to. Secre.'!S16,"AAAAAG3/P7M=")</f>
        <v>#VALUE!</v>
      </c>
      <c r="FY70" t="e">
        <f>AND('6to. Secre.'!T16,"AAAAAG3/P7Q=")</f>
        <v>#VALUE!</v>
      </c>
      <c r="FZ70" t="e">
        <f>AND('6to. Secre.'!#REF!,"AAAAAG3/P7U=")</f>
        <v>#REF!</v>
      </c>
      <c r="GA70" t="e">
        <f>AND('6to. Secre.'!#REF!,"AAAAAG3/P7Y=")</f>
        <v>#REF!</v>
      </c>
      <c r="GB70" t="e">
        <f>AND('6to. Secre.'!#REF!,"AAAAAG3/P7c=")</f>
        <v>#REF!</v>
      </c>
      <c r="GC70" t="e">
        <f>AND('6to. Secre.'!#REF!,"AAAAAG3/P7g=")</f>
        <v>#REF!</v>
      </c>
      <c r="GD70" t="e">
        <f>AND('6to. Secre.'!#REF!,"AAAAAG3/P7k=")</f>
        <v>#REF!</v>
      </c>
      <c r="GE70" t="e">
        <f>IF('6to. Secre.'!#REF!,"AAAAAG3/P7o=",0)</f>
        <v>#REF!</v>
      </c>
      <c r="GF70" t="e">
        <f>AND('6to. Secre.'!#REF!,"AAAAAG3/P7s=")</f>
        <v>#REF!</v>
      </c>
      <c r="GG70" t="e">
        <f>AND('6to. Secre.'!#REF!,"AAAAAG3/P7w=")</f>
        <v>#REF!</v>
      </c>
      <c r="GH70" t="e">
        <f>AND('6to. Secre.'!#REF!,"AAAAAG3/P70=")</f>
        <v>#REF!</v>
      </c>
      <c r="GI70" t="e">
        <f>AND('6to. Secre.'!#REF!,"AAAAAG3/P74=")</f>
        <v>#REF!</v>
      </c>
      <c r="GJ70" t="e">
        <f>AND('6to. Secre.'!#REF!,"AAAAAG3/P78=")</f>
        <v>#REF!</v>
      </c>
      <c r="GK70" t="e">
        <f>AND('6to. Secre.'!#REF!,"AAAAAG3/P8A=")</f>
        <v>#REF!</v>
      </c>
      <c r="GL70" t="e">
        <f>AND('6to. Secre.'!#REF!,"AAAAAG3/P8E=")</f>
        <v>#REF!</v>
      </c>
      <c r="GM70" t="e">
        <f>AND('6to. Secre.'!#REF!,"AAAAAG3/P8I=")</f>
        <v>#REF!</v>
      </c>
      <c r="GN70" t="e">
        <f>AND('6to. Secre.'!#REF!,"AAAAAG3/P8M=")</f>
        <v>#REF!</v>
      </c>
      <c r="GO70" t="e">
        <f>AND('6to. Secre.'!#REF!,"AAAAAG3/P8Q=")</f>
        <v>#REF!</v>
      </c>
      <c r="GP70" t="e">
        <f>AND('6to. Secre.'!#REF!,"AAAAAG3/P8U=")</f>
        <v>#REF!</v>
      </c>
      <c r="GQ70" t="e">
        <f>AND('6to. Secre.'!#REF!,"AAAAAG3/P8Y=")</f>
        <v>#REF!</v>
      </c>
      <c r="GR70" t="e">
        <f>AND('6to. Secre.'!#REF!,"AAAAAG3/P8c=")</f>
        <v>#REF!</v>
      </c>
      <c r="GS70" t="e">
        <f>AND('6to. Secre.'!#REF!,"AAAAAG3/P8g=")</f>
        <v>#REF!</v>
      </c>
      <c r="GT70" t="e">
        <f>AND('6to. Secre.'!#REF!,"AAAAAG3/P8k=")</f>
        <v>#REF!</v>
      </c>
      <c r="GU70" t="e">
        <f>AND('6to. Secre.'!#REF!,"AAAAAG3/P8o=")</f>
        <v>#REF!</v>
      </c>
      <c r="GV70" t="e">
        <f>AND('6to. Secre.'!#REF!,"AAAAAG3/P8s=")</f>
        <v>#REF!</v>
      </c>
      <c r="GW70" t="e">
        <f>AND('6to. Secre.'!#REF!,"AAAAAG3/P8w=")</f>
        <v>#REF!</v>
      </c>
      <c r="GX70" t="e">
        <f>AND('6to. Secre.'!#REF!,"AAAAAG3/P80=")</f>
        <v>#REF!</v>
      </c>
      <c r="GY70" t="e">
        <f>AND('6to. Secre.'!#REF!,"AAAAAG3/P84=")</f>
        <v>#REF!</v>
      </c>
      <c r="GZ70" t="e">
        <f>AND('6to. Secre.'!#REF!,"AAAAAG3/P88=")</f>
        <v>#REF!</v>
      </c>
      <c r="HA70" t="e">
        <f>AND('6to. Secre.'!#REF!,"AAAAAG3/P9A=")</f>
        <v>#REF!</v>
      </c>
      <c r="HB70" t="e">
        <f>AND('6to. Secre.'!#REF!,"AAAAAG3/P9E=")</f>
        <v>#REF!</v>
      </c>
      <c r="HC70" t="e">
        <f>AND('6to. Secre.'!#REF!,"AAAAAG3/P9I=")</f>
        <v>#REF!</v>
      </c>
      <c r="HD70" t="e">
        <f>AND('6to. Secre.'!#REF!,"AAAAAG3/P9M=")</f>
        <v>#REF!</v>
      </c>
      <c r="HE70" t="e">
        <f>IF('6to. Secre.'!#REF!,"AAAAAG3/P9Q=",0)</f>
        <v>#REF!</v>
      </c>
      <c r="HF70" t="e">
        <f>AND('6to. Secre.'!#REF!,"AAAAAG3/P9U=")</f>
        <v>#REF!</v>
      </c>
      <c r="HG70" t="e">
        <f>AND('6to. Secre.'!#REF!,"AAAAAG3/P9Y=")</f>
        <v>#REF!</v>
      </c>
      <c r="HH70" t="e">
        <f>AND('6to. Secre.'!#REF!,"AAAAAG3/P9c=")</f>
        <v>#REF!</v>
      </c>
      <c r="HI70" t="e">
        <f>AND('6to. Secre.'!#REF!,"AAAAAG3/P9g=")</f>
        <v>#REF!</v>
      </c>
      <c r="HJ70" t="e">
        <f>AND('6to. Secre.'!#REF!,"AAAAAG3/P9k=")</f>
        <v>#REF!</v>
      </c>
      <c r="HK70" t="e">
        <f>AND('6to. Secre.'!#REF!,"AAAAAG3/P9o=")</f>
        <v>#REF!</v>
      </c>
      <c r="HL70" t="e">
        <f>AND('6to. Secre.'!#REF!,"AAAAAG3/P9s=")</f>
        <v>#REF!</v>
      </c>
      <c r="HM70" t="e">
        <f>AND('6to. Secre.'!#REF!,"AAAAAG3/P9w=")</f>
        <v>#REF!</v>
      </c>
      <c r="HN70" t="e">
        <f>AND('6to. Secre.'!#REF!,"AAAAAG3/P90=")</f>
        <v>#REF!</v>
      </c>
      <c r="HO70" t="e">
        <f>AND('6to. Secre.'!#REF!,"AAAAAG3/P94=")</f>
        <v>#REF!</v>
      </c>
      <c r="HP70" t="e">
        <f>AND('6to. Secre.'!#REF!,"AAAAAG3/P98=")</f>
        <v>#REF!</v>
      </c>
      <c r="HQ70" t="e">
        <f>AND('6to. Secre.'!#REF!,"AAAAAG3/P+A=")</f>
        <v>#REF!</v>
      </c>
      <c r="HR70" t="e">
        <f>AND('6to. Secre.'!#REF!,"AAAAAG3/P+E=")</f>
        <v>#REF!</v>
      </c>
      <c r="HS70" t="e">
        <f>AND('6to. Secre.'!#REF!,"AAAAAG3/P+I=")</f>
        <v>#REF!</v>
      </c>
      <c r="HT70" t="e">
        <f>AND('6to. Secre.'!#REF!,"AAAAAG3/P+M=")</f>
        <v>#REF!</v>
      </c>
      <c r="HU70" t="e">
        <f>AND('6to. Secre.'!#REF!,"AAAAAG3/P+Q=")</f>
        <v>#REF!</v>
      </c>
      <c r="HV70" t="e">
        <f>AND('6to. Secre.'!#REF!,"AAAAAG3/P+U=")</f>
        <v>#REF!</v>
      </c>
      <c r="HW70" t="e">
        <f>AND('6to. Secre.'!#REF!,"AAAAAG3/P+Y=")</f>
        <v>#REF!</v>
      </c>
      <c r="HX70" t="e">
        <f>AND('6to. Secre.'!#REF!,"AAAAAG3/P+c=")</f>
        <v>#REF!</v>
      </c>
      <c r="HY70" t="e">
        <f>AND('6to. Secre.'!#REF!,"AAAAAG3/P+g=")</f>
        <v>#REF!</v>
      </c>
      <c r="HZ70" t="e">
        <f>AND('6to. Secre.'!#REF!,"AAAAAG3/P+k=")</f>
        <v>#REF!</v>
      </c>
      <c r="IA70" t="e">
        <f>AND('6to. Secre.'!#REF!,"AAAAAG3/P+o=")</f>
        <v>#REF!</v>
      </c>
      <c r="IB70" t="e">
        <f>AND('6to. Secre.'!#REF!,"AAAAAG3/P+s=")</f>
        <v>#REF!</v>
      </c>
      <c r="IC70" t="e">
        <f>AND('6to. Secre.'!#REF!,"AAAAAG3/P+w=")</f>
        <v>#REF!</v>
      </c>
      <c r="ID70" t="e">
        <f>AND('6to. Secre.'!#REF!,"AAAAAG3/P+0=")</f>
        <v>#REF!</v>
      </c>
      <c r="IE70" t="e">
        <f>IF('6to. Secre.'!#REF!,"AAAAAG3/P+4=",0)</f>
        <v>#REF!</v>
      </c>
      <c r="IF70" t="e">
        <f>AND('6to. Secre.'!#REF!,"AAAAAG3/P+8=")</f>
        <v>#REF!</v>
      </c>
      <c r="IG70" t="e">
        <f>AND('6to. Secre.'!#REF!,"AAAAAG3/P/A=")</f>
        <v>#REF!</v>
      </c>
      <c r="IH70" t="e">
        <f>AND('6to. Secre.'!#REF!,"AAAAAG3/P/E=")</f>
        <v>#REF!</v>
      </c>
      <c r="II70" t="e">
        <f>AND('6to. Secre.'!#REF!,"AAAAAG3/P/I=")</f>
        <v>#REF!</v>
      </c>
      <c r="IJ70" t="e">
        <f>AND('6to. Secre.'!#REF!,"AAAAAG3/P/M=")</f>
        <v>#REF!</v>
      </c>
      <c r="IK70" t="e">
        <f>AND('6to. Secre.'!#REF!,"AAAAAG3/P/Q=")</f>
        <v>#REF!</v>
      </c>
      <c r="IL70" t="e">
        <f>AND('6to. Secre.'!#REF!,"AAAAAG3/P/U=")</f>
        <v>#REF!</v>
      </c>
      <c r="IM70" t="e">
        <f>AND('6to. Secre.'!#REF!,"AAAAAG3/P/Y=")</f>
        <v>#REF!</v>
      </c>
      <c r="IN70" t="e">
        <f>AND('6to. Secre.'!#REF!,"AAAAAG3/P/c=")</f>
        <v>#REF!</v>
      </c>
      <c r="IO70" t="e">
        <f>AND('6to. Secre.'!#REF!,"AAAAAG3/P/g=")</f>
        <v>#REF!</v>
      </c>
      <c r="IP70" t="e">
        <f>AND('6to. Secre.'!#REF!,"AAAAAG3/P/k=")</f>
        <v>#REF!</v>
      </c>
      <c r="IQ70" t="e">
        <f>AND('6to. Secre.'!#REF!,"AAAAAG3/P/o=")</f>
        <v>#REF!</v>
      </c>
      <c r="IR70" t="e">
        <f>AND('6to. Secre.'!#REF!,"AAAAAG3/P/s=")</f>
        <v>#REF!</v>
      </c>
      <c r="IS70" t="e">
        <f>AND('6to. Secre.'!#REF!,"AAAAAG3/P/w=")</f>
        <v>#REF!</v>
      </c>
      <c r="IT70" t="e">
        <f>AND('6to. Secre.'!#REF!,"AAAAAG3/P/0=")</f>
        <v>#REF!</v>
      </c>
      <c r="IU70" t="e">
        <f>AND('6to. Secre.'!#REF!,"AAAAAG3/P/4=")</f>
        <v>#REF!</v>
      </c>
      <c r="IV70" t="e">
        <f>AND('6to. Secre.'!#REF!,"AAAAAG3/P/8=")</f>
        <v>#REF!</v>
      </c>
    </row>
    <row r="71" spans="1:256">
      <c r="A71" t="e">
        <f>AND('6to. Secre.'!#REF!,"AAAAAH/XWAA=")</f>
        <v>#REF!</v>
      </c>
      <c r="B71" t="e">
        <f>AND('6to. Secre.'!#REF!,"AAAAAH/XWAE=")</f>
        <v>#REF!</v>
      </c>
      <c r="C71" t="e">
        <f>AND('6to. Secre.'!#REF!,"AAAAAH/XWAI=")</f>
        <v>#REF!</v>
      </c>
      <c r="D71" t="e">
        <f>AND('6to. Secre.'!#REF!,"AAAAAH/XWAM=")</f>
        <v>#REF!</v>
      </c>
      <c r="E71" t="e">
        <f>AND('6to. Secre.'!#REF!,"AAAAAH/XWAQ=")</f>
        <v>#REF!</v>
      </c>
      <c r="F71" t="e">
        <f>AND('6to. Secre.'!#REF!,"AAAAAH/XWAU=")</f>
        <v>#REF!</v>
      </c>
      <c r="G71" t="e">
        <f>AND('6to. Secre.'!#REF!,"AAAAAH/XWAY=")</f>
        <v>#REF!</v>
      </c>
      <c r="H71" t="e">
        <f>AND('6to. Secre.'!#REF!,"AAAAAH/XWAc=")</f>
        <v>#REF!</v>
      </c>
      <c r="I71" t="e">
        <f>IF('6to. Secre.'!#REF!,"AAAAAH/XWAg=",0)</f>
        <v>#REF!</v>
      </c>
      <c r="J71" t="e">
        <f>AND('6to. Secre.'!#REF!,"AAAAAH/XWAk=")</f>
        <v>#REF!</v>
      </c>
      <c r="K71" t="e">
        <f>AND('6to. Secre.'!#REF!,"AAAAAH/XWAo=")</f>
        <v>#REF!</v>
      </c>
      <c r="L71" t="e">
        <f>AND('6to. Secre.'!#REF!,"AAAAAH/XWAs=")</f>
        <v>#REF!</v>
      </c>
      <c r="M71" t="e">
        <f>AND('6to. Secre.'!#REF!,"AAAAAH/XWAw=")</f>
        <v>#REF!</v>
      </c>
      <c r="N71" t="e">
        <f>AND('6to. Secre.'!#REF!,"AAAAAH/XWA0=")</f>
        <v>#REF!</v>
      </c>
      <c r="O71" t="e">
        <f>AND('6to. Secre.'!#REF!,"AAAAAH/XWA4=")</f>
        <v>#REF!</v>
      </c>
      <c r="P71" t="e">
        <f>AND('6to. Secre.'!#REF!,"AAAAAH/XWA8=")</f>
        <v>#REF!</v>
      </c>
      <c r="Q71" t="e">
        <f>AND('6to. Secre.'!#REF!,"AAAAAH/XWBA=")</f>
        <v>#REF!</v>
      </c>
      <c r="R71" t="e">
        <f>AND('6to. Secre.'!#REF!,"AAAAAH/XWBE=")</f>
        <v>#REF!</v>
      </c>
      <c r="S71" t="e">
        <f>AND('6to. Secre.'!#REF!,"AAAAAH/XWBI=")</f>
        <v>#REF!</v>
      </c>
      <c r="T71" t="e">
        <f>AND('6to. Secre.'!#REF!,"AAAAAH/XWBM=")</f>
        <v>#REF!</v>
      </c>
      <c r="U71" t="e">
        <f>AND('6to. Secre.'!#REF!,"AAAAAH/XWBQ=")</f>
        <v>#REF!</v>
      </c>
      <c r="V71" t="e">
        <f>AND('6to. Secre.'!#REF!,"AAAAAH/XWBU=")</f>
        <v>#REF!</v>
      </c>
      <c r="W71" t="e">
        <f>AND('6to. Secre.'!#REF!,"AAAAAH/XWBY=")</f>
        <v>#REF!</v>
      </c>
      <c r="X71" t="e">
        <f>AND('6to. Secre.'!#REF!,"AAAAAH/XWBc=")</f>
        <v>#REF!</v>
      </c>
      <c r="Y71" t="e">
        <f>AND('6to. Secre.'!#REF!,"AAAAAH/XWBg=")</f>
        <v>#REF!</v>
      </c>
      <c r="Z71" t="e">
        <f>AND('6to. Secre.'!#REF!,"AAAAAH/XWBk=")</f>
        <v>#REF!</v>
      </c>
      <c r="AA71" t="e">
        <f>AND('6to. Secre.'!#REF!,"AAAAAH/XWBo=")</f>
        <v>#REF!</v>
      </c>
      <c r="AB71" t="e">
        <f>AND('6to. Secre.'!#REF!,"AAAAAH/XWBs=")</f>
        <v>#REF!</v>
      </c>
      <c r="AC71" t="e">
        <f>AND('6to. Secre.'!#REF!,"AAAAAH/XWBw=")</f>
        <v>#REF!</v>
      </c>
      <c r="AD71" t="e">
        <f>AND('6to. Secre.'!#REF!,"AAAAAH/XWB0=")</f>
        <v>#REF!</v>
      </c>
      <c r="AE71" t="e">
        <f>AND('6to. Secre.'!#REF!,"AAAAAH/XWB4=")</f>
        <v>#REF!</v>
      </c>
      <c r="AF71" t="e">
        <f>AND('6to. Secre.'!#REF!,"AAAAAH/XWB8=")</f>
        <v>#REF!</v>
      </c>
      <c r="AG71" t="e">
        <f>AND('6to. Secre.'!#REF!,"AAAAAH/XWCA=")</f>
        <v>#REF!</v>
      </c>
      <c r="AH71" t="e">
        <f>AND('6to. Secre.'!#REF!,"AAAAAH/XWCE=")</f>
        <v>#REF!</v>
      </c>
      <c r="AI71" t="e">
        <f>IF('6to. Secre.'!#REF!,"AAAAAH/XWCI=",0)</f>
        <v>#REF!</v>
      </c>
      <c r="AJ71" t="e">
        <f>AND('6to. Secre.'!#REF!,"AAAAAH/XWCM=")</f>
        <v>#REF!</v>
      </c>
      <c r="AK71" t="e">
        <f>AND('6to. Secre.'!#REF!,"AAAAAH/XWCQ=")</f>
        <v>#REF!</v>
      </c>
      <c r="AL71" t="e">
        <f>AND('6to. Secre.'!#REF!,"AAAAAH/XWCU=")</f>
        <v>#REF!</v>
      </c>
      <c r="AM71" t="e">
        <f>AND('6to. Secre.'!#REF!,"AAAAAH/XWCY=")</f>
        <v>#REF!</v>
      </c>
      <c r="AN71" t="e">
        <f>AND('6to. Secre.'!#REF!,"AAAAAH/XWCc=")</f>
        <v>#REF!</v>
      </c>
      <c r="AO71" t="e">
        <f>AND('6to. Secre.'!#REF!,"AAAAAH/XWCg=")</f>
        <v>#REF!</v>
      </c>
      <c r="AP71" t="e">
        <f>AND('6to. Secre.'!#REF!,"AAAAAH/XWCk=")</f>
        <v>#REF!</v>
      </c>
      <c r="AQ71" t="e">
        <f>AND('6to. Secre.'!#REF!,"AAAAAH/XWCo=")</f>
        <v>#REF!</v>
      </c>
      <c r="AR71" t="e">
        <f>AND('6to. Secre.'!#REF!,"AAAAAH/XWCs=")</f>
        <v>#REF!</v>
      </c>
      <c r="AS71" t="e">
        <f>AND('6to. Secre.'!#REF!,"AAAAAH/XWCw=")</f>
        <v>#REF!</v>
      </c>
      <c r="AT71" t="e">
        <f>AND('6to. Secre.'!#REF!,"AAAAAH/XWC0=")</f>
        <v>#REF!</v>
      </c>
      <c r="AU71" t="e">
        <f>AND('6to. Secre.'!#REF!,"AAAAAH/XWC4=")</f>
        <v>#REF!</v>
      </c>
      <c r="AV71" t="e">
        <f>AND('6to. Secre.'!#REF!,"AAAAAH/XWC8=")</f>
        <v>#REF!</v>
      </c>
      <c r="AW71" t="e">
        <f>AND('6to. Secre.'!#REF!,"AAAAAH/XWDA=")</f>
        <v>#REF!</v>
      </c>
      <c r="AX71" t="e">
        <f>AND('6to. Secre.'!#REF!,"AAAAAH/XWDE=")</f>
        <v>#REF!</v>
      </c>
      <c r="AY71" t="e">
        <f>AND('6to. Secre.'!#REF!,"AAAAAH/XWDI=")</f>
        <v>#REF!</v>
      </c>
      <c r="AZ71" t="e">
        <f>AND('6to. Secre.'!#REF!,"AAAAAH/XWDM=")</f>
        <v>#REF!</v>
      </c>
      <c r="BA71" t="e">
        <f>AND('6to. Secre.'!#REF!,"AAAAAH/XWDQ=")</f>
        <v>#REF!</v>
      </c>
      <c r="BB71" t="e">
        <f>AND('6to. Secre.'!#REF!,"AAAAAH/XWDU=")</f>
        <v>#REF!</v>
      </c>
      <c r="BC71" t="e">
        <f>AND('6to. Secre.'!#REF!,"AAAAAH/XWDY=")</f>
        <v>#REF!</v>
      </c>
      <c r="BD71" t="e">
        <f>AND('6to. Secre.'!#REF!,"AAAAAH/XWDc=")</f>
        <v>#REF!</v>
      </c>
      <c r="BE71" t="e">
        <f>AND('6to. Secre.'!#REF!,"AAAAAH/XWDg=")</f>
        <v>#REF!</v>
      </c>
      <c r="BF71" t="e">
        <f>AND('6to. Secre.'!#REF!,"AAAAAH/XWDk=")</f>
        <v>#REF!</v>
      </c>
      <c r="BG71" t="e">
        <f>AND('6to. Secre.'!#REF!,"AAAAAH/XWDo=")</f>
        <v>#REF!</v>
      </c>
      <c r="BH71" t="e">
        <f>AND('6to. Secre.'!#REF!,"AAAAAH/XWDs=")</f>
        <v>#REF!</v>
      </c>
      <c r="BI71" t="e">
        <f>IF('6to. Secre.'!#REF!,"AAAAAH/XWDw=",0)</f>
        <v>#REF!</v>
      </c>
      <c r="BJ71" t="e">
        <f>AND('6to. Secre.'!#REF!,"AAAAAH/XWD0=")</f>
        <v>#REF!</v>
      </c>
      <c r="BK71" t="e">
        <f>AND('6to. Secre.'!#REF!,"AAAAAH/XWD4=")</f>
        <v>#REF!</v>
      </c>
      <c r="BL71" t="e">
        <f>AND('6to. Secre.'!#REF!,"AAAAAH/XWD8=")</f>
        <v>#REF!</v>
      </c>
      <c r="BM71" t="e">
        <f>AND('6to. Secre.'!#REF!,"AAAAAH/XWEA=")</f>
        <v>#REF!</v>
      </c>
      <c r="BN71" t="e">
        <f>AND('6to. Secre.'!#REF!,"AAAAAH/XWEE=")</f>
        <v>#REF!</v>
      </c>
      <c r="BO71" t="e">
        <f>AND('6to. Secre.'!#REF!,"AAAAAH/XWEI=")</f>
        <v>#REF!</v>
      </c>
      <c r="BP71" t="e">
        <f>AND('6to. Secre.'!#REF!,"AAAAAH/XWEM=")</f>
        <v>#REF!</v>
      </c>
      <c r="BQ71" t="e">
        <f>AND('6to. Secre.'!#REF!,"AAAAAH/XWEQ=")</f>
        <v>#REF!</v>
      </c>
      <c r="BR71" t="e">
        <f>AND('6to. Secre.'!#REF!,"AAAAAH/XWEU=")</f>
        <v>#REF!</v>
      </c>
      <c r="BS71" t="e">
        <f>AND('6to. Secre.'!#REF!,"AAAAAH/XWEY=")</f>
        <v>#REF!</v>
      </c>
      <c r="BT71" t="e">
        <f>AND('6to. Secre.'!#REF!,"AAAAAH/XWEc=")</f>
        <v>#REF!</v>
      </c>
      <c r="BU71" t="e">
        <f>AND('6to. Secre.'!#REF!,"AAAAAH/XWEg=")</f>
        <v>#REF!</v>
      </c>
      <c r="BV71" t="e">
        <f>AND('6to. Secre.'!#REF!,"AAAAAH/XWEk=")</f>
        <v>#REF!</v>
      </c>
      <c r="BW71" t="e">
        <f>AND('6to. Secre.'!#REF!,"AAAAAH/XWEo=")</f>
        <v>#REF!</v>
      </c>
      <c r="BX71" t="e">
        <f>AND('6to. Secre.'!#REF!,"AAAAAH/XWEs=")</f>
        <v>#REF!</v>
      </c>
      <c r="BY71" t="e">
        <f>AND('6to. Secre.'!#REF!,"AAAAAH/XWEw=")</f>
        <v>#REF!</v>
      </c>
      <c r="BZ71" t="e">
        <f>AND('6to. Secre.'!#REF!,"AAAAAH/XWE0=")</f>
        <v>#REF!</v>
      </c>
      <c r="CA71" t="e">
        <f>AND('6to. Secre.'!#REF!,"AAAAAH/XWE4=")</f>
        <v>#REF!</v>
      </c>
      <c r="CB71" t="e">
        <f>AND('6to. Secre.'!#REF!,"AAAAAH/XWE8=")</f>
        <v>#REF!</v>
      </c>
      <c r="CC71" t="e">
        <f>AND('6to. Secre.'!#REF!,"AAAAAH/XWFA=")</f>
        <v>#REF!</v>
      </c>
      <c r="CD71" t="e">
        <f>AND('6to. Secre.'!#REF!,"AAAAAH/XWFE=")</f>
        <v>#REF!</v>
      </c>
      <c r="CE71" t="e">
        <f>AND('6to. Secre.'!#REF!,"AAAAAH/XWFI=")</f>
        <v>#REF!</v>
      </c>
      <c r="CF71" t="e">
        <f>AND('6to. Secre.'!#REF!,"AAAAAH/XWFM=")</f>
        <v>#REF!</v>
      </c>
      <c r="CG71" t="e">
        <f>AND('6to. Secre.'!#REF!,"AAAAAH/XWFQ=")</f>
        <v>#REF!</v>
      </c>
      <c r="CH71" t="e">
        <f>AND('6to. Secre.'!#REF!,"AAAAAH/XWFU=")</f>
        <v>#REF!</v>
      </c>
      <c r="CI71" t="e">
        <f>IF('6to. Secre.'!#REF!,"AAAAAH/XWFY=",0)</f>
        <v>#REF!</v>
      </c>
      <c r="CJ71" t="e">
        <f>AND('6to. Secre.'!#REF!,"AAAAAH/XWFc=")</f>
        <v>#REF!</v>
      </c>
      <c r="CK71" t="e">
        <f>AND('6to. Secre.'!#REF!,"AAAAAH/XWFg=")</f>
        <v>#REF!</v>
      </c>
      <c r="CL71" t="e">
        <f>AND('6to. Secre.'!#REF!,"AAAAAH/XWFk=")</f>
        <v>#REF!</v>
      </c>
      <c r="CM71" t="e">
        <f>AND('6to. Secre.'!#REF!,"AAAAAH/XWFo=")</f>
        <v>#REF!</v>
      </c>
      <c r="CN71" t="e">
        <f>AND('6to. Secre.'!#REF!,"AAAAAH/XWFs=")</f>
        <v>#REF!</v>
      </c>
      <c r="CO71" t="e">
        <f>AND('6to. Secre.'!#REF!,"AAAAAH/XWFw=")</f>
        <v>#REF!</v>
      </c>
      <c r="CP71" t="e">
        <f>AND('6to. Secre.'!#REF!,"AAAAAH/XWF0=")</f>
        <v>#REF!</v>
      </c>
      <c r="CQ71" t="e">
        <f>AND('6to. Secre.'!#REF!,"AAAAAH/XWF4=")</f>
        <v>#REF!</v>
      </c>
      <c r="CR71" t="e">
        <f>AND('6to. Secre.'!#REF!,"AAAAAH/XWF8=")</f>
        <v>#REF!</v>
      </c>
      <c r="CS71" t="e">
        <f>AND('6to. Secre.'!#REF!,"AAAAAH/XWGA=")</f>
        <v>#REF!</v>
      </c>
      <c r="CT71" t="e">
        <f>AND('6to. Secre.'!#REF!,"AAAAAH/XWGE=")</f>
        <v>#REF!</v>
      </c>
      <c r="CU71" t="e">
        <f>AND('6to. Secre.'!#REF!,"AAAAAH/XWGI=")</f>
        <v>#REF!</v>
      </c>
      <c r="CV71" t="e">
        <f>AND('6to. Secre.'!#REF!,"AAAAAH/XWGM=")</f>
        <v>#REF!</v>
      </c>
      <c r="CW71" t="e">
        <f>AND('6to. Secre.'!#REF!,"AAAAAH/XWGQ=")</f>
        <v>#REF!</v>
      </c>
      <c r="CX71" t="e">
        <f>AND('6to. Secre.'!#REF!,"AAAAAH/XWGU=")</f>
        <v>#REF!</v>
      </c>
      <c r="CY71" t="e">
        <f>AND('6to. Secre.'!#REF!,"AAAAAH/XWGY=")</f>
        <v>#REF!</v>
      </c>
      <c r="CZ71" t="e">
        <f>AND('6to. Secre.'!#REF!,"AAAAAH/XWGc=")</f>
        <v>#REF!</v>
      </c>
      <c r="DA71" t="e">
        <f>AND('6to. Secre.'!#REF!,"AAAAAH/XWGg=")</f>
        <v>#REF!</v>
      </c>
      <c r="DB71" t="e">
        <f>AND('6to. Secre.'!#REF!,"AAAAAH/XWGk=")</f>
        <v>#REF!</v>
      </c>
      <c r="DC71" t="e">
        <f>AND('6to. Secre.'!#REF!,"AAAAAH/XWGo=")</f>
        <v>#REF!</v>
      </c>
      <c r="DD71" t="e">
        <f>AND('6to. Secre.'!#REF!,"AAAAAH/XWGs=")</f>
        <v>#REF!</v>
      </c>
      <c r="DE71" t="e">
        <f>AND('6to. Secre.'!#REF!,"AAAAAH/XWGw=")</f>
        <v>#REF!</v>
      </c>
      <c r="DF71" t="e">
        <f>AND('6to. Secre.'!#REF!,"AAAAAH/XWG0=")</f>
        <v>#REF!</v>
      </c>
      <c r="DG71" t="e">
        <f>AND('6to. Secre.'!#REF!,"AAAAAH/XWG4=")</f>
        <v>#REF!</v>
      </c>
      <c r="DH71" t="e">
        <f>AND('6to. Secre.'!#REF!,"AAAAAH/XWG8=")</f>
        <v>#REF!</v>
      </c>
      <c r="DI71" t="e">
        <f>IF('6to. Secre.'!#REF!,"AAAAAH/XWHA=",0)</f>
        <v>#REF!</v>
      </c>
      <c r="DJ71" t="e">
        <f>AND('6to. Secre.'!#REF!,"AAAAAH/XWHE=")</f>
        <v>#REF!</v>
      </c>
      <c r="DK71" t="e">
        <f>AND('6to. Secre.'!#REF!,"AAAAAH/XWHI=")</f>
        <v>#REF!</v>
      </c>
      <c r="DL71" t="e">
        <f>AND('6to. Secre.'!#REF!,"AAAAAH/XWHM=")</f>
        <v>#REF!</v>
      </c>
      <c r="DM71" t="e">
        <f>AND('6to. Secre.'!#REF!,"AAAAAH/XWHQ=")</f>
        <v>#REF!</v>
      </c>
      <c r="DN71" t="e">
        <f>AND('6to. Secre.'!#REF!,"AAAAAH/XWHU=")</f>
        <v>#REF!</v>
      </c>
      <c r="DO71" t="e">
        <f>AND('6to. Secre.'!#REF!,"AAAAAH/XWHY=")</f>
        <v>#REF!</v>
      </c>
      <c r="DP71" t="e">
        <f>AND('6to. Secre.'!#REF!,"AAAAAH/XWHc=")</f>
        <v>#REF!</v>
      </c>
      <c r="DQ71" t="e">
        <f>AND('6to. Secre.'!#REF!,"AAAAAH/XWHg=")</f>
        <v>#REF!</v>
      </c>
      <c r="DR71" t="e">
        <f>AND('6to. Secre.'!#REF!,"AAAAAH/XWHk=")</f>
        <v>#REF!</v>
      </c>
      <c r="DS71" t="e">
        <f>AND('6to. Secre.'!#REF!,"AAAAAH/XWHo=")</f>
        <v>#REF!</v>
      </c>
      <c r="DT71" t="e">
        <f>AND('6to. Secre.'!#REF!,"AAAAAH/XWHs=")</f>
        <v>#REF!</v>
      </c>
      <c r="DU71" t="e">
        <f>AND('6to. Secre.'!#REF!,"AAAAAH/XWHw=")</f>
        <v>#REF!</v>
      </c>
      <c r="DV71" t="e">
        <f>AND('6to. Secre.'!#REF!,"AAAAAH/XWH0=")</f>
        <v>#REF!</v>
      </c>
      <c r="DW71" t="e">
        <f>AND('6to. Secre.'!#REF!,"AAAAAH/XWH4=")</f>
        <v>#REF!</v>
      </c>
      <c r="DX71" t="e">
        <f>AND('6to. Secre.'!#REF!,"AAAAAH/XWH8=")</f>
        <v>#REF!</v>
      </c>
      <c r="DY71" t="e">
        <f>AND('6to. Secre.'!#REF!,"AAAAAH/XWIA=")</f>
        <v>#REF!</v>
      </c>
      <c r="DZ71" t="e">
        <f>AND('6to. Secre.'!#REF!,"AAAAAH/XWIE=")</f>
        <v>#REF!</v>
      </c>
      <c r="EA71" t="e">
        <f>AND('6to. Secre.'!#REF!,"AAAAAH/XWII=")</f>
        <v>#REF!</v>
      </c>
      <c r="EB71" t="e">
        <f>AND('6to. Secre.'!#REF!,"AAAAAH/XWIM=")</f>
        <v>#REF!</v>
      </c>
      <c r="EC71" t="e">
        <f>AND('6to. Secre.'!#REF!,"AAAAAH/XWIQ=")</f>
        <v>#REF!</v>
      </c>
      <c r="ED71" t="e">
        <f>AND('6to. Secre.'!#REF!,"AAAAAH/XWIU=")</f>
        <v>#REF!</v>
      </c>
      <c r="EE71" t="e">
        <f>AND('6to. Secre.'!#REF!,"AAAAAH/XWIY=")</f>
        <v>#REF!</v>
      </c>
      <c r="EF71" t="e">
        <f>AND('6to. Secre.'!#REF!,"AAAAAH/XWIc=")</f>
        <v>#REF!</v>
      </c>
      <c r="EG71" t="e">
        <f>AND('6to. Secre.'!#REF!,"AAAAAH/XWIg=")</f>
        <v>#REF!</v>
      </c>
      <c r="EH71" t="e">
        <f>AND('6to. Secre.'!#REF!,"AAAAAH/XWIk=")</f>
        <v>#REF!</v>
      </c>
      <c r="EI71" t="e">
        <f>IF('6to. Secre.'!#REF!,"AAAAAH/XWIo=",0)</f>
        <v>#REF!</v>
      </c>
      <c r="EJ71" t="e">
        <f>AND('6to. Secre.'!#REF!,"AAAAAH/XWIs=")</f>
        <v>#REF!</v>
      </c>
      <c r="EK71" t="e">
        <f>AND('6to. Secre.'!#REF!,"AAAAAH/XWIw=")</f>
        <v>#REF!</v>
      </c>
      <c r="EL71" t="e">
        <f>AND('6to. Secre.'!#REF!,"AAAAAH/XWI0=")</f>
        <v>#REF!</v>
      </c>
      <c r="EM71" t="e">
        <f>AND('6to. Secre.'!#REF!,"AAAAAH/XWI4=")</f>
        <v>#REF!</v>
      </c>
      <c r="EN71" t="e">
        <f>AND('6to. Secre.'!#REF!,"AAAAAH/XWI8=")</f>
        <v>#REF!</v>
      </c>
      <c r="EO71" t="e">
        <f>AND('6to. Secre.'!#REF!,"AAAAAH/XWJA=")</f>
        <v>#REF!</v>
      </c>
      <c r="EP71" t="e">
        <f>AND('6to. Secre.'!#REF!,"AAAAAH/XWJE=")</f>
        <v>#REF!</v>
      </c>
      <c r="EQ71" t="e">
        <f>AND('6to. Secre.'!#REF!,"AAAAAH/XWJI=")</f>
        <v>#REF!</v>
      </c>
      <c r="ER71" t="e">
        <f>AND('6to. Secre.'!#REF!,"AAAAAH/XWJM=")</f>
        <v>#REF!</v>
      </c>
      <c r="ES71" t="e">
        <f>AND('6to. Secre.'!#REF!,"AAAAAH/XWJQ=")</f>
        <v>#REF!</v>
      </c>
      <c r="ET71" t="e">
        <f>AND('6to. Secre.'!#REF!,"AAAAAH/XWJU=")</f>
        <v>#REF!</v>
      </c>
      <c r="EU71" t="e">
        <f>AND('6to. Secre.'!#REF!,"AAAAAH/XWJY=")</f>
        <v>#REF!</v>
      </c>
      <c r="EV71" t="e">
        <f>AND('6to. Secre.'!#REF!,"AAAAAH/XWJc=")</f>
        <v>#REF!</v>
      </c>
      <c r="EW71" t="e">
        <f>AND('6to. Secre.'!#REF!,"AAAAAH/XWJg=")</f>
        <v>#REF!</v>
      </c>
      <c r="EX71" t="e">
        <f>AND('6to. Secre.'!#REF!,"AAAAAH/XWJk=")</f>
        <v>#REF!</v>
      </c>
      <c r="EY71" t="e">
        <f>AND('6to. Secre.'!#REF!,"AAAAAH/XWJo=")</f>
        <v>#REF!</v>
      </c>
      <c r="EZ71" t="e">
        <f>AND('6to. Secre.'!#REF!,"AAAAAH/XWJs=")</f>
        <v>#REF!</v>
      </c>
      <c r="FA71" t="e">
        <f>AND('6to. Secre.'!#REF!,"AAAAAH/XWJw=")</f>
        <v>#REF!</v>
      </c>
      <c r="FB71" t="e">
        <f>AND('6to. Secre.'!#REF!,"AAAAAH/XWJ0=")</f>
        <v>#REF!</v>
      </c>
      <c r="FC71" t="e">
        <f>AND('6to. Secre.'!#REF!,"AAAAAH/XWJ4=")</f>
        <v>#REF!</v>
      </c>
      <c r="FD71" t="e">
        <f>AND('6to. Secre.'!#REF!,"AAAAAH/XWJ8=")</f>
        <v>#REF!</v>
      </c>
      <c r="FE71" t="e">
        <f>AND('6to. Secre.'!#REF!,"AAAAAH/XWKA=")</f>
        <v>#REF!</v>
      </c>
      <c r="FF71" t="e">
        <f>AND('6to. Secre.'!#REF!,"AAAAAH/XWKE=")</f>
        <v>#REF!</v>
      </c>
      <c r="FG71" t="e">
        <f>AND('6to. Secre.'!#REF!,"AAAAAH/XWKI=")</f>
        <v>#REF!</v>
      </c>
      <c r="FH71" t="e">
        <f>AND('6to. Secre.'!#REF!,"AAAAAH/XWKM=")</f>
        <v>#REF!</v>
      </c>
      <c r="FI71" t="e">
        <f>IF('6to. Secre.'!#REF!,"AAAAAH/XWKQ=",0)</f>
        <v>#REF!</v>
      </c>
      <c r="FJ71" t="e">
        <f>AND('6to. Secre.'!#REF!,"AAAAAH/XWKU=")</f>
        <v>#REF!</v>
      </c>
      <c r="FK71" t="e">
        <f>AND('6to. Secre.'!#REF!,"AAAAAH/XWKY=")</f>
        <v>#REF!</v>
      </c>
      <c r="FL71" t="e">
        <f>AND('6to. Secre.'!#REF!,"AAAAAH/XWKc=")</f>
        <v>#REF!</v>
      </c>
      <c r="FM71" t="e">
        <f>AND('6to. Secre.'!#REF!,"AAAAAH/XWKg=")</f>
        <v>#REF!</v>
      </c>
      <c r="FN71" t="e">
        <f>AND('6to. Secre.'!#REF!,"AAAAAH/XWKk=")</f>
        <v>#REF!</v>
      </c>
      <c r="FO71" t="e">
        <f>AND('6to. Secre.'!#REF!,"AAAAAH/XWKo=")</f>
        <v>#REF!</v>
      </c>
      <c r="FP71" t="e">
        <f>AND('6to. Secre.'!#REF!,"AAAAAH/XWKs=")</f>
        <v>#REF!</v>
      </c>
      <c r="FQ71" t="e">
        <f>AND('6to. Secre.'!#REF!,"AAAAAH/XWKw=")</f>
        <v>#REF!</v>
      </c>
      <c r="FR71" t="e">
        <f>AND('6to. Secre.'!#REF!,"AAAAAH/XWK0=")</f>
        <v>#REF!</v>
      </c>
      <c r="FS71" t="e">
        <f>AND('6to. Secre.'!#REF!,"AAAAAH/XWK4=")</f>
        <v>#REF!</v>
      </c>
      <c r="FT71" t="e">
        <f>AND('6to. Secre.'!#REF!,"AAAAAH/XWK8=")</f>
        <v>#REF!</v>
      </c>
      <c r="FU71" t="e">
        <f>AND('6to. Secre.'!#REF!,"AAAAAH/XWLA=")</f>
        <v>#REF!</v>
      </c>
      <c r="FV71" t="e">
        <f>AND('6to. Secre.'!#REF!,"AAAAAH/XWLE=")</f>
        <v>#REF!</v>
      </c>
      <c r="FW71" t="e">
        <f>AND('6to. Secre.'!#REF!,"AAAAAH/XWLI=")</f>
        <v>#REF!</v>
      </c>
      <c r="FX71" t="e">
        <f>AND('6to. Secre.'!#REF!,"AAAAAH/XWLM=")</f>
        <v>#REF!</v>
      </c>
      <c r="FY71" t="e">
        <f>AND('6to. Secre.'!#REF!,"AAAAAH/XWLQ=")</f>
        <v>#REF!</v>
      </c>
      <c r="FZ71" t="e">
        <f>AND('6to. Secre.'!#REF!,"AAAAAH/XWLU=")</f>
        <v>#REF!</v>
      </c>
      <c r="GA71" t="e">
        <f>AND('6to. Secre.'!#REF!,"AAAAAH/XWLY=")</f>
        <v>#REF!</v>
      </c>
      <c r="GB71" t="e">
        <f>AND('6to. Secre.'!#REF!,"AAAAAH/XWLc=")</f>
        <v>#REF!</v>
      </c>
      <c r="GC71" t="e">
        <f>AND('6to. Secre.'!#REF!,"AAAAAH/XWLg=")</f>
        <v>#REF!</v>
      </c>
      <c r="GD71" t="e">
        <f>AND('6to. Secre.'!#REF!,"AAAAAH/XWLk=")</f>
        <v>#REF!</v>
      </c>
      <c r="GE71" t="e">
        <f>AND('6to. Secre.'!#REF!,"AAAAAH/XWLo=")</f>
        <v>#REF!</v>
      </c>
      <c r="GF71" t="e">
        <f>AND('6to. Secre.'!#REF!,"AAAAAH/XWLs=")</f>
        <v>#REF!</v>
      </c>
      <c r="GG71" t="e">
        <f>AND('6to. Secre.'!#REF!,"AAAAAH/XWLw=")</f>
        <v>#REF!</v>
      </c>
      <c r="GH71" t="e">
        <f>AND('6to. Secre.'!#REF!,"AAAAAH/XWL0=")</f>
        <v>#REF!</v>
      </c>
      <c r="GI71" t="e">
        <f>IF('6to. Secre.'!#REF!,"AAAAAH/XWL4=",0)</f>
        <v>#REF!</v>
      </c>
      <c r="GJ71" t="e">
        <f>AND('6to. Secre.'!#REF!,"AAAAAH/XWL8=")</f>
        <v>#REF!</v>
      </c>
      <c r="GK71" t="e">
        <f>AND('6to. Secre.'!#REF!,"AAAAAH/XWMA=")</f>
        <v>#REF!</v>
      </c>
      <c r="GL71" t="e">
        <f>AND('6to. Secre.'!#REF!,"AAAAAH/XWME=")</f>
        <v>#REF!</v>
      </c>
      <c r="GM71" t="e">
        <f>AND('6to. Secre.'!#REF!,"AAAAAH/XWMI=")</f>
        <v>#REF!</v>
      </c>
      <c r="GN71" t="e">
        <f>AND('6to. Secre.'!#REF!,"AAAAAH/XWMM=")</f>
        <v>#REF!</v>
      </c>
      <c r="GO71" t="e">
        <f>AND('6to. Secre.'!#REF!,"AAAAAH/XWMQ=")</f>
        <v>#REF!</v>
      </c>
      <c r="GP71" t="e">
        <f>AND('6to. Secre.'!#REF!,"AAAAAH/XWMU=")</f>
        <v>#REF!</v>
      </c>
      <c r="GQ71" t="e">
        <f>AND('6to. Secre.'!#REF!,"AAAAAH/XWMY=")</f>
        <v>#REF!</v>
      </c>
      <c r="GR71" t="e">
        <f>AND('6to. Secre.'!#REF!,"AAAAAH/XWMc=")</f>
        <v>#REF!</v>
      </c>
      <c r="GS71" t="e">
        <f>AND('6to. Secre.'!#REF!,"AAAAAH/XWMg=")</f>
        <v>#REF!</v>
      </c>
      <c r="GT71" t="e">
        <f>AND('6to. Secre.'!#REF!,"AAAAAH/XWMk=")</f>
        <v>#REF!</v>
      </c>
      <c r="GU71" t="e">
        <f>AND('6to. Secre.'!#REF!,"AAAAAH/XWMo=")</f>
        <v>#REF!</v>
      </c>
      <c r="GV71" t="e">
        <f>AND('6to. Secre.'!#REF!,"AAAAAH/XWMs=")</f>
        <v>#REF!</v>
      </c>
      <c r="GW71" t="e">
        <f>AND('6to. Secre.'!#REF!,"AAAAAH/XWMw=")</f>
        <v>#REF!</v>
      </c>
      <c r="GX71" t="e">
        <f>AND('6to. Secre.'!#REF!,"AAAAAH/XWM0=")</f>
        <v>#REF!</v>
      </c>
      <c r="GY71" t="e">
        <f>AND('6to. Secre.'!#REF!,"AAAAAH/XWM4=")</f>
        <v>#REF!</v>
      </c>
      <c r="GZ71" t="e">
        <f>AND('6to. Secre.'!#REF!,"AAAAAH/XWM8=")</f>
        <v>#REF!</v>
      </c>
      <c r="HA71" t="e">
        <f>AND('6to. Secre.'!#REF!,"AAAAAH/XWNA=")</f>
        <v>#REF!</v>
      </c>
      <c r="HB71" t="e">
        <f>AND('6to. Secre.'!#REF!,"AAAAAH/XWNE=")</f>
        <v>#REF!</v>
      </c>
      <c r="HC71" t="e">
        <f>AND('6to. Secre.'!#REF!,"AAAAAH/XWNI=")</f>
        <v>#REF!</v>
      </c>
      <c r="HD71" t="e">
        <f>AND('6to. Secre.'!#REF!,"AAAAAH/XWNM=")</f>
        <v>#REF!</v>
      </c>
      <c r="HE71" t="e">
        <f>AND('6to. Secre.'!#REF!,"AAAAAH/XWNQ=")</f>
        <v>#REF!</v>
      </c>
      <c r="HF71" t="e">
        <f>AND('6to. Secre.'!#REF!,"AAAAAH/XWNU=")</f>
        <v>#REF!</v>
      </c>
      <c r="HG71" t="e">
        <f>AND('6to. Secre.'!#REF!,"AAAAAH/XWNY=")</f>
        <v>#REF!</v>
      </c>
      <c r="HH71" t="e">
        <f>AND('6to. Secre.'!#REF!,"AAAAAH/XWNc=")</f>
        <v>#REF!</v>
      </c>
      <c r="HI71" t="e">
        <f>IF('6to. Secre.'!#REF!,"AAAAAH/XWNg=",0)</f>
        <v>#REF!</v>
      </c>
      <c r="HJ71" t="e">
        <f>AND('6to. Secre.'!#REF!,"AAAAAH/XWNk=")</f>
        <v>#REF!</v>
      </c>
      <c r="HK71" t="e">
        <f>AND('6to. Secre.'!#REF!,"AAAAAH/XWNo=")</f>
        <v>#REF!</v>
      </c>
      <c r="HL71" t="e">
        <f>AND('6to. Secre.'!#REF!,"AAAAAH/XWNs=")</f>
        <v>#REF!</v>
      </c>
      <c r="HM71" t="e">
        <f>AND('6to. Secre.'!#REF!,"AAAAAH/XWNw=")</f>
        <v>#REF!</v>
      </c>
      <c r="HN71" t="e">
        <f>AND('6to. Secre.'!#REF!,"AAAAAH/XWN0=")</f>
        <v>#REF!</v>
      </c>
      <c r="HO71" t="e">
        <f>AND('6to. Secre.'!#REF!,"AAAAAH/XWN4=")</f>
        <v>#REF!</v>
      </c>
      <c r="HP71" t="e">
        <f>AND('6to. Secre.'!#REF!,"AAAAAH/XWN8=")</f>
        <v>#REF!</v>
      </c>
      <c r="HQ71" t="e">
        <f>AND('6to. Secre.'!#REF!,"AAAAAH/XWOA=")</f>
        <v>#REF!</v>
      </c>
      <c r="HR71" t="e">
        <f>AND('6to. Secre.'!#REF!,"AAAAAH/XWOE=")</f>
        <v>#REF!</v>
      </c>
      <c r="HS71" t="e">
        <f>AND('6to. Secre.'!#REF!,"AAAAAH/XWOI=")</f>
        <v>#REF!</v>
      </c>
      <c r="HT71" t="e">
        <f>AND('6to. Secre.'!#REF!,"AAAAAH/XWOM=")</f>
        <v>#REF!</v>
      </c>
      <c r="HU71" t="e">
        <f>AND('6to. Secre.'!#REF!,"AAAAAH/XWOQ=")</f>
        <v>#REF!</v>
      </c>
      <c r="HV71" t="e">
        <f>AND('6to. Secre.'!#REF!,"AAAAAH/XWOU=")</f>
        <v>#REF!</v>
      </c>
      <c r="HW71" t="e">
        <f>AND('6to. Secre.'!#REF!,"AAAAAH/XWOY=")</f>
        <v>#REF!</v>
      </c>
      <c r="HX71" t="e">
        <f>AND('6to. Secre.'!#REF!,"AAAAAH/XWOc=")</f>
        <v>#REF!</v>
      </c>
      <c r="HY71" t="e">
        <f>AND('6to. Secre.'!#REF!,"AAAAAH/XWOg=")</f>
        <v>#REF!</v>
      </c>
      <c r="HZ71" t="e">
        <f>AND('6to. Secre.'!#REF!,"AAAAAH/XWOk=")</f>
        <v>#REF!</v>
      </c>
      <c r="IA71" t="e">
        <f>AND('6to. Secre.'!#REF!,"AAAAAH/XWOo=")</f>
        <v>#REF!</v>
      </c>
      <c r="IB71" t="e">
        <f>AND('6to. Secre.'!#REF!,"AAAAAH/XWOs=")</f>
        <v>#REF!</v>
      </c>
      <c r="IC71" t="e">
        <f>AND('6to. Secre.'!#REF!,"AAAAAH/XWOw=")</f>
        <v>#REF!</v>
      </c>
      <c r="ID71" t="e">
        <f>AND('6to. Secre.'!#REF!,"AAAAAH/XWO0=")</f>
        <v>#REF!</v>
      </c>
      <c r="IE71" t="e">
        <f>AND('6to. Secre.'!#REF!,"AAAAAH/XWO4=")</f>
        <v>#REF!</v>
      </c>
      <c r="IF71" t="e">
        <f>AND('6to. Secre.'!#REF!,"AAAAAH/XWO8=")</f>
        <v>#REF!</v>
      </c>
      <c r="IG71" t="e">
        <f>AND('6to. Secre.'!#REF!,"AAAAAH/XWPA=")</f>
        <v>#REF!</v>
      </c>
      <c r="IH71" t="e">
        <f>AND('6to. Secre.'!#REF!,"AAAAAH/XWPE=")</f>
        <v>#REF!</v>
      </c>
      <c r="II71" t="e">
        <f>IF('6to. Secre.'!#REF!,"AAAAAH/XWPI=",0)</f>
        <v>#REF!</v>
      </c>
      <c r="IJ71" t="e">
        <f>AND('6to. Secre.'!#REF!,"AAAAAH/XWPM=")</f>
        <v>#REF!</v>
      </c>
      <c r="IK71" t="e">
        <f>AND('6to. Secre.'!#REF!,"AAAAAH/XWPQ=")</f>
        <v>#REF!</v>
      </c>
      <c r="IL71" t="e">
        <f>AND('6to. Secre.'!#REF!,"AAAAAH/XWPU=")</f>
        <v>#REF!</v>
      </c>
      <c r="IM71" t="e">
        <f>AND('6to. Secre.'!#REF!,"AAAAAH/XWPY=")</f>
        <v>#REF!</v>
      </c>
      <c r="IN71" t="e">
        <f>AND('6to. Secre.'!#REF!,"AAAAAH/XWPc=")</f>
        <v>#REF!</v>
      </c>
      <c r="IO71" t="e">
        <f>AND('6to. Secre.'!#REF!,"AAAAAH/XWPg=")</f>
        <v>#REF!</v>
      </c>
      <c r="IP71" t="e">
        <f>AND('6to. Secre.'!#REF!,"AAAAAH/XWPk=")</f>
        <v>#REF!</v>
      </c>
      <c r="IQ71" t="e">
        <f>AND('6to. Secre.'!#REF!,"AAAAAH/XWPo=")</f>
        <v>#REF!</v>
      </c>
      <c r="IR71" t="e">
        <f>AND('6to. Secre.'!#REF!,"AAAAAH/XWPs=")</f>
        <v>#REF!</v>
      </c>
      <c r="IS71" t="e">
        <f>AND('6to. Secre.'!#REF!,"AAAAAH/XWPw=")</f>
        <v>#REF!</v>
      </c>
      <c r="IT71" t="e">
        <f>AND('6to. Secre.'!#REF!,"AAAAAH/XWP0=")</f>
        <v>#REF!</v>
      </c>
      <c r="IU71" t="e">
        <f>AND('6to. Secre.'!#REF!,"AAAAAH/XWP4=")</f>
        <v>#REF!</v>
      </c>
      <c r="IV71" t="e">
        <f>AND('6to. Secre.'!#REF!,"AAAAAH/XWP8=")</f>
        <v>#REF!</v>
      </c>
    </row>
    <row r="72" spans="1:256">
      <c r="A72" t="e">
        <f>AND('6to. Secre.'!#REF!,"AAAAAD+/8wA=")</f>
        <v>#REF!</v>
      </c>
      <c r="B72" t="e">
        <f>AND('6to. Secre.'!#REF!,"AAAAAD+/8wE=")</f>
        <v>#REF!</v>
      </c>
      <c r="C72" t="e">
        <f>AND('6to. Secre.'!#REF!,"AAAAAD+/8wI=")</f>
        <v>#REF!</v>
      </c>
      <c r="D72" t="e">
        <f>AND('6to. Secre.'!#REF!,"AAAAAD+/8wM=")</f>
        <v>#REF!</v>
      </c>
      <c r="E72" t="e">
        <f>AND('6to. Secre.'!#REF!,"AAAAAD+/8wQ=")</f>
        <v>#REF!</v>
      </c>
      <c r="F72" t="e">
        <f>AND('6to. Secre.'!#REF!,"AAAAAD+/8wU=")</f>
        <v>#REF!</v>
      </c>
      <c r="G72" t="e">
        <f>AND('6to. Secre.'!#REF!,"AAAAAD+/8wY=")</f>
        <v>#REF!</v>
      </c>
      <c r="H72" t="e">
        <f>AND('6to. Secre.'!#REF!,"AAAAAD+/8wc=")</f>
        <v>#REF!</v>
      </c>
      <c r="I72" t="e">
        <f>AND('6to. Secre.'!#REF!,"AAAAAD+/8wg=")</f>
        <v>#REF!</v>
      </c>
      <c r="J72" t="e">
        <f>AND('6to. Secre.'!#REF!,"AAAAAD+/8wk=")</f>
        <v>#REF!</v>
      </c>
      <c r="K72" t="e">
        <f>AND('6to. Secre.'!#REF!,"AAAAAD+/8wo=")</f>
        <v>#REF!</v>
      </c>
      <c r="L72" t="e">
        <f>AND('6to. Secre.'!#REF!,"AAAAAD+/8ws=")</f>
        <v>#REF!</v>
      </c>
      <c r="M72" t="e">
        <f>IF('6to. Secre.'!#REF!,"AAAAAD+/8ww=",0)</f>
        <v>#REF!</v>
      </c>
      <c r="N72" t="e">
        <f>AND('6to. Secre.'!#REF!,"AAAAAD+/8w0=")</f>
        <v>#REF!</v>
      </c>
      <c r="O72" t="e">
        <f>AND('6to. Secre.'!#REF!,"AAAAAD+/8w4=")</f>
        <v>#REF!</v>
      </c>
      <c r="P72" t="e">
        <f>AND('6to. Secre.'!#REF!,"AAAAAD+/8w8=")</f>
        <v>#REF!</v>
      </c>
      <c r="Q72" t="e">
        <f>AND('6to. Secre.'!#REF!,"AAAAAD+/8xA=")</f>
        <v>#REF!</v>
      </c>
      <c r="R72" t="e">
        <f>AND('6to. Secre.'!#REF!,"AAAAAD+/8xE=")</f>
        <v>#REF!</v>
      </c>
      <c r="S72" t="e">
        <f>AND('6to. Secre.'!#REF!,"AAAAAD+/8xI=")</f>
        <v>#REF!</v>
      </c>
      <c r="T72" t="e">
        <f>AND('6to. Secre.'!#REF!,"AAAAAD+/8xM=")</f>
        <v>#REF!</v>
      </c>
      <c r="U72" t="e">
        <f>AND('6to. Secre.'!#REF!,"AAAAAD+/8xQ=")</f>
        <v>#REF!</v>
      </c>
      <c r="V72" t="e">
        <f>AND('6to. Secre.'!#REF!,"AAAAAD+/8xU=")</f>
        <v>#REF!</v>
      </c>
      <c r="W72" t="e">
        <f>AND('6to. Secre.'!#REF!,"AAAAAD+/8xY=")</f>
        <v>#REF!</v>
      </c>
      <c r="X72" t="e">
        <f>AND('6to. Secre.'!#REF!,"AAAAAD+/8xc=")</f>
        <v>#REF!</v>
      </c>
      <c r="Y72" t="e">
        <f>AND('6to. Secre.'!#REF!,"AAAAAD+/8xg=")</f>
        <v>#REF!</v>
      </c>
      <c r="Z72" t="e">
        <f>AND('6to. Secre.'!#REF!,"AAAAAD+/8xk=")</f>
        <v>#REF!</v>
      </c>
      <c r="AA72" t="e">
        <f>AND('6to. Secre.'!#REF!,"AAAAAD+/8xo=")</f>
        <v>#REF!</v>
      </c>
      <c r="AB72" t="e">
        <f>AND('6to. Secre.'!#REF!,"AAAAAD+/8xs=")</f>
        <v>#REF!</v>
      </c>
      <c r="AC72" t="e">
        <f>AND('6to. Secre.'!#REF!,"AAAAAD+/8xw=")</f>
        <v>#REF!</v>
      </c>
      <c r="AD72" t="e">
        <f>AND('6to. Secre.'!#REF!,"AAAAAD+/8x0=")</f>
        <v>#REF!</v>
      </c>
      <c r="AE72" t="e">
        <f>AND('6to. Secre.'!#REF!,"AAAAAD+/8x4=")</f>
        <v>#REF!</v>
      </c>
      <c r="AF72" t="e">
        <f>AND('6to. Secre.'!#REF!,"AAAAAD+/8x8=")</f>
        <v>#REF!</v>
      </c>
      <c r="AG72" t="e">
        <f>AND('6to. Secre.'!#REF!,"AAAAAD+/8yA=")</f>
        <v>#REF!</v>
      </c>
      <c r="AH72" t="e">
        <f>AND('6to. Secre.'!#REF!,"AAAAAD+/8yE=")</f>
        <v>#REF!</v>
      </c>
      <c r="AI72" t="e">
        <f>AND('6to. Secre.'!#REF!,"AAAAAD+/8yI=")</f>
        <v>#REF!</v>
      </c>
      <c r="AJ72" t="e">
        <f>AND('6to. Secre.'!#REF!,"AAAAAD+/8yM=")</f>
        <v>#REF!</v>
      </c>
      <c r="AK72" t="e">
        <f>AND('6to. Secre.'!#REF!,"AAAAAD+/8yQ=")</f>
        <v>#REF!</v>
      </c>
      <c r="AL72" t="e">
        <f>AND('6to. Secre.'!#REF!,"AAAAAD+/8yU=")</f>
        <v>#REF!</v>
      </c>
      <c r="AM72" t="e">
        <f>IF('6to. Secre.'!#REF!,"AAAAAD+/8yY=",0)</f>
        <v>#REF!</v>
      </c>
      <c r="AN72" t="e">
        <f>AND('6to. Secre.'!#REF!,"AAAAAD+/8yc=")</f>
        <v>#REF!</v>
      </c>
      <c r="AO72" t="e">
        <f>AND('6to. Secre.'!#REF!,"AAAAAD+/8yg=")</f>
        <v>#REF!</v>
      </c>
      <c r="AP72" t="e">
        <f>AND('6to. Secre.'!#REF!,"AAAAAD+/8yk=")</f>
        <v>#REF!</v>
      </c>
      <c r="AQ72" t="e">
        <f>AND('6to. Secre.'!#REF!,"AAAAAD+/8yo=")</f>
        <v>#REF!</v>
      </c>
      <c r="AR72" t="e">
        <f>AND('6to. Secre.'!#REF!,"AAAAAD+/8ys=")</f>
        <v>#REF!</v>
      </c>
      <c r="AS72" t="e">
        <f>AND('6to. Secre.'!#REF!,"AAAAAD+/8yw=")</f>
        <v>#REF!</v>
      </c>
      <c r="AT72" t="e">
        <f>AND('6to. Secre.'!#REF!,"AAAAAD+/8y0=")</f>
        <v>#REF!</v>
      </c>
      <c r="AU72" t="e">
        <f>AND('6to. Secre.'!#REF!,"AAAAAD+/8y4=")</f>
        <v>#REF!</v>
      </c>
      <c r="AV72" t="e">
        <f>AND('6to. Secre.'!#REF!,"AAAAAD+/8y8=")</f>
        <v>#REF!</v>
      </c>
      <c r="AW72" t="e">
        <f>AND('6to. Secre.'!#REF!,"AAAAAD+/8zA=")</f>
        <v>#REF!</v>
      </c>
      <c r="AX72" t="e">
        <f>AND('6to. Secre.'!#REF!,"AAAAAD+/8zE=")</f>
        <v>#REF!</v>
      </c>
      <c r="AY72" t="e">
        <f>AND('6to. Secre.'!#REF!,"AAAAAD+/8zI=")</f>
        <v>#REF!</v>
      </c>
      <c r="AZ72" t="e">
        <f>AND('6to. Secre.'!#REF!,"AAAAAD+/8zM=")</f>
        <v>#REF!</v>
      </c>
      <c r="BA72" t="e">
        <f>AND('6to. Secre.'!#REF!,"AAAAAD+/8zQ=")</f>
        <v>#REF!</v>
      </c>
      <c r="BB72" t="e">
        <f>AND('6to. Secre.'!#REF!,"AAAAAD+/8zU=")</f>
        <v>#REF!</v>
      </c>
      <c r="BC72" t="e">
        <f>AND('6to. Secre.'!#REF!,"AAAAAD+/8zY=")</f>
        <v>#REF!</v>
      </c>
      <c r="BD72" t="e">
        <f>AND('6to. Secre.'!#REF!,"AAAAAD+/8zc=")</f>
        <v>#REF!</v>
      </c>
      <c r="BE72" t="e">
        <f>AND('6to. Secre.'!#REF!,"AAAAAD+/8zg=")</f>
        <v>#REF!</v>
      </c>
      <c r="BF72" t="e">
        <f>AND('6to. Secre.'!#REF!,"AAAAAD+/8zk=")</f>
        <v>#REF!</v>
      </c>
      <c r="BG72" t="e">
        <f>AND('6to. Secre.'!#REF!,"AAAAAD+/8zo=")</f>
        <v>#REF!</v>
      </c>
      <c r="BH72" t="e">
        <f>AND('6to. Secre.'!#REF!,"AAAAAD+/8zs=")</f>
        <v>#REF!</v>
      </c>
      <c r="BI72" t="e">
        <f>AND('6to. Secre.'!#REF!,"AAAAAD+/8zw=")</f>
        <v>#REF!</v>
      </c>
      <c r="BJ72" t="e">
        <f>AND('6to. Secre.'!#REF!,"AAAAAD+/8z0=")</f>
        <v>#REF!</v>
      </c>
      <c r="BK72" t="e">
        <f>AND('6to. Secre.'!#REF!,"AAAAAD+/8z4=")</f>
        <v>#REF!</v>
      </c>
      <c r="BL72" t="e">
        <f>AND('6to. Secre.'!#REF!,"AAAAAD+/8z8=")</f>
        <v>#REF!</v>
      </c>
      <c r="BM72" t="e">
        <f>IF('6to. Secre.'!#REF!,"AAAAAD+/80A=",0)</f>
        <v>#REF!</v>
      </c>
      <c r="BN72" t="e">
        <f>AND('6to. Secre.'!#REF!,"AAAAAD+/80E=")</f>
        <v>#REF!</v>
      </c>
      <c r="BO72" t="e">
        <f>AND('6to. Secre.'!#REF!,"AAAAAD+/80I=")</f>
        <v>#REF!</v>
      </c>
      <c r="BP72" t="e">
        <f>AND('6to. Secre.'!#REF!,"AAAAAD+/80M=")</f>
        <v>#REF!</v>
      </c>
      <c r="BQ72" t="e">
        <f>AND('6to. Secre.'!#REF!,"AAAAAD+/80Q=")</f>
        <v>#REF!</v>
      </c>
      <c r="BR72" t="e">
        <f>AND('6to. Secre.'!#REF!,"AAAAAD+/80U=")</f>
        <v>#REF!</v>
      </c>
      <c r="BS72" t="e">
        <f>AND('6to. Secre.'!#REF!,"AAAAAD+/80Y=")</f>
        <v>#REF!</v>
      </c>
      <c r="BT72" t="e">
        <f>AND('6to. Secre.'!#REF!,"AAAAAD+/80c=")</f>
        <v>#REF!</v>
      </c>
      <c r="BU72" t="e">
        <f>AND('6to. Secre.'!#REF!,"AAAAAD+/80g=")</f>
        <v>#REF!</v>
      </c>
      <c r="BV72" t="e">
        <f>AND('6to. Secre.'!#REF!,"AAAAAD+/80k=")</f>
        <v>#REF!</v>
      </c>
      <c r="BW72" t="e">
        <f>AND('6to. Secre.'!#REF!,"AAAAAD+/80o=")</f>
        <v>#REF!</v>
      </c>
      <c r="BX72" t="e">
        <f>AND('6to. Secre.'!#REF!,"AAAAAD+/80s=")</f>
        <v>#REF!</v>
      </c>
      <c r="BY72" t="e">
        <f>AND('6to. Secre.'!#REF!,"AAAAAD+/80w=")</f>
        <v>#REF!</v>
      </c>
      <c r="BZ72" t="e">
        <f>AND('6to. Secre.'!#REF!,"AAAAAD+/800=")</f>
        <v>#REF!</v>
      </c>
      <c r="CA72" t="e">
        <f>AND('6to. Secre.'!#REF!,"AAAAAD+/804=")</f>
        <v>#REF!</v>
      </c>
      <c r="CB72" t="e">
        <f>AND('6to. Secre.'!#REF!,"AAAAAD+/808=")</f>
        <v>#REF!</v>
      </c>
      <c r="CC72" t="e">
        <f>AND('6to. Secre.'!#REF!,"AAAAAD+/81A=")</f>
        <v>#REF!</v>
      </c>
      <c r="CD72" t="e">
        <f>AND('6to. Secre.'!#REF!,"AAAAAD+/81E=")</f>
        <v>#REF!</v>
      </c>
      <c r="CE72" t="e">
        <f>AND('6to. Secre.'!#REF!,"AAAAAD+/81I=")</f>
        <v>#REF!</v>
      </c>
      <c r="CF72" t="e">
        <f>AND('6to. Secre.'!#REF!,"AAAAAD+/81M=")</f>
        <v>#REF!</v>
      </c>
      <c r="CG72" t="e">
        <f>AND('6to. Secre.'!#REF!,"AAAAAD+/81Q=")</f>
        <v>#REF!</v>
      </c>
      <c r="CH72" t="e">
        <f>AND('6to. Secre.'!#REF!,"AAAAAD+/81U=")</f>
        <v>#REF!</v>
      </c>
      <c r="CI72" t="e">
        <f>AND('6to. Secre.'!#REF!,"AAAAAD+/81Y=")</f>
        <v>#REF!</v>
      </c>
      <c r="CJ72" t="e">
        <f>AND('6to. Secre.'!#REF!,"AAAAAD+/81c=")</f>
        <v>#REF!</v>
      </c>
      <c r="CK72" t="e">
        <f>AND('6to. Secre.'!#REF!,"AAAAAD+/81g=")</f>
        <v>#REF!</v>
      </c>
      <c r="CL72" t="e">
        <f>AND('6to. Secre.'!#REF!,"AAAAAD+/81k=")</f>
        <v>#REF!</v>
      </c>
      <c r="CM72" t="e">
        <f>IF('6to. Secre.'!#REF!,"AAAAAD+/81o=",0)</f>
        <v>#REF!</v>
      </c>
      <c r="CN72" t="e">
        <f>AND('6to. Secre.'!#REF!,"AAAAAD+/81s=")</f>
        <v>#REF!</v>
      </c>
      <c r="CO72" t="e">
        <f>AND('6to. Secre.'!#REF!,"AAAAAD+/81w=")</f>
        <v>#REF!</v>
      </c>
      <c r="CP72" t="e">
        <f>AND('6to. Secre.'!#REF!,"AAAAAD+/810=")</f>
        <v>#REF!</v>
      </c>
      <c r="CQ72" t="e">
        <f>AND('6to. Secre.'!#REF!,"AAAAAD+/814=")</f>
        <v>#REF!</v>
      </c>
      <c r="CR72" t="e">
        <f>AND('6to. Secre.'!#REF!,"AAAAAD+/818=")</f>
        <v>#REF!</v>
      </c>
      <c r="CS72" t="e">
        <f>AND('6to. Secre.'!#REF!,"AAAAAD+/82A=")</f>
        <v>#REF!</v>
      </c>
      <c r="CT72" t="e">
        <f>AND('6to. Secre.'!#REF!,"AAAAAD+/82E=")</f>
        <v>#REF!</v>
      </c>
      <c r="CU72" t="e">
        <f>AND('6to. Secre.'!#REF!,"AAAAAD+/82I=")</f>
        <v>#REF!</v>
      </c>
      <c r="CV72" t="e">
        <f>AND('6to. Secre.'!#REF!,"AAAAAD+/82M=")</f>
        <v>#REF!</v>
      </c>
      <c r="CW72" t="e">
        <f>AND('6to. Secre.'!#REF!,"AAAAAD+/82Q=")</f>
        <v>#REF!</v>
      </c>
      <c r="CX72" t="e">
        <f>AND('6to. Secre.'!#REF!,"AAAAAD+/82U=")</f>
        <v>#REF!</v>
      </c>
      <c r="CY72" t="e">
        <f>AND('6to. Secre.'!#REF!,"AAAAAD+/82Y=")</f>
        <v>#REF!</v>
      </c>
      <c r="CZ72" t="e">
        <f>AND('6to. Secre.'!#REF!,"AAAAAD+/82c=")</f>
        <v>#REF!</v>
      </c>
      <c r="DA72" t="e">
        <f>AND('6to. Secre.'!#REF!,"AAAAAD+/82g=")</f>
        <v>#REF!</v>
      </c>
      <c r="DB72" t="e">
        <f>AND('6to. Secre.'!#REF!,"AAAAAD+/82k=")</f>
        <v>#REF!</v>
      </c>
      <c r="DC72" t="e">
        <f>AND('6to. Secre.'!#REF!,"AAAAAD+/82o=")</f>
        <v>#REF!</v>
      </c>
      <c r="DD72" t="e">
        <f>AND('6to. Secre.'!#REF!,"AAAAAD+/82s=")</f>
        <v>#REF!</v>
      </c>
      <c r="DE72" t="e">
        <f>AND('6to. Secre.'!#REF!,"AAAAAD+/82w=")</f>
        <v>#REF!</v>
      </c>
      <c r="DF72" t="e">
        <f>AND('6to. Secre.'!#REF!,"AAAAAD+/820=")</f>
        <v>#REF!</v>
      </c>
      <c r="DG72" t="e">
        <f>AND('6to. Secre.'!#REF!,"AAAAAD+/824=")</f>
        <v>#REF!</v>
      </c>
      <c r="DH72" t="e">
        <f>AND('6to. Secre.'!#REF!,"AAAAAD+/828=")</f>
        <v>#REF!</v>
      </c>
      <c r="DI72" t="e">
        <f>AND('6to. Secre.'!#REF!,"AAAAAD+/83A=")</f>
        <v>#REF!</v>
      </c>
      <c r="DJ72" t="e">
        <f>AND('6to. Secre.'!#REF!,"AAAAAD+/83E=")</f>
        <v>#REF!</v>
      </c>
      <c r="DK72" t="e">
        <f>AND('6to. Secre.'!#REF!,"AAAAAD+/83I=")</f>
        <v>#REF!</v>
      </c>
      <c r="DL72" t="e">
        <f>AND('6to. Secre.'!#REF!,"AAAAAD+/83M=")</f>
        <v>#REF!</v>
      </c>
      <c r="DM72" t="e">
        <f>IF('6to. Secre.'!#REF!,"AAAAAD+/83Q=",0)</f>
        <v>#REF!</v>
      </c>
      <c r="DN72" t="e">
        <f>AND('6to. Secre.'!#REF!,"AAAAAD+/83U=")</f>
        <v>#REF!</v>
      </c>
      <c r="DO72" t="e">
        <f>AND('6to. Secre.'!#REF!,"AAAAAD+/83Y=")</f>
        <v>#REF!</v>
      </c>
      <c r="DP72" t="e">
        <f>AND('6to. Secre.'!#REF!,"AAAAAD+/83c=")</f>
        <v>#REF!</v>
      </c>
      <c r="DQ72" t="e">
        <f>AND('6to. Secre.'!#REF!,"AAAAAD+/83g=")</f>
        <v>#REF!</v>
      </c>
      <c r="DR72" t="e">
        <f>AND('6to. Secre.'!#REF!,"AAAAAD+/83k=")</f>
        <v>#REF!</v>
      </c>
      <c r="DS72" t="e">
        <f>AND('6to. Secre.'!#REF!,"AAAAAD+/83o=")</f>
        <v>#REF!</v>
      </c>
      <c r="DT72" t="e">
        <f>AND('6to. Secre.'!#REF!,"AAAAAD+/83s=")</f>
        <v>#REF!</v>
      </c>
      <c r="DU72" t="e">
        <f>AND('6to. Secre.'!#REF!,"AAAAAD+/83w=")</f>
        <v>#REF!</v>
      </c>
      <c r="DV72" t="e">
        <f>AND('6to. Secre.'!#REF!,"AAAAAD+/830=")</f>
        <v>#REF!</v>
      </c>
      <c r="DW72" t="e">
        <f>AND('6to. Secre.'!#REF!,"AAAAAD+/834=")</f>
        <v>#REF!</v>
      </c>
      <c r="DX72" t="e">
        <f>AND('6to. Secre.'!#REF!,"AAAAAD+/838=")</f>
        <v>#REF!</v>
      </c>
      <c r="DY72" t="e">
        <f>AND('6to. Secre.'!#REF!,"AAAAAD+/84A=")</f>
        <v>#REF!</v>
      </c>
      <c r="DZ72" t="e">
        <f>AND('6to. Secre.'!#REF!,"AAAAAD+/84E=")</f>
        <v>#REF!</v>
      </c>
      <c r="EA72" t="e">
        <f>AND('6to. Secre.'!#REF!,"AAAAAD+/84I=")</f>
        <v>#REF!</v>
      </c>
      <c r="EB72" t="e">
        <f>AND('6to. Secre.'!#REF!,"AAAAAD+/84M=")</f>
        <v>#REF!</v>
      </c>
      <c r="EC72" t="e">
        <f>AND('6to. Secre.'!#REF!,"AAAAAD+/84Q=")</f>
        <v>#REF!</v>
      </c>
      <c r="ED72" t="e">
        <f>AND('6to. Secre.'!#REF!,"AAAAAD+/84U=")</f>
        <v>#REF!</v>
      </c>
      <c r="EE72" t="e">
        <f>AND('6to. Secre.'!#REF!,"AAAAAD+/84Y=")</f>
        <v>#REF!</v>
      </c>
      <c r="EF72" t="e">
        <f>AND('6to. Secre.'!#REF!,"AAAAAD+/84c=")</f>
        <v>#REF!</v>
      </c>
      <c r="EG72" t="e">
        <f>AND('6to. Secre.'!#REF!,"AAAAAD+/84g=")</f>
        <v>#REF!</v>
      </c>
      <c r="EH72" t="e">
        <f>AND('6to. Secre.'!#REF!,"AAAAAD+/84k=")</f>
        <v>#REF!</v>
      </c>
      <c r="EI72" t="e">
        <f>AND('6to. Secre.'!#REF!,"AAAAAD+/84o=")</f>
        <v>#REF!</v>
      </c>
      <c r="EJ72" t="e">
        <f>AND('6to. Secre.'!#REF!,"AAAAAD+/84s=")</f>
        <v>#REF!</v>
      </c>
      <c r="EK72" t="e">
        <f>AND('6to. Secre.'!#REF!,"AAAAAD+/84w=")</f>
        <v>#REF!</v>
      </c>
      <c r="EL72" t="e">
        <f>AND('6to. Secre.'!#REF!,"AAAAAD+/840=")</f>
        <v>#REF!</v>
      </c>
      <c r="EM72" t="e">
        <f>IF('6to. Secre.'!#REF!,"AAAAAD+/844=",0)</f>
        <v>#REF!</v>
      </c>
      <c r="EN72" t="e">
        <f>AND('6to. Secre.'!#REF!,"AAAAAD+/848=")</f>
        <v>#REF!</v>
      </c>
      <c r="EO72" t="e">
        <f>AND('6to. Secre.'!#REF!,"AAAAAD+/85A=")</f>
        <v>#REF!</v>
      </c>
      <c r="EP72" t="e">
        <f>AND('6to. Secre.'!#REF!,"AAAAAD+/85E=")</f>
        <v>#REF!</v>
      </c>
      <c r="EQ72" t="e">
        <f>AND('6to. Secre.'!#REF!,"AAAAAD+/85I=")</f>
        <v>#REF!</v>
      </c>
      <c r="ER72" t="e">
        <f>AND('6to. Secre.'!#REF!,"AAAAAD+/85M=")</f>
        <v>#REF!</v>
      </c>
      <c r="ES72" t="e">
        <f>AND('6to. Secre.'!#REF!,"AAAAAD+/85Q=")</f>
        <v>#REF!</v>
      </c>
      <c r="ET72" t="e">
        <f>AND('6to. Secre.'!#REF!,"AAAAAD+/85U=")</f>
        <v>#REF!</v>
      </c>
      <c r="EU72" t="e">
        <f>AND('6to. Secre.'!#REF!,"AAAAAD+/85Y=")</f>
        <v>#REF!</v>
      </c>
      <c r="EV72" t="e">
        <f>AND('6to. Secre.'!#REF!,"AAAAAD+/85c=")</f>
        <v>#REF!</v>
      </c>
      <c r="EW72" t="e">
        <f>AND('6to. Secre.'!#REF!,"AAAAAD+/85g=")</f>
        <v>#REF!</v>
      </c>
      <c r="EX72" t="e">
        <f>AND('6to. Secre.'!#REF!,"AAAAAD+/85k=")</f>
        <v>#REF!</v>
      </c>
      <c r="EY72" t="e">
        <f>AND('6to. Secre.'!#REF!,"AAAAAD+/85o=")</f>
        <v>#REF!</v>
      </c>
      <c r="EZ72" t="e">
        <f>AND('6to. Secre.'!#REF!,"AAAAAD+/85s=")</f>
        <v>#REF!</v>
      </c>
      <c r="FA72" t="e">
        <f>AND('6to. Secre.'!#REF!,"AAAAAD+/85w=")</f>
        <v>#REF!</v>
      </c>
      <c r="FB72" t="e">
        <f>AND('6to. Secre.'!#REF!,"AAAAAD+/850=")</f>
        <v>#REF!</v>
      </c>
      <c r="FC72" t="e">
        <f>AND('6to. Secre.'!#REF!,"AAAAAD+/854=")</f>
        <v>#REF!</v>
      </c>
      <c r="FD72" t="e">
        <f>AND('6to. Secre.'!#REF!,"AAAAAD+/858=")</f>
        <v>#REF!</v>
      </c>
      <c r="FE72" t="e">
        <f>AND('6to. Secre.'!#REF!,"AAAAAD+/86A=")</f>
        <v>#REF!</v>
      </c>
      <c r="FF72" t="e">
        <f>AND('6to. Secre.'!#REF!,"AAAAAD+/86E=")</f>
        <v>#REF!</v>
      </c>
      <c r="FG72" t="e">
        <f>AND('6to. Secre.'!#REF!,"AAAAAD+/86I=")</f>
        <v>#REF!</v>
      </c>
      <c r="FH72" t="e">
        <f>AND('6to. Secre.'!#REF!,"AAAAAD+/86M=")</f>
        <v>#REF!</v>
      </c>
      <c r="FI72" t="e">
        <f>AND('6to. Secre.'!#REF!,"AAAAAD+/86Q=")</f>
        <v>#REF!</v>
      </c>
      <c r="FJ72" t="e">
        <f>AND('6to. Secre.'!#REF!,"AAAAAD+/86U=")</f>
        <v>#REF!</v>
      </c>
      <c r="FK72" t="e">
        <f>AND('6to. Secre.'!#REF!,"AAAAAD+/86Y=")</f>
        <v>#REF!</v>
      </c>
      <c r="FL72" t="e">
        <f>AND('6to. Secre.'!#REF!,"AAAAAD+/86c=")</f>
        <v>#REF!</v>
      </c>
      <c r="FM72" t="e">
        <f>IF('6to. Secre.'!#REF!,"AAAAAD+/86g=",0)</f>
        <v>#REF!</v>
      </c>
      <c r="FN72" t="e">
        <f>AND('6to. Secre.'!#REF!,"AAAAAD+/86k=")</f>
        <v>#REF!</v>
      </c>
      <c r="FO72" t="e">
        <f>AND('6to. Secre.'!#REF!,"AAAAAD+/86o=")</f>
        <v>#REF!</v>
      </c>
      <c r="FP72" t="e">
        <f>AND('6to. Secre.'!#REF!,"AAAAAD+/86s=")</f>
        <v>#REF!</v>
      </c>
      <c r="FQ72" t="e">
        <f>AND('6to. Secre.'!#REF!,"AAAAAD+/86w=")</f>
        <v>#REF!</v>
      </c>
      <c r="FR72" t="e">
        <f>AND('6to. Secre.'!#REF!,"AAAAAD+/860=")</f>
        <v>#REF!</v>
      </c>
      <c r="FS72" t="e">
        <f>AND('6to. Secre.'!#REF!,"AAAAAD+/864=")</f>
        <v>#REF!</v>
      </c>
      <c r="FT72" t="e">
        <f>AND('6to. Secre.'!#REF!,"AAAAAD+/868=")</f>
        <v>#REF!</v>
      </c>
      <c r="FU72" t="e">
        <f>AND('6to. Secre.'!#REF!,"AAAAAD+/87A=")</f>
        <v>#REF!</v>
      </c>
      <c r="FV72" t="e">
        <f>AND('6to. Secre.'!#REF!,"AAAAAD+/87E=")</f>
        <v>#REF!</v>
      </c>
      <c r="FW72" t="e">
        <f>AND('6to. Secre.'!#REF!,"AAAAAD+/87I=")</f>
        <v>#REF!</v>
      </c>
      <c r="FX72" t="e">
        <f>AND('6to. Secre.'!#REF!,"AAAAAD+/87M=")</f>
        <v>#REF!</v>
      </c>
      <c r="FY72" t="e">
        <f>AND('6to. Secre.'!#REF!,"AAAAAD+/87Q=")</f>
        <v>#REF!</v>
      </c>
      <c r="FZ72" t="e">
        <f>AND('6to. Secre.'!#REF!,"AAAAAD+/87U=")</f>
        <v>#REF!</v>
      </c>
      <c r="GA72" t="e">
        <f>AND('6to. Secre.'!#REF!,"AAAAAD+/87Y=")</f>
        <v>#REF!</v>
      </c>
      <c r="GB72" t="e">
        <f>AND('6to. Secre.'!#REF!,"AAAAAD+/87c=")</f>
        <v>#REF!</v>
      </c>
      <c r="GC72" t="e">
        <f>AND('6to. Secre.'!#REF!,"AAAAAD+/87g=")</f>
        <v>#REF!</v>
      </c>
      <c r="GD72" t="e">
        <f>AND('6to. Secre.'!#REF!,"AAAAAD+/87k=")</f>
        <v>#REF!</v>
      </c>
      <c r="GE72" t="e">
        <f>AND('6to. Secre.'!#REF!,"AAAAAD+/87o=")</f>
        <v>#REF!</v>
      </c>
      <c r="GF72" t="e">
        <f>AND('6to. Secre.'!#REF!,"AAAAAD+/87s=")</f>
        <v>#REF!</v>
      </c>
      <c r="GG72" t="e">
        <f>AND('6to. Secre.'!#REF!,"AAAAAD+/87w=")</f>
        <v>#REF!</v>
      </c>
      <c r="GH72" t="e">
        <f>AND('6to. Secre.'!#REF!,"AAAAAD+/870=")</f>
        <v>#REF!</v>
      </c>
      <c r="GI72" t="e">
        <f>AND('6to. Secre.'!#REF!,"AAAAAD+/874=")</f>
        <v>#REF!</v>
      </c>
      <c r="GJ72" t="e">
        <f>AND('6to. Secre.'!#REF!,"AAAAAD+/878=")</f>
        <v>#REF!</v>
      </c>
      <c r="GK72" t="e">
        <f>AND('6to. Secre.'!#REF!,"AAAAAD+/88A=")</f>
        <v>#REF!</v>
      </c>
      <c r="GL72" t="e">
        <f>AND('6to. Secre.'!#REF!,"AAAAAD+/88E=")</f>
        <v>#REF!</v>
      </c>
      <c r="GM72" t="e">
        <f>IF('6to. Secre.'!#REF!,"AAAAAD+/88I=",0)</f>
        <v>#REF!</v>
      </c>
      <c r="GN72" t="e">
        <f>AND('6to. Secre.'!#REF!,"AAAAAD+/88M=")</f>
        <v>#REF!</v>
      </c>
      <c r="GO72" t="e">
        <f>AND('6to. Secre.'!#REF!,"AAAAAD+/88Q=")</f>
        <v>#REF!</v>
      </c>
      <c r="GP72" t="e">
        <f>AND('6to. Secre.'!#REF!,"AAAAAD+/88U=")</f>
        <v>#REF!</v>
      </c>
      <c r="GQ72" t="e">
        <f>AND('6to. Secre.'!#REF!,"AAAAAD+/88Y=")</f>
        <v>#REF!</v>
      </c>
      <c r="GR72" t="e">
        <f>AND('6to. Secre.'!#REF!,"AAAAAD+/88c=")</f>
        <v>#REF!</v>
      </c>
      <c r="GS72" t="e">
        <f>AND('6to. Secre.'!#REF!,"AAAAAD+/88g=")</f>
        <v>#REF!</v>
      </c>
      <c r="GT72" t="e">
        <f>AND('6to. Secre.'!#REF!,"AAAAAD+/88k=")</f>
        <v>#REF!</v>
      </c>
      <c r="GU72" t="e">
        <f>AND('6to. Secre.'!#REF!,"AAAAAD+/88o=")</f>
        <v>#REF!</v>
      </c>
      <c r="GV72" t="e">
        <f>AND('6to. Secre.'!#REF!,"AAAAAD+/88s=")</f>
        <v>#REF!</v>
      </c>
      <c r="GW72" t="e">
        <f>AND('6to. Secre.'!#REF!,"AAAAAD+/88w=")</f>
        <v>#REF!</v>
      </c>
      <c r="GX72" t="e">
        <f>AND('6to. Secre.'!#REF!,"AAAAAD+/880=")</f>
        <v>#REF!</v>
      </c>
      <c r="GY72" t="e">
        <f>AND('6to. Secre.'!#REF!,"AAAAAD+/884=")</f>
        <v>#REF!</v>
      </c>
      <c r="GZ72" t="e">
        <f>AND('6to. Secre.'!#REF!,"AAAAAD+/888=")</f>
        <v>#REF!</v>
      </c>
      <c r="HA72" t="e">
        <f>AND('6to. Secre.'!#REF!,"AAAAAD+/89A=")</f>
        <v>#REF!</v>
      </c>
      <c r="HB72" t="e">
        <f>AND('6to. Secre.'!#REF!,"AAAAAD+/89E=")</f>
        <v>#REF!</v>
      </c>
      <c r="HC72" t="e">
        <f>AND('6to. Secre.'!#REF!,"AAAAAD+/89I=")</f>
        <v>#REF!</v>
      </c>
      <c r="HD72" t="e">
        <f>AND('6to. Secre.'!#REF!,"AAAAAD+/89M=")</f>
        <v>#REF!</v>
      </c>
      <c r="HE72" t="e">
        <f>AND('6to. Secre.'!#REF!,"AAAAAD+/89Q=")</f>
        <v>#REF!</v>
      </c>
      <c r="HF72" t="e">
        <f>AND('6to. Secre.'!#REF!,"AAAAAD+/89U=")</f>
        <v>#REF!</v>
      </c>
      <c r="HG72" t="e">
        <f>AND('6to. Secre.'!#REF!,"AAAAAD+/89Y=")</f>
        <v>#REF!</v>
      </c>
      <c r="HH72" t="e">
        <f>AND('6to. Secre.'!#REF!,"AAAAAD+/89c=")</f>
        <v>#REF!</v>
      </c>
      <c r="HI72" t="e">
        <f>AND('6to. Secre.'!#REF!,"AAAAAD+/89g=")</f>
        <v>#REF!</v>
      </c>
      <c r="HJ72" t="e">
        <f>AND('6to. Secre.'!#REF!,"AAAAAD+/89k=")</f>
        <v>#REF!</v>
      </c>
      <c r="HK72" t="e">
        <f>AND('6to. Secre.'!#REF!,"AAAAAD+/89o=")</f>
        <v>#REF!</v>
      </c>
      <c r="HL72" t="e">
        <f>AND('6to. Secre.'!#REF!,"AAAAAD+/89s=")</f>
        <v>#REF!</v>
      </c>
      <c r="HM72" t="e">
        <f>IF('6to. Secre.'!#REF!,"AAAAAD+/89w=",0)</f>
        <v>#REF!</v>
      </c>
      <c r="HN72" t="e">
        <f>AND('6to. Secre.'!#REF!,"AAAAAD+/890=")</f>
        <v>#REF!</v>
      </c>
      <c r="HO72" t="e">
        <f>AND('6to. Secre.'!#REF!,"AAAAAD+/894=")</f>
        <v>#REF!</v>
      </c>
      <c r="HP72" t="e">
        <f>AND('6to. Secre.'!#REF!,"AAAAAD+/898=")</f>
        <v>#REF!</v>
      </c>
      <c r="HQ72" t="e">
        <f>AND('6to. Secre.'!#REF!,"AAAAAD+/8+A=")</f>
        <v>#REF!</v>
      </c>
      <c r="HR72" t="e">
        <f>AND('6to. Secre.'!#REF!,"AAAAAD+/8+E=")</f>
        <v>#REF!</v>
      </c>
      <c r="HS72" t="e">
        <f>AND('6to. Secre.'!#REF!,"AAAAAD+/8+I=")</f>
        <v>#REF!</v>
      </c>
      <c r="HT72" t="e">
        <f>AND('6to. Secre.'!#REF!,"AAAAAD+/8+M=")</f>
        <v>#REF!</v>
      </c>
      <c r="HU72" t="e">
        <f>AND('6to. Secre.'!#REF!,"AAAAAD+/8+Q=")</f>
        <v>#REF!</v>
      </c>
      <c r="HV72" t="e">
        <f>AND('6to. Secre.'!#REF!,"AAAAAD+/8+U=")</f>
        <v>#REF!</v>
      </c>
      <c r="HW72" t="e">
        <f>AND('6to. Secre.'!#REF!,"AAAAAD+/8+Y=")</f>
        <v>#REF!</v>
      </c>
      <c r="HX72" t="e">
        <f>AND('6to. Secre.'!#REF!,"AAAAAD+/8+c=")</f>
        <v>#REF!</v>
      </c>
      <c r="HY72" t="e">
        <f>AND('6to. Secre.'!#REF!,"AAAAAD+/8+g=")</f>
        <v>#REF!</v>
      </c>
      <c r="HZ72" t="e">
        <f>AND('6to. Secre.'!#REF!,"AAAAAD+/8+k=")</f>
        <v>#REF!</v>
      </c>
      <c r="IA72" t="e">
        <f>AND('6to. Secre.'!#REF!,"AAAAAD+/8+o=")</f>
        <v>#REF!</v>
      </c>
      <c r="IB72" t="e">
        <f>AND('6to. Secre.'!#REF!,"AAAAAD+/8+s=")</f>
        <v>#REF!</v>
      </c>
      <c r="IC72" t="e">
        <f>AND('6to. Secre.'!#REF!,"AAAAAD+/8+w=")</f>
        <v>#REF!</v>
      </c>
      <c r="ID72" t="e">
        <f>AND('6to. Secre.'!#REF!,"AAAAAD+/8+0=")</f>
        <v>#REF!</v>
      </c>
      <c r="IE72" t="e">
        <f>AND('6to. Secre.'!#REF!,"AAAAAD+/8+4=")</f>
        <v>#REF!</v>
      </c>
      <c r="IF72" t="e">
        <f>AND('6to. Secre.'!#REF!,"AAAAAD+/8+8=")</f>
        <v>#REF!</v>
      </c>
      <c r="IG72" t="e">
        <f>AND('6to. Secre.'!#REF!,"AAAAAD+/8/A=")</f>
        <v>#REF!</v>
      </c>
      <c r="IH72" t="e">
        <f>AND('6to. Secre.'!#REF!,"AAAAAD+/8/E=")</f>
        <v>#REF!</v>
      </c>
      <c r="II72" t="e">
        <f>AND('6to. Secre.'!#REF!,"AAAAAD+/8/I=")</f>
        <v>#REF!</v>
      </c>
      <c r="IJ72" t="e">
        <f>AND('6to. Secre.'!#REF!,"AAAAAD+/8/M=")</f>
        <v>#REF!</v>
      </c>
      <c r="IK72" t="e">
        <f>AND('6to. Secre.'!#REF!,"AAAAAD+/8/Q=")</f>
        <v>#REF!</v>
      </c>
      <c r="IL72" t="e">
        <f>AND('6to. Secre.'!#REF!,"AAAAAD+/8/U=")</f>
        <v>#REF!</v>
      </c>
      <c r="IM72" t="e">
        <f>IF('6to. Secre.'!#REF!,"AAAAAD+/8/Y=",0)</f>
        <v>#REF!</v>
      </c>
      <c r="IN72" t="e">
        <f>AND('6to. Secre.'!#REF!,"AAAAAD+/8/c=")</f>
        <v>#REF!</v>
      </c>
      <c r="IO72" t="e">
        <f>AND('6to. Secre.'!#REF!,"AAAAAD+/8/g=")</f>
        <v>#REF!</v>
      </c>
      <c r="IP72" t="e">
        <f>AND('6to. Secre.'!#REF!,"AAAAAD+/8/k=")</f>
        <v>#REF!</v>
      </c>
      <c r="IQ72" t="e">
        <f>AND('6to. Secre.'!#REF!,"AAAAAD+/8/o=")</f>
        <v>#REF!</v>
      </c>
      <c r="IR72" t="e">
        <f>AND('6to. Secre.'!#REF!,"AAAAAD+/8/s=")</f>
        <v>#REF!</v>
      </c>
      <c r="IS72" t="e">
        <f>AND('6to. Secre.'!#REF!,"AAAAAD+/8/w=")</f>
        <v>#REF!</v>
      </c>
      <c r="IT72" t="e">
        <f>AND('6to. Secre.'!#REF!,"AAAAAD+/8/0=")</f>
        <v>#REF!</v>
      </c>
      <c r="IU72" t="e">
        <f>AND('6to. Secre.'!#REF!,"AAAAAD+/8/4=")</f>
        <v>#REF!</v>
      </c>
      <c r="IV72" t="e">
        <f>AND('6to. Secre.'!#REF!,"AAAAAD+/8/8=")</f>
        <v>#REF!</v>
      </c>
    </row>
    <row r="73" spans="1:256">
      <c r="A73" t="e">
        <f>AND('6to. Secre.'!#REF!,"AAAAAH2+fwA=")</f>
        <v>#REF!</v>
      </c>
      <c r="B73" t="e">
        <f>AND('6to. Secre.'!#REF!,"AAAAAH2+fwE=")</f>
        <v>#REF!</v>
      </c>
      <c r="C73" t="e">
        <f>AND('6to. Secre.'!#REF!,"AAAAAH2+fwI=")</f>
        <v>#REF!</v>
      </c>
      <c r="D73" t="e">
        <f>AND('6to. Secre.'!#REF!,"AAAAAH2+fwM=")</f>
        <v>#REF!</v>
      </c>
      <c r="E73" t="e">
        <f>AND('6to. Secre.'!#REF!,"AAAAAH2+fwQ=")</f>
        <v>#REF!</v>
      </c>
      <c r="F73" t="e">
        <f>AND('6to. Secre.'!#REF!,"AAAAAH2+fwU=")</f>
        <v>#REF!</v>
      </c>
      <c r="G73" t="e">
        <f>AND('6to. Secre.'!#REF!,"AAAAAH2+fwY=")</f>
        <v>#REF!</v>
      </c>
      <c r="H73" t="e">
        <f>AND('6to. Secre.'!#REF!,"AAAAAH2+fwc=")</f>
        <v>#REF!</v>
      </c>
      <c r="I73" t="e">
        <f>AND('6to. Secre.'!#REF!,"AAAAAH2+fwg=")</f>
        <v>#REF!</v>
      </c>
      <c r="J73" t="e">
        <f>AND('6to. Secre.'!#REF!,"AAAAAH2+fwk=")</f>
        <v>#REF!</v>
      </c>
      <c r="K73" t="e">
        <f>AND('6to. Secre.'!#REF!,"AAAAAH2+fwo=")</f>
        <v>#REF!</v>
      </c>
      <c r="L73" t="e">
        <f>AND('6to. Secre.'!#REF!,"AAAAAH2+fws=")</f>
        <v>#REF!</v>
      </c>
      <c r="M73" t="e">
        <f>AND('6to. Secre.'!#REF!,"AAAAAH2+fww=")</f>
        <v>#REF!</v>
      </c>
      <c r="N73" t="e">
        <f>AND('6to. Secre.'!#REF!,"AAAAAH2+fw0=")</f>
        <v>#REF!</v>
      </c>
      <c r="O73" t="e">
        <f>AND('6to. Secre.'!#REF!,"AAAAAH2+fw4=")</f>
        <v>#REF!</v>
      </c>
      <c r="P73" t="e">
        <f>AND('6to. Secre.'!#REF!,"AAAAAH2+fw8=")</f>
        <v>#REF!</v>
      </c>
      <c r="Q73" t="e">
        <f>IF('6to. Secre.'!#REF!,"AAAAAH2+fxA=",0)</f>
        <v>#REF!</v>
      </c>
      <c r="R73" t="e">
        <f>AND('6to. Secre.'!#REF!,"AAAAAH2+fxE=")</f>
        <v>#REF!</v>
      </c>
      <c r="S73" t="e">
        <f>AND('6to. Secre.'!#REF!,"AAAAAH2+fxI=")</f>
        <v>#REF!</v>
      </c>
      <c r="T73" t="e">
        <f>AND('6to. Secre.'!#REF!,"AAAAAH2+fxM=")</f>
        <v>#REF!</v>
      </c>
      <c r="U73" t="e">
        <f>AND('6to. Secre.'!#REF!,"AAAAAH2+fxQ=")</f>
        <v>#REF!</v>
      </c>
      <c r="V73" t="e">
        <f>AND('6to. Secre.'!#REF!,"AAAAAH2+fxU=")</f>
        <v>#REF!</v>
      </c>
      <c r="W73" t="e">
        <f>AND('6to. Secre.'!#REF!,"AAAAAH2+fxY=")</f>
        <v>#REF!</v>
      </c>
      <c r="X73" t="e">
        <f>AND('6to. Secre.'!#REF!,"AAAAAH2+fxc=")</f>
        <v>#REF!</v>
      </c>
      <c r="Y73" t="e">
        <f>AND('6to. Secre.'!#REF!,"AAAAAH2+fxg=")</f>
        <v>#REF!</v>
      </c>
      <c r="Z73" t="e">
        <f>AND('6to. Secre.'!#REF!,"AAAAAH2+fxk=")</f>
        <v>#REF!</v>
      </c>
      <c r="AA73" t="e">
        <f>AND('6to. Secre.'!#REF!,"AAAAAH2+fxo=")</f>
        <v>#REF!</v>
      </c>
      <c r="AB73" t="e">
        <f>AND('6to. Secre.'!#REF!,"AAAAAH2+fxs=")</f>
        <v>#REF!</v>
      </c>
      <c r="AC73" t="e">
        <f>AND('6to. Secre.'!#REF!,"AAAAAH2+fxw=")</f>
        <v>#REF!</v>
      </c>
      <c r="AD73" t="e">
        <f>AND('6to. Secre.'!#REF!,"AAAAAH2+fx0=")</f>
        <v>#REF!</v>
      </c>
      <c r="AE73" t="e">
        <f>AND('6to. Secre.'!#REF!,"AAAAAH2+fx4=")</f>
        <v>#REF!</v>
      </c>
      <c r="AF73" t="e">
        <f>AND('6to. Secre.'!#REF!,"AAAAAH2+fx8=")</f>
        <v>#REF!</v>
      </c>
      <c r="AG73" t="e">
        <f>AND('6to. Secre.'!#REF!,"AAAAAH2+fyA=")</f>
        <v>#REF!</v>
      </c>
      <c r="AH73" t="e">
        <f>AND('6to. Secre.'!#REF!,"AAAAAH2+fyE=")</f>
        <v>#REF!</v>
      </c>
      <c r="AI73" t="e">
        <f>AND('6to. Secre.'!#REF!,"AAAAAH2+fyI=")</f>
        <v>#REF!</v>
      </c>
      <c r="AJ73" t="e">
        <f>AND('6to. Secre.'!#REF!,"AAAAAH2+fyM=")</f>
        <v>#REF!</v>
      </c>
      <c r="AK73" t="e">
        <f>AND('6to. Secre.'!#REF!,"AAAAAH2+fyQ=")</f>
        <v>#REF!</v>
      </c>
      <c r="AL73" t="e">
        <f>AND('6to. Secre.'!#REF!,"AAAAAH2+fyU=")</f>
        <v>#REF!</v>
      </c>
      <c r="AM73" t="e">
        <f>AND('6to. Secre.'!#REF!,"AAAAAH2+fyY=")</f>
        <v>#REF!</v>
      </c>
      <c r="AN73" t="e">
        <f>AND('6to. Secre.'!#REF!,"AAAAAH2+fyc=")</f>
        <v>#REF!</v>
      </c>
      <c r="AO73" t="e">
        <f>AND('6to. Secre.'!#REF!,"AAAAAH2+fyg=")</f>
        <v>#REF!</v>
      </c>
      <c r="AP73" t="e">
        <f>AND('6to. Secre.'!#REF!,"AAAAAH2+fyk=")</f>
        <v>#REF!</v>
      </c>
      <c r="AQ73" t="e">
        <f>IF('6to. Secre.'!#REF!,"AAAAAH2+fyo=",0)</f>
        <v>#REF!</v>
      </c>
      <c r="AR73" t="e">
        <f>AND('6to. Secre.'!#REF!,"AAAAAH2+fys=")</f>
        <v>#REF!</v>
      </c>
      <c r="AS73" t="e">
        <f>AND('6to. Secre.'!#REF!,"AAAAAH2+fyw=")</f>
        <v>#REF!</v>
      </c>
      <c r="AT73" t="e">
        <f>AND('6to. Secre.'!#REF!,"AAAAAH2+fy0=")</f>
        <v>#REF!</v>
      </c>
      <c r="AU73" t="e">
        <f>AND('6to. Secre.'!#REF!,"AAAAAH2+fy4=")</f>
        <v>#REF!</v>
      </c>
      <c r="AV73" t="e">
        <f>AND('6to. Secre.'!#REF!,"AAAAAH2+fy8=")</f>
        <v>#REF!</v>
      </c>
      <c r="AW73" t="e">
        <f>AND('6to. Secre.'!#REF!,"AAAAAH2+fzA=")</f>
        <v>#REF!</v>
      </c>
      <c r="AX73" t="e">
        <f>AND('6to. Secre.'!#REF!,"AAAAAH2+fzE=")</f>
        <v>#REF!</v>
      </c>
      <c r="AY73" t="e">
        <f>AND('6to. Secre.'!#REF!,"AAAAAH2+fzI=")</f>
        <v>#REF!</v>
      </c>
      <c r="AZ73" t="e">
        <f>AND('6to. Secre.'!#REF!,"AAAAAH2+fzM=")</f>
        <v>#REF!</v>
      </c>
      <c r="BA73" t="e">
        <f>AND('6to. Secre.'!#REF!,"AAAAAH2+fzQ=")</f>
        <v>#REF!</v>
      </c>
      <c r="BB73" t="e">
        <f>AND('6to. Secre.'!#REF!,"AAAAAH2+fzU=")</f>
        <v>#REF!</v>
      </c>
      <c r="BC73" t="e">
        <f>AND('6to. Secre.'!#REF!,"AAAAAH2+fzY=")</f>
        <v>#REF!</v>
      </c>
      <c r="BD73" t="e">
        <f>AND('6to. Secre.'!#REF!,"AAAAAH2+fzc=")</f>
        <v>#REF!</v>
      </c>
      <c r="BE73" t="e">
        <f>AND('6to. Secre.'!#REF!,"AAAAAH2+fzg=")</f>
        <v>#REF!</v>
      </c>
      <c r="BF73" t="e">
        <f>AND('6to. Secre.'!#REF!,"AAAAAH2+fzk=")</f>
        <v>#REF!</v>
      </c>
      <c r="BG73" t="e">
        <f>AND('6to. Secre.'!#REF!,"AAAAAH2+fzo=")</f>
        <v>#REF!</v>
      </c>
      <c r="BH73" t="e">
        <f>AND('6to. Secre.'!#REF!,"AAAAAH2+fzs=")</f>
        <v>#REF!</v>
      </c>
      <c r="BI73" t="e">
        <f>AND('6to. Secre.'!#REF!,"AAAAAH2+fzw=")</f>
        <v>#REF!</v>
      </c>
      <c r="BJ73" t="e">
        <f>AND('6to. Secre.'!#REF!,"AAAAAH2+fz0=")</f>
        <v>#REF!</v>
      </c>
      <c r="BK73" t="e">
        <f>AND('6to. Secre.'!#REF!,"AAAAAH2+fz4=")</f>
        <v>#REF!</v>
      </c>
      <c r="BL73" t="e">
        <f>AND('6to. Secre.'!#REF!,"AAAAAH2+fz8=")</f>
        <v>#REF!</v>
      </c>
      <c r="BM73" t="e">
        <f>AND('6to. Secre.'!#REF!,"AAAAAH2+f0A=")</f>
        <v>#REF!</v>
      </c>
      <c r="BN73" t="e">
        <f>AND('6to. Secre.'!#REF!,"AAAAAH2+f0E=")</f>
        <v>#REF!</v>
      </c>
      <c r="BO73" t="e">
        <f>AND('6to. Secre.'!#REF!,"AAAAAH2+f0I=")</f>
        <v>#REF!</v>
      </c>
      <c r="BP73" t="e">
        <f>AND('6to. Secre.'!#REF!,"AAAAAH2+f0M=")</f>
        <v>#REF!</v>
      </c>
      <c r="BQ73" t="e">
        <f>IF('6to. Secre.'!#REF!,"AAAAAH2+f0Q=",0)</f>
        <v>#REF!</v>
      </c>
      <c r="BR73" t="e">
        <f>AND('6to. Secre.'!#REF!,"AAAAAH2+f0U=")</f>
        <v>#REF!</v>
      </c>
      <c r="BS73" t="e">
        <f>AND('6to. Secre.'!#REF!,"AAAAAH2+f0Y=")</f>
        <v>#REF!</v>
      </c>
      <c r="BT73" t="e">
        <f>AND('6to. Secre.'!#REF!,"AAAAAH2+f0c=")</f>
        <v>#REF!</v>
      </c>
      <c r="BU73" t="e">
        <f>AND('6to. Secre.'!#REF!,"AAAAAH2+f0g=")</f>
        <v>#REF!</v>
      </c>
      <c r="BV73" t="e">
        <f>AND('6to. Secre.'!#REF!,"AAAAAH2+f0k=")</f>
        <v>#REF!</v>
      </c>
      <c r="BW73" t="e">
        <f>AND('6to. Secre.'!#REF!,"AAAAAH2+f0o=")</f>
        <v>#REF!</v>
      </c>
      <c r="BX73" t="e">
        <f>AND('6to. Secre.'!#REF!,"AAAAAH2+f0s=")</f>
        <v>#REF!</v>
      </c>
      <c r="BY73" t="e">
        <f>AND('6to. Secre.'!#REF!,"AAAAAH2+f0w=")</f>
        <v>#REF!</v>
      </c>
      <c r="BZ73" t="e">
        <f>AND('6to. Secre.'!#REF!,"AAAAAH2+f00=")</f>
        <v>#REF!</v>
      </c>
      <c r="CA73" t="e">
        <f>AND('6to. Secre.'!#REF!,"AAAAAH2+f04=")</f>
        <v>#REF!</v>
      </c>
      <c r="CB73" t="e">
        <f>AND('6to. Secre.'!#REF!,"AAAAAH2+f08=")</f>
        <v>#REF!</v>
      </c>
      <c r="CC73" t="e">
        <f>AND('6to. Secre.'!#REF!,"AAAAAH2+f1A=")</f>
        <v>#REF!</v>
      </c>
      <c r="CD73" t="e">
        <f>AND('6to. Secre.'!#REF!,"AAAAAH2+f1E=")</f>
        <v>#REF!</v>
      </c>
      <c r="CE73" t="e">
        <f>AND('6to. Secre.'!#REF!,"AAAAAH2+f1I=")</f>
        <v>#REF!</v>
      </c>
      <c r="CF73" t="e">
        <f>AND('6to. Secre.'!#REF!,"AAAAAH2+f1M=")</f>
        <v>#REF!</v>
      </c>
      <c r="CG73" t="e">
        <f>AND('6to. Secre.'!#REF!,"AAAAAH2+f1Q=")</f>
        <v>#REF!</v>
      </c>
      <c r="CH73" t="e">
        <f>AND('6to. Secre.'!#REF!,"AAAAAH2+f1U=")</f>
        <v>#REF!</v>
      </c>
      <c r="CI73" t="e">
        <f>AND('6to. Secre.'!#REF!,"AAAAAH2+f1Y=")</f>
        <v>#REF!</v>
      </c>
      <c r="CJ73" t="e">
        <f>AND('6to. Secre.'!#REF!,"AAAAAH2+f1c=")</f>
        <v>#REF!</v>
      </c>
      <c r="CK73" t="e">
        <f>AND('6to. Secre.'!#REF!,"AAAAAH2+f1g=")</f>
        <v>#REF!</v>
      </c>
      <c r="CL73" t="e">
        <f>AND('6to. Secre.'!#REF!,"AAAAAH2+f1k=")</f>
        <v>#REF!</v>
      </c>
      <c r="CM73" t="e">
        <f>AND('6to. Secre.'!#REF!,"AAAAAH2+f1o=")</f>
        <v>#REF!</v>
      </c>
      <c r="CN73" t="e">
        <f>AND('6to. Secre.'!#REF!,"AAAAAH2+f1s=")</f>
        <v>#REF!</v>
      </c>
      <c r="CO73" t="e">
        <f>AND('6to. Secre.'!#REF!,"AAAAAH2+f1w=")</f>
        <v>#REF!</v>
      </c>
      <c r="CP73" t="e">
        <f>AND('6to. Secre.'!#REF!,"AAAAAH2+f10=")</f>
        <v>#REF!</v>
      </c>
      <c r="CQ73" t="e">
        <f>IF('6to. Secre.'!#REF!,"AAAAAH2+f14=",0)</f>
        <v>#REF!</v>
      </c>
      <c r="CR73" t="e">
        <f>AND('6to. Secre.'!#REF!,"AAAAAH2+f18=")</f>
        <v>#REF!</v>
      </c>
      <c r="CS73" t="e">
        <f>AND('6to. Secre.'!#REF!,"AAAAAH2+f2A=")</f>
        <v>#REF!</v>
      </c>
      <c r="CT73" t="e">
        <f>AND('6to. Secre.'!#REF!,"AAAAAH2+f2E=")</f>
        <v>#REF!</v>
      </c>
      <c r="CU73" t="e">
        <f>AND('6to. Secre.'!#REF!,"AAAAAH2+f2I=")</f>
        <v>#REF!</v>
      </c>
      <c r="CV73" t="e">
        <f>AND('6to. Secre.'!#REF!,"AAAAAH2+f2M=")</f>
        <v>#REF!</v>
      </c>
      <c r="CW73" t="e">
        <f>AND('6to. Secre.'!#REF!,"AAAAAH2+f2Q=")</f>
        <v>#REF!</v>
      </c>
      <c r="CX73" t="e">
        <f>AND('6to. Secre.'!#REF!,"AAAAAH2+f2U=")</f>
        <v>#REF!</v>
      </c>
      <c r="CY73" t="e">
        <f>AND('6to. Secre.'!#REF!,"AAAAAH2+f2Y=")</f>
        <v>#REF!</v>
      </c>
      <c r="CZ73" t="e">
        <f>AND('6to. Secre.'!#REF!,"AAAAAH2+f2c=")</f>
        <v>#REF!</v>
      </c>
      <c r="DA73" t="e">
        <f>AND('6to. Secre.'!#REF!,"AAAAAH2+f2g=")</f>
        <v>#REF!</v>
      </c>
      <c r="DB73" t="e">
        <f>AND('6to. Secre.'!#REF!,"AAAAAH2+f2k=")</f>
        <v>#REF!</v>
      </c>
      <c r="DC73" t="e">
        <f>AND('6to. Secre.'!#REF!,"AAAAAH2+f2o=")</f>
        <v>#REF!</v>
      </c>
      <c r="DD73" t="e">
        <f>AND('6to. Secre.'!#REF!,"AAAAAH2+f2s=")</f>
        <v>#REF!</v>
      </c>
      <c r="DE73" t="e">
        <f>AND('6to. Secre.'!#REF!,"AAAAAH2+f2w=")</f>
        <v>#REF!</v>
      </c>
      <c r="DF73" t="e">
        <f>AND('6to. Secre.'!#REF!,"AAAAAH2+f20=")</f>
        <v>#REF!</v>
      </c>
      <c r="DG73" t="e">
        <f>AND('6to. Secre.'!#REF!,"AAAAAH2+f24=")</f>
        <v>#REF!</v>
      </c>
      <c r="DH73" t="e">
        <f>AND('6to. Secre.'!#REF!,"AAAAAH2+f28=")</f>
        <v>#REF!</v>
      </c>
      <c r="DI73" t="e">
        <f>AND('6to. Secre.'!#REF!,"AAAAAH2+f3A=")</f>
        <v>#REF!</v>
      </c>
      <c r="DJ73" t="e">
        <f>AND('6to. Secre.'!#REF!,"AAAAAH2+f3E=")</f>
        <v>#REF!</v>
      </c>
      <c r="DK73" t="e">
        <f>AND('6to. Secre.'!#REF!,"AAAAAH2+f3I=")</f>
        <v>#REF!</v>
      </c>
      <c r="DL73" t="e">
        <f>AND('6to. Secre.'!#REF!,"AAAAAH2+f3M=")</f>
        <v>#REF!</v>
      </c>
      <c r="DM73" t="e">
        <f>AND('6to. Secre.'!#REF!,"AAAAAH2+f3Q=")</f>
        <v>#REF!</v>
      </c>
      <c r="DN73" t="e">
        <f>AND('6to. Secre.'!#REF!,"AAAAAH2+f3U=")</f>
        <v>#REF!</v>
      </c>
      <c r="DO73" t="e">
        <f>AND('6to. Secre.'!#REF!,"AAAAAH2+f3Y=")</f>
        <v>#REF!</v>
      </c>
      <c r="DP73" t="e">
        <f>AND('6to. Secre.'!#REF!,"AAAAAH2+f3c=")</f>
        <v>#REF!</v>
      </c>
      <c r="DQ73" t="e">
        <f>IF('6to. Secre.'!#REF!,"AAAAAH2+f3g=",0)</f>
        <v>#REF!</v>
      </c>
      <c r="DR73" t="e">
        <f>AND('6to. Secre.'!#REF!,"AAAAAH2+f3k=")</f>
        <v>#REF!</v>
      </c>
      <c r="DS73" t="e">
        <f>AND('6to. Secre.'!#REF!,"AAAAAH2+f3o=")</f>
        <v>#REF!</v>
      </c>
      <c r="DT73" t="e">
        <f>AND('6to. Secre.'!#REF!,"AAAAAH2+f3s=")</f>
        <v>#REF!</v>
      </c>
      <c r="DU73" t="e">
        <f>AND('6to. Secre.'!#REF!,"AAAAAH2+f3w=")</f>
        <v>#REF!</v>
      </c>
      <c r="DV73" t="e">
        <f>AND('6to. Secre.'!#REF!,"AAAAAH2+f30=")</f>
        <v>#REF!</v>
      </c>
      <c r="DW73" t="e">
        <f>AND('6to. Secre.'!#REF!,"AAAAAH2+f34=")</f>
        <v>#REF!</v>
      </c>
      <c r="DX73" t="e">
        <f>AND('6to. Secre.'!#REF!,"AAAAAH2+f38=")</f>
        <v>#REF!</v>
      </c>
      <c r="DY73" t="e">
        <f>AND('6to. Secre.'!#REF!,"AAAAAH2+f4A=")</f>
        <v>#REF!</v>
      </c>
      <c r="DZ73" t="e">
        <f>AND('6to. Secre.'!#REF!,"AAAAAH2+f4E=")</f>
        <v>#REF!</v>
      </c>
      <c r="EA73" t="e">
        <f>AND('6to. Secre.'!#REF!,"AAAAAH2+f4I=")</f>
        <v>#REF!</v>
      </c>
      <c r="EB73" t="e">
        <f>AND('6to. Secre.'!#REF!,"AAAAAH2+f4M=")</f>
        <v>#REF!</v>
      </c>
      <c r="EC73" t="e">
        <f>AND('6to. Secre.'!#REF!,"AAAAAH2+f4Q=")</f>
        <v>#REF!</v>
      </c>
      <c r="ED73" t="e">
        <f>AND('6to. Secre.'!#REF!,"AAAAAH2+f4U=")</f>
        <v>#REF!</v>
      </c>
      <c r="EE73" t="e">
        <f>AND('6to. Secre.'!#REF!,"AAAAAH2+f4Y=")</f>
        <v>#REF!</v>
      </c>
      <c r="EF73" t="e">
        <f>AND('6to. Secre.'!#REF!,"AAAAAH2+f4c=")</f>
        <v>#REF!</v>
      </c>
      <c r="EG73" t="e">
        <f>AND('6to. Secre.'!#REF!,"AAAAAH2+f4g=")</f>
        <v>#REF!</v>
      </c>
      <c r="EH73" t="e">
        <f>AND('6to. Secre.'!#REF!,"AAAAAH2+f4k=")</f>
        <v>#REF!</v>
      </c>
      <c r="EI73" t="e">
        <f>AND('6to. Secre.'!#REF!,"AAAAAH2+f4o=")</f>
        <v>#REF!</v>
      </c>
      <c r="EJ73" t="e">
        <f>AND('6to. Secre.'!#REF!,"AAAAAH2+f4s=")</f>
        <v>#REF!</v>
      </c>
      <c r="EK73" t="e">
        <f>AND('6to. Secre.'!#REF!,"AAAAAH2+f4w=")</f>
        <v>#REF!</v>
      </c>
      <c r="EL73" t="e">
        <f>AND('6to. Secre.'!#REF!,"AAAAAH2+f40=")</f>
        <v>#REF!</v>
      </c>
      <c r="EM73" t="e">
        <f>AND('6to. Secre.'!#REF!,"AAAAAH2+f44=")</f>
        <v>#REF!</v>
      </c>
      <c r="EN73" t="e">
        <f>AND('6to. Secre.'!#REF!,"AAAAAH2+f48=")</f>
        <v>#REF!</v>
      </c>
      <c r="EO73" t="e">
        <f>AND('6to. Secre.'!#REF!,"AAAAAH2+f5A=")</f>
        <v>#REF!</v>
      </c>
      <c r="EP73" t="e">
        <f>AND('6to. Secre.'!#REF!,"AAAAAH2+f5E=")</f>
        <v>#REF!</v>
      </c>
      <c r="EQ73" t="e">
        <f>IF('6to. Secre.'!#REF!,"AAAAAH2+f5I=",0)</f>
        <v>#REF!</v>
      </c>
      <c r="ER73" t="e">
        <f>AND('6to. Secre.'!#REF!,"AAAAAH2+f5M=")</f>
        <v>#REF!</v>
      </c>
      <c r="ES73" t="e">
        <f>AND('6to. Secre.'!#REF!,"AAAAAH2+f5Q=")</f>
        <v>#REF!</v>
      </c>
      <c r="ET73" t="e">
        <f>AND('6to. Secre.'!#REF!,"AAAAAH2+f5U=")</f>
        <v>#REF!</v>
      </c>
      <c r="EU73" t="e">
        <f>AND('6to. Secre.'!#REF!,"AAAAAH2+f5Y=")</f>
        <v>#REF!</v>
      </c>
      <c r="EV73" t="e">
        <f>AND('6to. Secre.'!#REF!,"AAAAAH2+f5c=")</f>
        <v>#REF!</v>
      </c>
      <c r="EW73" t="e">
        <f>AND('6to. Secre.'!#REF!,"AAAAAH2+f5g=")</f>
        <v>#REF!</v>
      </c>
      <c r="EX73" t="e">
        <f>AND('6to. Secre.'!#REF!,"AAAAAH2+f5k=")</f>
        <v>#REF!</v>
      </c>
      <c r="EY73" t="e">
        <f>AND('6to. Secre.'!#REF!,"AAAAAH2+f5o=")</f>
        <v>#REF!</v>
      </c>
      <c r="EZ73" t="e">
        <f>AND('6to. Secre.'!#REF!,"AAAAAH2+f5s=")</f>
        <v>#REF!</v>
      </c>
      <c r="FA73" t="e">
        <f>AND('6to. Secre.'!#REF!,"AAAAAH2+f5w=")</f>
        <v>#REF!</v>
      </c>
      <c r="FB73" t="e">
        <f>AND('6to. Secre.'!#REF!,"AAAAAH2+f50=")</f>
        <v>#REF!</v>
      </c>
      <c r="FC73" t="e">
        <f>AND('6to. Secre.'!#REF!,"AAAAAH2+f54=")</f>
        <v>#REF!</v>
      </c>
      <c r="FD73" t="e">
        <f>AND('6to. Secre.'!#REF!,"AAAAAH2+f58=")</f>
        <v>#REF!</v>
      </c>
      <c r="FE73" t="e">
        <f>AND('6to. Secre.'!#REF!,"AAAAAH2+f6A=")</f>
        <v>#REF!</v>
      </c>
      <c r="FF73" t="e">
        <f>AND('6to. Secre.'!#REF!,"AAAAAH2+f6E=")</f>
        <v>#REF!</v>
      </c>
      <c r="FG73" t="e">
        <f>AND('6to. Secre.'!#REF!,"AAAAAH2+f6I=")</f>
        <v>#REF!</v>
      </c>
      <c r="FH73" t="e">
        <f>AND('6to. Secre.'!#REF!,"AAAAAH2+f6M=")</f>
        <v>#REF!</v>
      </c>
      <c r="FI73" t="e">
        <f>AND('6to. Secre.'!#REF!,"AAAAAH2+f6Q=")</f>
        <v>#REF!</v>
      </c>
      <c r="FJ73" t="e">
        <f>AND('6to. Secre.'!#REF!,"AAAAAH2+f6U=")</f>
        <v>#REF!</v>
      </c>
      <c r="FK73" t="e">
        <f>AND('6to. Secre.'!#REF!,"AAAAAH2+f6Y=")</f>
        <v>#REF!</v>
      </c>
      <c r="FL73" t="e">
        <f>AND('6to. Secre.'!#REF!,"AAAAAH2+f6c=")</f>
        <v>#REF!</v>
      </c>
      <c r="FM73" t="e">
        <f>AND('6to. Secre.'!#REF!,"AAAAAH2+f6g=")</f>
        <v>#REF!</v>
      </c>
      <c r="FN73" t="e">
        <f>AND('6to. Secre.'!#REF!,"AAAAAH2+f6k=")</f>
        <v>#REF!</v>
      </c>
      <c r="FO73" t="e">
        <f>AND('6to. Secre.'!#REF!,"AAAAAH2+f6o=")</f>
        <v>#REF!</v>
      </c>
      <c r="FP73" t="e">
        <f>AND('6to. Secre.'!#REF!,"AAAAAH2+f6s=")</f>
        <v>#REF!</v>
      </c>
      <c r="FQ73" t="e">
        <f>IF('6to. Secre.'!#REF!,"AAAAAH2+f6w=",0)</f>
        <v>#REF!</v>
      </c>
      <c r="FR73" t="e">
        <f>AND('6to. Secre.'!#REF!,"AAAAAH2+f60=")</f>
        <v>#REF!</v>
      </c>
      <c r="FS73" t="e">
        <f>AND('6to. Secre.'!#REF!,"AAAAAH2+f64=")</f>
        <v>#REF!</v>
      </c>
      <c r="FT73" t="e">
        <f>AND('6to. Secre.'!#REF!,"AAAAAH2+f68=")</f>
        <v>#REF!</v>
      </c>
      <c r="FU73" t="e">
        <f>AND('6to. Secre.'!#REF!,"AAAAAH2+f7A=")</f>
        <v>#REF!</v>
      </c>
      <c r="FV73" t="e">
        <f>AND('6to. Secre.'!#REF!,"AAAAAH2+f7E=")</f>
        <v>#REF!</v>
      </c>
      <c r="FW73" t="e">
        <f>AND('6to. Secre.'!#REF!,"AAAAAH2+f7I=")</f>
        <v>#REF!</v>
      </c>
      <c r="FX73" t="e">
        <f>AND('6to. Secre.'!#REF!,"AAAAAH2+f7M=")</f>
        <v>#REF!</v>
      </c>
      <c r="FY73" t="e">
        <f>AND('6to. Secre.'!#REF!,"AAAAAH2+f7Q=")</f>
        <v>#REF!</v>
      </c>
      <c r="FZ73" t="e">
        <f>AND('6to. Secre.'!#REF!,"AAAAAH2+f7U=")</f>
        <v>#REF!</v>
      </c>
      <c r="GA73" t="e">
        <f>AND('6to. Secre.'!#REF!,"AAAAAH2+f7Y=")</f>
        <v>#REF!</v>
      </c>
      <c r="GB73" t="e">
        <f>AND('6to. Secre.'!#REF!,"AAAAAH2+f7c=")</f>
        <v>#REF!</v>
      </c>
      <c r="GC73" t="e">
        <f>AND('6to. Secre.'!#REF!,"AAAAAH2+f7g=")</f>
        <v>#REF!</v>
      </c>
      <c r="GD73" t="e">
        <f>AND('6to. Secre.'!#REF!,"AAAAAH2+f7k=")</f>
        <v>#REF!</v>
      </c>
      <c r="GE73" t="e">
        <f>AND('6to. Secre.'!#REF!,"AAAAAH2+f7o=")</f>
        <v>#REF!</v>
      </c>
      <c r="GF73" t="e">
        <f>AND('6to. Secre.'!#REF!,"AAAAAH2+f7s=")</f>
        <v>#REF!</v>
      </c>
      <c r="GG73" t="e">
        <f>AND('6to. Secre.'!#REF!,"AAAAAH2+f7w=")</f>
        <v>#REF!</v>
      </c>
      <c r="GH73" t="e">
        <f>AND('6to. Secre.'!#REF!,"AAAAAH2+f70=")</f>
        <v>#REF!</v>
      </c>
      <c r="GI73" t="e">
        <f>AND('6to. Secre.'!#REF!,"AAAAAH2+f74=")</f>
        <v>#REF!</v>
      </c>
      <c r="GJ73" t="e">
        <f>AND('6to. Secre.'!#REF!,"AAAAAH2+f78=")</f>
        <v>#REF!</v>
      </c>
      <c r="GK73" t="e">
        <f>AND('6to. Secre.'!#REF!,"AAAAAH2+f8A=")</f>
        <v>#REF!</v>
      </c>
      <c r="GL73" t="e">
        <f>AND('6to. Secre.'!#REF!,"AAAAAH2+f8E=")</f>
        <v>#REF!</v>
      </c>
      <c r="GM73" t="e">
        <f>AND('6to. Secre.'!#REF!,"AAAAAH2+f8I=")</f>
        <v>#REF!</v>
      </c>
      <c r="GN73" t="e">
        <f>AND('6to. Secre.'!#REF!,"AAAAAH2+f8M=")</f>
        <v>#REF!</v>
      </c>
      <c r="GO73" t="e">
        <f>AND('6to. Secre.'!#REF!,"AAAAAH2+f8Q=")</f>
        <v>#REF!</v>
      </c>
      <c r="GP73" t="e">
        <f>AND('6to. Secre.'!#REF!,"AAAAAH2+f8U=")</f>
        <v>#REF!</v>
      </c>
      <c r="GQ73" t="e">
        <f>IF('6to. Secre.'!#REF!,"AAAAAH2+f8Y=",0)</f>
        <v>#REF!</v>
      </c>
      <c r="GR73" t="e">
        <f>AND('6to. Secre.'!#REF!,"AAAAAH2+f8c=")</f>
        <v>#REF!</v>
      </c>
      <c r="GS73" t="e">
        <f>AND('6to. Secre.'!#REF!,"AAAAAH2+f8g=")</f>
        <v>#REF!</v>
      </c>
      <c r="GT73" t="e">
        <f>AND('6to. Secre.'!#REF!,"AAAAAH2+f8k=")</f>
        <v>#REF!</v>
      </c>
      <c r="GU73" t="e">
        <f>AND('6to. Secre.'!#REF!,"AAAAAH2+f8o=")</f>
        <v>#REF!</v>
      </c>
      <c r="GV73" t="e">
        <f>AND('6to. Secre.'!#REF!,"AAAAAH2+f8s=")</f>
        <v>#REF!</v>
      </c>
      <c r="GW73" t="e">
        <f>AND('6to. Secre.'!#REF!,"AAAAAH2+f8w=")</f>
        <v>#REF!</v>
      </c>
      <c r="GX73" t="e">
        <f>AND('6to. Secre.'!#REF!,"AAAAAH2+f80=")</f>
        <v>#REF!</v>
      </c>
      <c r="GY73" t="e">
        <f>AND('6to. Secre.'!#REF!,"AAAAAH2+f84=")</f>
        <v>#REF!</v>
      </c>
      <c r="GZ73" t="e">
        <f>AND('6to. Secre.'!#REF!,"AAAAAH2+f88=")</f>
        <v>#REF!</v>
      </c>
      <c r="HA73" t="e">
        <f>AND('6to. Secre.'!#REF!,"AAAAAH2+f9A=")</f>
        <v>#REF!</v>
      </c>
      <c r="HB73" t="e">
        <f>AND('6to. Secre.'!#REF!,"AAAAAH2+f9E=")</f>
        <v>#REF!</v>
      </c>
      <c r="HC73" t="e">
        <f>AND('6to. Secre.'!#REF!,"AAAAAH2+f9I=")</f>
        <v>#REF!</v>
      </c>
      <c r="HD73" t="e">
        <f>AND('6to. Secre.'!#REF!,"AAAAAH2+f9M=")</f>
        <v>#REF!</v>
      </c>
      <c r="HE73" t="e">
        <f>AND('6to. Secre.'!#REF!,"AAAAAH2+f9Q=")</f>
        <v>#REF!</v>
      </c>
      <c r="HF73" t="e">
        <f>AND('6to. Secre.'!#REF!,"AAAAAH2+f9U=")</f>
        <v>#REF!</v>
      </c>
      <c r="HG73" t="e">
        <f>AND('6to. Secre.'!#REF!,"AAAAAH2+f9Y=")</f>
        <v>#REF!</v>
      </c>
      <c r="HH73" t="e">
        <f>AND('6to. Secre.'!#REF!,"AAAAAH2+f9c=")</f>
        <v>#REF!</v>
      </c>
      <c r="HI73" t="e">
        <f>AND('6to. Secre.'!#REF!,"AAAAAH2+f9g=")</f>
        <v>#REF!</v>
      </c>
      <c r="HJ73" t="e">
        <f>AND('6to. Secre.'!#REF!,"AAAAAH2+f9k=")</f>
        <v>#REF!</v>
      </c>
      <c r="HK73" t="e">
        <f>AND('6to. Secre.'!#REF!,"AAAAAH2+f9o=")</f>
        <v>#REF!</v>
      </c>
      <c r="HL73" t="e">
        <f>AND('6to. Secre.'!#REF!,"AAAAAH2+f9s=")</f>
        <v>#REF!</v>
      </c>
      <c r="HM73" t="e">
        <f>AND('6to. Secre.'!#REF!,"AAAAAH2+f9w=")</f>
        <v>#REF!</v>
      </c>
      <c r="HN73" t="e">
        <f>AND('6to. Secre.'!#REF!,"AAAAAH2+f90=")</f>
        <v>#REF!</v>
      </c>
      <c r="HO73" t="e">
        <f>AND('6to. Secre.'!#REF!,"AAAAAH2+f94=")</f>
        <v>#REF!</v>
      </c>
      <c r="HP73" t="e">
        <f>AND('6to. Secre.'!#REF!,"AAAAAH2+f98=")</f>
        <v>#REF!</v>
      </c>
      <c r="HQ73" t="e">
        <f>IF('6to. Secre.'!#REF!,"AAAAAH2+f+A=",0)</f>
        <v>#REF!</v>
      </c>
      <c r="HR73" t="e">
        <f>AND('6to. Secre.'!#REF!,"AAAAAH2+f+E=")</f>
        <v>#REF!</v>
      </c>
      <c r="HS73" t="e">
        <f>AND('6to. Secre.'!#REF!,"AAAAAH2+f+I=")</f>
        <v>#REF!</v>
      </c>
      <c r="HT73" t="e">
        <f>AND('6to. Secre.'!#REF!,"AAAAAH2+f+M=")</f>
        <v>#REF!</v>
      </c>
      <c r="HU73" t="e">
        <f>AND('6to. Secre.'!#REF!,"AAAAAH2+f+Q=")</f>
        <v>#REF!</v>
      </c>
      <c r="HV73" t="e">
        <f>AND('6to. Secre.'!#REF!,"AAAAAH2+f+U=")</f>
        <v>#REF!</v>
      </c>
      <c r="HW73" t="e">
        <f>AND('6to. Secre.'!#REF!,"AAAAAH2+f+Y=")</f>
        <v>#REF!</v>
      </c>
      <c r="HX73" t="e">
        <f>AND('6to. Secre.'!#REF!,"AAAAAH2+f+c=")</f>
        <v>#REF!</v>
      </c>
      <c r="HY73" t="e">
        <f>AND('6to. Secre.'!#REF!,"AAAAAH2+f+g=")</f>
        <v>#REF!</v>
      </c>
      <c r="HZ73" t="e">
        <f>AND('6to. Secre.'!#REF!,"AAAAAH2+f+k=")</f>
        <v>#REF!</v>
      </c>
      <c r="IA73" t="e">
        <f>AND('6to. Secre.'!#REF!,"AAAAAH2+f+o=")</f>
        <v>#REF!</v>
      </c>
      <c r="IB73" t="e">
        <f>AND('6to. Secre.'!#REF!,"AAAAAH2+f+s=")</f>
        <v>#REF!</v>
      </c>
      <c r="IC73" t="e">
        <f>AND('6to. Secre.'!#REF!,"AAAAAH2+f+w=")</f>
        <v>#REF!</v>
      </c>
      <c r="ID73" t="e">
        <f>AND('6to. Secre.'!#REF!,"AAAAAH2+f+0=")</f>
        <v>#REF!</v>
      </c>
      <c r="IE73" t="e">
        <f>AND('6to. Secre.'!#REF!,"AAAAAH2+f+4=")</f>
        <v>#REF!</v>
      </c>
      <c r="IF73" t="e">
        <f>AND('6to. Secre.'!#REF!,"AAAAAH2+f+8=")</f>
        <v>#REF!</v>
      </c>
      <c r="IG73" t="e">
        <f>AND('6to. Secre.'!#REF!,"AAAAAH2+f/A=")</f>
        <v>#REF!</v>
      </c>
      <c r="IH73" t="e">
        <f>AND('6to. Secre.'!#REF!,"AAAAAH2+f/E=")</f>
        <v>#REF!</v>
      </c>
      <c r="II73" t="e">
        <f>AND('6to. Secre.'!#REF!,"AAAAAH2+f/I=")</f>
        <v>#REF!</v>
      </c>
      <c r="IJ73" t="e">
        <f>AND('6to. Secre.'!#REF!,"AAAAAH2+f/M=")</f>
        <v>#REF!</v>
      </c>
      <c r="IK73" t="e">
        <f>AND('6to. Secre.'!#REF!,"AAAAAH2+f/Q=")</f>
        <v>#REF!</v>
      </c>
      <c r="IL73" t="e">
        <f>AND('6to. Secre.'!#REF!,"AAAAAH2+f/U=")</f>
        <v>#REF!</v>
      </c>
      <c r="IM73" t="e">
        <f>AND('6to. Secre.'!#REF!,"AAAAAH2+f/Y=")</f>
        <v>#REF!</v>
      </c>
      <c r="IN73" t="e">
        <f>AND('6to. Secre.'!#REF!,"AAAAAH2+f/c=")</f>
        <v>#REF!</v>
      </c>
      <c r="IO73" t="e">
        <f>AND('6to. Secre.'!#REF!,"AAAAAH2+f/g=")</f>
        <v>#REF!</v>
      </c>
      <c r="IP73" t="e">
        <f>AND('6to. Secre.'!#REF!,"AAAAAH2+f/k=")</f>
        <v>#REF!</v>
      </c>
      <c r="IQ73" t="e">
        <f>IF('6to. Secre.'!#REF!,"AAAAAH2+f/o=",0)</f>
        <v>#REF!</v>
      </c>
      <c r="IR73" t="e">
        <f>AND('6to. Secre.'!#REF!,"AAAAAH2+f/s=")</f>
        <v>#REF!</v>
      </c>
      <c r="IS73" t="e">
        <f>AND('6to. Secre.'!#REF!,"AAAAAH2+f/w=")</f>
        <v>#REF!</v>
      </c>
      <c r="IT73" t="e">
        <f>AND('6to. Secre.'!#REF!,"AAAAAH2+f/0=")</f>
        <v>#REF!</v>
      </c>
      <c r="IU73" t="e">
        <f>AND('6to. Secre.'!#REF!,"AAAAAH2+f/4=")</f>
        <v>#REF!</v>
      </c>
      <c r="IV73" t="e">
        <f>AND('6to. Secre.'!#REF!,"AAAAAH2+f/8=")</f>
        <v>#REF!</v>
      </c>
    </row>
    <row r="74" spans="1:256">
      <c r="A74" t="e">
        <f>AND('6to. Secre.'!#REF!,"AAAAAHP+bwA=")</f>
        <v>#REF!</v>
      </c>
      <c r="B74" t="e">
        <f>AND('6to. Secre.'!#REF!,"AAAAAHP+bwE=")</f>
        <v>#REF!</v>
      </c>
      <c r="C74" t="e">
        <f>AND('6to. Secre.'!#REF!,"AAAAAHP+bwI=")</f>
        <v>#REF!</v>
      </c>
      <c r="D74" t="e">
        <f>AND('6to. Secre.'!#REF!,"AAAAAHP+bwM=")</f>
        <v>#REF!</v>
      </c>
      <c r="E74" t="e">
        <f>AND('6to. Secre.'!#REF!,"AAAAAHP+bwQ=")</f>
        <v>#REF!</v>
      </c>
      <c r="F74" t="e">
        <f>AND('6to. Secre.'!#REF!,"AAAAAHP+bwU=")</f>
        <v>#REF!</v>
      </c>
      <c r="G74" t="e">
        <f>AND('6to. Secre.'!#REF!,"AAAAAHP+bwY=")</f>
        <v>#REF!</v>
      </c>
      <c r="H74" t="e">
        <f>AND('6to. Secre.'!#REF!,"AAAAAHP+bwc=")</f>
        <v>#REF!</v>
      </c>
      <c r="I74" t="e">
        <f>AND('6to. Secre.'!#REF!,"AAAAAHP+bwg=")</f>
        <v>#REF!</v>
      </c>
      <c r="J74" t="e">
        <f>AND('6to. Secre.'!#REF!,"AAAAAHP+bwk=")</f>
        <v>#REF!</v>
      </c>
      <c r="K74" t="e">
        <f>AND('6to. Secre.'!#REF!,"AAAAAHP+bwo=")</f>
        <v>#REF!</v>
      </c>
      <c r="L74" t="e">
        <f>AND('6to. Secre.'!#REF!,"AAAAAHP+bws=")</f>
        <v>#REF!</v>
      </c>
      <c r="M74" t="e">
        <f>AND('6to. Secre.'!#REF!,"AAAAAHP+bww=")</f>
        <v>#REF!</v>
      </c>
      <c r="N74" t="e">
        <f>AND('6to. Secre.'!#REF!,"AAAAAHP+bw0=")</f>
        <v>#REF!</v>
      </c>
      <c r="O74" t="e">
        <f>AND('6to. Secre.'!#REF!,"AAAAAHP+bw4=")</f>
        <v>#REF!</v>
      </c>
      <c r="P74" t="e">
        <f>AND('6to. Secre.'!#REF!,"AAAAAHP+bw8=")</f>
        <v>#REF!</v>
      </c>
      <c r="Q74" t="e">
        <f>AND('6to. Secre.'!#REF!,"AAAAAHP+bxA=")</f>
        <v>#REF!</v>
      </c>
      <c r="R74" t="e">
        <f>AND('6to. Secre.'!#REF!,"AAAAAHP+bxE=")</f>
        <v>#REF!</v>
      </c>
      <c r="S74" t="e">
        <f>AND('6to. Secre.'!#REF!,"AAAAAHP+bxI=")</f>
        <v>#REF!</v>
      </c>
      <c r="T74" t="e">
        <f>AND('6to. Secre.'!#REF!,"AAAAAHP+bxM=")</f>
        <v>#REF!</v>
      </c>
      <c r="U74" t="e">
        <f>IF('6to. Secre.'!#REF!,"AAAAAHP+bxQ=",0)</f>
        <v>#REF!</v>
      </c>
      <c r="V74" t="e">
        <f>AND('6to. Secre.'!#REF!,"AAAAAHP+bxU=")</f>
        <v>#REF!</v>
      </c>
      <c r="W74" t="e">
        <f>AND('6to. Secre.'!#REF!,"AAAAAHP+bxY=")</f>
        <v>#REF!</v>
      </c>
      <c r="X74" t="e">
        <f>AND('6to. Secre.'!#REF!,"AAAAAHP+bxc=")</f>
        <v>#REF!</v>
      </c>
      <c r="Y74" t="e">
        <f>AND('6to. Secre.'!#REF!,"AAAAAHP+bxg=")</f>
        <v>#REF!</v>
      </c>
      <c r="Z74" t="e">
        <f>AND('6to. Secre.'!#REF!,"AAAAAHP+bxk=")</f>
        <v>#REF!</v>
      </c>
      <c r="AA74" t="e">
        <f>AND('6to. Secre.'!#REF!,"AAAAAHP+bxo=")</f>
        <v>#REF!</v>
      </c>
      <c r="AB74" t="e">
        <f>AND('6to. Secre.'!#REF!,"AAAAAHP+bxs=")</f>
        <v>#REF!</v>
      </c>
      <c r="AC74" t="e">
        <f>AND('6to. Secre.'!#REF!,"AAAAAHP+bxw=")</f>
        <v>#REF!</v>
      </c>
      <c r="AD74" t="e">
        <f>AND('6to. Secre.'!#REF!,"AAAAAHP+bx0=")</f>
        <v>#REF!</v>
      </c>
      <c r="AE74" t="e">
        <f>AND('6to. Secre.'!#REF!,"AAAAAHP+bx4=")</f>
        <v>#REF!</v>
      </c>
      <c r="AF74" t="e">
        <f>AND('6to. Secre.'!#REF!,"AAAAAHP+bx8=")</f>
        <v>#REF!</v>
      </c>
      <c r="AG74" t="e">
        <f>AND('6to. Secre.'!#REF!,"AAAAAHP+byA=")</f>
        <v>#REF!</v>
      </c>
      <c r="AH74" t="e">
        <f>AND('6to. Secre.'!#REF!,"AAAAAHP+byE=")</f>
        <v>#REF!</v>
      </c>
      <c r="AI74" t="e">
        <f>AND('6to. Secre.'!#REF!,"AAAAAHP+byI=")</f>
        <v>#REF!</v>
      </c>
      <c r="AJ74" t="e">
        <f>AND('6to. Secre.'!#REF!,"AAAAAHP+byM=")</f>
        <v>#REF!</v>
      </c>
      <c r="AK74" t="e">
        <f>AND('6to. Secre.'!#REF!,"AAAAAHP+byQ=")</f>
        <v>#REF!</v>
      </c>
      <c r="AL74" t="e">
        <f>AND('6to. Secre.'!#REF!,"AAAAAHP+byU=")</f>
        <v>#REF!</v>
      </c>
      <c r="AM74" t="e">
        <f>AND('6to. Secre.'!#REF!,"AAAAAHP+byY=")</f>
        <v>#REF!</v>
      </c>
      <c r="AN74" t="e">
        <f>AND('6to. Secre.'!#REF!,"AAAAAHP+byc=")</f>
        <v>#REF!</v>
      </c>
      <c r="AO74" t="e">
        <f>AND('6to. Secre.'!#REF!,"AAAAAHP+byg=")</f>
        <v>#REF!</v>
      </c>
      <c r="AP74" t="e">
        <f>AND('6to. Secre.'!#REF!,"AAAAAHP+byk=")</f>
        <v>#REF!</v>
      </c>
      <c r="AQ74" t="e">
        <f>AND('6to. Secre.'!#REF!,"AAAAAHP+byo=")</f>
        <v>#REF!</v>
      </c>
      <c r="AR74" t="e">
        <f>AND('6to. Secre.'!#REF!,"AAAAAHP+bys=")</f>
        <v>#REF!</v>
      </c>
      <c r="AS74" t="e">
        <f>AND('6to. Secre.'!#REF!,"AAAAAHP+byw=")</f>
        <v>#REF!</v>
      </c>
      <c r="AT74" t="e">
        <f>AND('6to. Secre.'!#REF!,"AAAAAHP+by0=")</f>
        <v>#REF!</v>
      </c>
      <c r="AU74" t="e">
        <f>IF('6to. Secre.'!#REF!,"AAAAAHP+by4=",0)</f>
        <v>#REF!</v>
      </c>
      <c r="AV74" t="e">
        <f>AND('6to. Secre.'!#REF!,"AAAAAHP+by8=")</f>
        <v>#REF!</v>
      </c>
      <c r="AW74" t="e">
        <f>AND('6to. Secre.'!#REF!,"AAAAAHP+bzA=")</f>
        <v>#REF!</v>
      </c>
      <c r="AX74" t="e">
        <f>AND('6to. Secre.'!#REF!,"AAAAAHP+bzE=")</f>
        <v>#REF!</v>
      </c>
      <c r="AY74" t="e">
        <f>AND('6to. Secre.'!#REF!,"AAAAAHP+bzI=")</f>
        <v>#REF!</v>
      </c>
      <c r="AZ74" t="e">
        <f>AND('6to. Secre.'!#REF!,"AAAAAHP+bzM=")</f>
        <v>#REF!</v>
      </c>
      <c r="BA74" t="e">
        <f>AND('6to. Secre.'!#REF!,"AAAAAHP+bzQ=")</f>
        <v>#REF!</v>
      </c>
      <c r="BB74" t="e">
        <f>AND('6to. Secre.'!#REF!,"AAAAAHP+bzU=")</f>
        <v>#REF!</v>
      </c>
      <c r="BC74" t="e">
        <f>AND('6to. Secre.'!#REF!,"AAAAAHP+bzY=")</f>
        <v>#REF!</v>
      </c>
      <c r="BD74" t="e">
        <f>AND('6to. Secre.'!#REF!,"AAAAAHP+bzc=")</f>
        <v>#REF!</v>
      </c>
      <c r="BE74" t="e">
        <f>AND('6to. Secre.'!#REF!,"AAAAAHP+bzg=")</f>
        <v>#REF!</v>
      </c>
      <c r="BF74" t="e">
        <f>AND('6to. Secre.'!#REF!,"AAAAAHP+bzk=")</f>
        <v>#REF!</v>
      </c>
      <c r="BG74" t="e">
        <f>AND('6to. Secre.'!#REF!,"AAAAAHP+bzo=")</f>
        <v>#REF!</v>
      </c>
      <c r="BH74" t="e">
        <f>AND('6to. Secre.'!#REF!,"AAAAAHP+bzs=")</f>
        <v>#REF!</v>
      </c>
      <c r="BI74" t="e">
        <f>AND('6to. Secre.'!#REF!,"AAAAAHP+bzw=")</f>
        <v>#REF!</v>
      </c>
      <c r="BJ74" t="e">
        <f>AND('6to. Secre.'!#REF!,"AAAAAHP+bz0=")</f>
        <v>#REF!</v>
      </c>
      <c r="BK74" t="e">
        <f>AND('6to. Secre.'!#REF!,"AAAAAHP+bz4=")</f>
        <v>#REF!</v>
      </c>
      <c r="BL74" t="e">
        <f>AND('6to. Secre.'!#REF!,"AAAAAHP+bz8=")</f>
        <v>#REF!</v>
      </c>
      <c r="BM74" t="e">
        <f>AND('6to. Secre.'!#REF!,"AAAAAHP+b0A=")</f>
        <v>#REF!</v>
      </c>
      <c r="BN74" t="e">
        <f>AND('6to. Secre.'!#REF!,"AAAAAHP+b0E=")</f>
        <v>#REF!</v>
      </c>
      <c r="BO74" t="e">
        <f>AND('6to. Secre.'!#REF!,"AAAAAHP+b0I=")</f>
        <v>#REF!</v>
      </c>
      <c r="BP74" t="e">
        <f>AND('6to. Secre.'!#REF!,"AAAAAHP+b0M=")</f>
        <v>#REF!</v>
      </c>
      <c r="BQ74" t="e">
        <f>AND('6to. Secre.'!#REF!,"AAAAAHP+b0Q=")</f>
        <v>#REF!</v>
      </c>
      <c r="BR74" t="e">
        <f>AND('6to. Secre.'!#REF!,"AAAAAHP+b0U=")</f>
        <v>#REF!</v>
      </c>
      <c r="BS74" t="e">
        <f>AND('6to. Secre.'!#REF!,"AAAAAHP+b0Y=")</f>
        <v>#REF!</v>
      </c>
      <c r="BT74" t="e">
        <f>AND('6to. Secre.'!#REF!,"AAAAAHP+b0c=")</f>
        <v>#REF!</v>
      </c>
      <c r="BU74" t="e">
        <f>IF('6to. Secre.'!#REF!,"AAAAAHP+b0g=",0)</f>
        <v>#REF!</v>
      </c>
      <c r="BV74" t="e">
        <f>AND('6to. Secre.'!#REF!,"AAAAAHP+b0k=")</f>
        <v>#REF!</v>
      </c>
      <c r="BW74" t="e">
        <f>AND('6to. Secre.'!#REF!,"AAAAAHP+b0o=")</f>
        <v>#REF!</v>
      </c>
      <c r="BX74" t="e">
        <f>AND('6to. Secre.'!#REF!,"AAAAAHP+b0s=")</f>
        <v>#REF!</v>
      </c>
      <c r="BY74" t="e">
        <f>AND('6to. Secre.'!#REF!,"AAAAAHP+b0w=")</f>
        <v>#REF!</v>
      </c>
      <c r="BZ74" t="e">
        <f>AND('6to. Secre.'!#REF!,"AAAAAHP+b00=")</f>
        <v>#REF!</v>
      </c>
      <c r="CA74" t="e">
        <f>AND('6to. Secre.'!#REF!,"AAAAAHP+b04=")</f>
        <v>#REF!</v>
      </c>
      <c r="CB74" t="e">
        <f>AND('6to. Secre.'!#REF!,"AAAAAHP+b08=")</f>
        <v>#REF!</v>
      </c>
      <c r="CC74" t="e">
        <f>AND('6to. Secre.'!#REF!,"AAAAAHP+b1A=")</f>
        <v>#REF!</v>
      </c>
      <c r="CD74" t="e">
        <f>AND('6to. Secre.'!#REF!,"AAAAAHP+b1E=")</f>
        <v>#REF!</v>
      </c>
      <c r="CE74" t="e">
        <f>AND('6to. Secre.'!#REF!,"AAAAAHP+b1I=")</f>
        <v>#REF!</v>
      </c>
      <c r="CF74" t="e">
        <f>AND('6to. Secre.'!#REF!,"AAAAAHP+b1M=")</f>
        <v>#REF!</v>
      </c>
      <c r="CG74" t="e">
        <f>AND('6to. Secre.'!#REF!,"AAAAAHP+b1Q=")</f>
        <v>#REF!</v>
      </c>
      <c r="CH74" t="e">
        <f>AND('6to. Secre.'!#REF!,"AAAAAHP+b1U=")</f>
        <v>#REF!</v>
      </c>
      <c r="CI74" t="e">
        <f>AND('6to. Secre.'!#REF!,"AAAAAHP+b1Y=")</f>
        <v>#REF!</v>
      </c>
      <c r="CJ74" t="e">
        <f>AND('6to. Secre.'!#REF!,"AAAAAHP+b1c=")</f>
        <v>#REF!</v>
      </c>
      <c r="CK74" t="e">
        <f>AND('6to. Secre.'!#REF!,"AAAAAHP+b1g=")</f>
        <v>#REF!</v>
      </c>
      <c r="CL74" t="e">
        <f>AND('6to. Secre.'!#REF!,"AAAAAHP+b1k=")</f>
        <v>#REF!</v>
      </c>
      <c r="CM74" t="e">
        <f>AND('6to. Secre.'!#REF!,"AAAAAHP+b1o=")</f>
        <v>#REF!</v>
      </c>
      <c r="CN74" t="e">
        <f>AND('6to. Secre.'!#REF!,"AAAAAHP+b1s=")</f>
        <v>#REF!</v>
      </c>
      <c r="CO74" t="e">
        <f>AND('6to. Secre.'!#REF!,"AAAAAHP+b1w=")</f>
        <v>#REF!</v>
      </c>
      <c r="CP74" t="e">
        <f>AND('6to. Secre.'!#REF!,"AAAAAHP+b10=")</f>
        <v>#REF!</v>
      </c>
      <c r="CQ74" t="e">
        <f>AND('6to. Secre.'!#REF!,"AAAAAHP+b14=")</f>
        <v>#REF!</v>
      </c>
      <c r="CR74" t="e">
        <f>AND('6to. Secre.'!#REF!,"AAAAAHP+b18=")</f>
        <v>#REF!</v>
      </c>
      <c r="CS74" t="e">
        <f>AND('6to. Secre.'!#REF!,"AAAAAHP+b2A=")</f>
        <v>#REF!</v>
      </c>
      <c r="CT74" t="e">
        <f>AND('6to. Secre.'!#REF!,"AAAAAHP+b2E=")</f>
        <v>#REF!</v>
      </c>
      <c r="CU74" t="e">
        <f>IF('6to. Secre.'!#REF!,"AAAAAHP+b2I=",0)</f>
        <v>#REF!</v>
      </c>
      <c r="CV74" t="e">
        <f>AND('6to. Secre.'!#REF!,"AAAAAHP+b2M=")</f>
        <v>#REF!</v>
      </c>
      <c r="CW74" t="e">
        <f>AND('6to. Secre.'!#REF!,"AAAAAHP+b2Q=")</f>
        <v>#REF!</v>
      </c>
      <c r="CX74" t="e">
        <f>AND('6to. Secre.'!#REF!,"AAAAAHP+b2U=")</f>
        <v>#REF!</v>
      </c>
      <c r="CY74" t="e">
        <f>AND('6to. Secre.'!#REF!,"AAAAAHP+b2Y=")</f>
        <v>#REF!</v>
      </c>
      <c r="CZ74" t="e">
        <f>AND('6to. Secre.'!#REF!,"AAAAAHP+b2c=")</f>
        <v>#REF!</v>
      </c>
      <c r="DA74" t="e">
        <f>AND('6to. Secre.'!#REF!,"AAAAAHP+b2g=")</f>
        <v>#REF!</v>
      </c>
      <c r="DB74" t="e">
        <f>AND('6to. Secre.'!#REF!,"AAAAAHP+b2k=")</f>
        <v>#REF!</v>
      </c>
      <c r="DC74" t="e">
        <f>AND('6to. Secre.'!#REF!,"AAAAAHP+b2o=")</f>
        <v>#REF!</v>
      </c>
      <c r="DD74" t="e">
        <f>AND('6to. Secre.'!#REF!,"AAAAAHP+b2s=")</f>
        <v>#REF!</v>
      </c>
      <c r="DE74" t="e">
        <f>AND('6to. Secre.'!#REF!,"AAAAAHP+b2w=")</f>
        <v>#REF!</v>
      </c>
      <c r="DF74" t="e">
        <f>AND('6to. Secre.'!#REF!,"AAAAAHP+b20=")</f>
        <v>#REF!</v>
      </c>
      <c r="DG74" t="e">
        <f>AND('6to. Secre.'!#REF!,"AAAAAHP+b24=")</f>
        <v>#REF!</v>
      </c>
      <c r="DH74" t="e">
        <f>AND('6to. Secre.'!#REF!,"AAAAAHP+b28=")</f>
        <v>#REF!</v>
      </c>
      <c r="DI74" t="e">
        <f>AND('6to. Secre.'!#REF!,"AAAAAHP+b3A=")</f>
        <v>#REF!</v>
      </c>
      <c r="DJ74" t="e">
        <f>AND('6to. Secre.'!#REF!,"AAAAAHP+b3E=")</f>
        <v>#REF!</v>
      </c>
      <c r="DK74" t="e">
        <f>AND('6to. Secre.'!#REF!,"AAAAAHP+b3I=")</f>
        <v>#REF!</v>
      </c>
      <c r="DL74" t="e">
        <f>AND('6to. Secre.'!#REF!,"AAAAAHP+b3M=")</f>
        <v>#REF!</v>
      </c>
      <c r="DM74" t="e">
        <f>AND('6to. Secre.'!#REF!,"AAAAAHP+b3Q=")</f>
        <v>#REF!</v>
      </c>
      <c r="DN74" t="e">
        <f>AND('6to. Secre.'!#REF!,"AAAAAHP+b3U=")</f>
        <v>#REF!</v>
      </c>
      <c r="DO74" t="e">
        <f>AND('6to. Secre.'!#REF!,"AAAAAHP+b3Y=")</f>
        <v>#REF!</v>
      </c>
      <c r="DP74" t="e">
        <f>AND('6to. Secre.'!#REF!,"AAAAAHP+b3c=")</f>
        <v>#REF!</v>
      </c>
      <c r="DQ74" t="e">
        <f>AND('6to. Secre.'!#REF!,"AAAAAHP+b3g=")</f>
        <v>#REF!</v>
      </c>
      <c r="DR74" t="e">
        <f>AND('6to. Secre.'!#REF!,"AAAAAHP+b3k=")</f>
        <v>#REF!</v>
      </c>
      <c r="DS74" t="e">
        <f>AND('6to. Secre.'!#REF!,"AAAAAHP+b3o=")</f>
        <v>#REF!</v>
      </c>
      <c r="DT74" t="e">
        <f>AND('6to. Secre.'!#REF!,"AAAAAHP+b3s=")</f>
        <v>#REF!</v>
      </c>
      <c r="DU74" t="e">
        <f>IF('6to. Secre.'!#REF!,"AAAAAHP+b3w=",0)</f>
        <v>#REF!</v>
      </c>
      <c r="DV74" t="e">
        <f>AND('6to. Secre.'!#REF!,"AAAAAHP+b30=")</f>
        <v>#REF!</v>
      </c>
      <c r="DW74" t="e">
        <f>AND('6to. Secre.'!#REF!,"AAAAAHP+b34=")</f>
        <v>#REF!</v>
      </c>
      <c r="DX74" t="e">
        <f>AND('6to. Secre.'!#REF!,"AAAAAHP+b38=")</f>
        <v>#REF!</v>
      </c>
      <c r="DY74" t="e">
        <f>AND('6to. Secre.'!#REF!,"AAAAAHP+b4A=")</f>
        <v>#REF!</v>
      </c>
      <c r="DZ74" t="e">
        <f>AND('6to. Secre.'!#REF!,"AAAAAHP+b4E=")</f>
        <v>#REF!</v>
      </c>
      <c r="EA74" t="e">
        <f>AND('6to. Secre.'!#REF!,"AAAAAHP+b4I=")</f>
        <v>#REF!</v>
      </c>
      <c r="EB74" t="e">
        <f>AND('6to. Secre.'!#REF!,"AAAAAHP+b4M=")</f>
        <v>#REF!</v>
      </c>
      <c r="EC74" t="e">
        <f>AND('6to. Secre.'!#REF!,"AAAAAHP+b4Q=")</f>
        <v>#REF!</v>
      </c>
      <c r="ED74" t="e">
        <f>AND('6to. Secre.'!#REF!,"AAAAAHP+b4U=")</f>
        <v>#REF!</v>
      </c>
      <c r="EE74" t="e">
        <f>AND('6to. Secre.'!#REF!,"AAAAAHP+b4Y=")</f>
        <v>#REF!</v>
      </c>
      <c r="EF74" t="e">
        <f>AND('6to. Secre.'!#REF!,"AAAAAHP+b4c=")</f>
        <v>#REF!</v>
      </c>
      <c r="EG74" t="e">
        <f>AND('6to. Secre.'!#REF!,"AAAAAHP+b4g=")</f>
        <v>#REF!</v>
      </c>
      <c r="EH74" t="e">
        <f>AND('6to. Secre.'!#REF!,"AAAAAHP+b4k=")</f>
        <v>#REF!</v>
      </c>
      <c r="EI74" t="e">
        <f>AND('6to. Secre.'!#REF!,"AAAAAHP+b4o=")</f>
        <v>#REF!</v>
      </c>
      <c r="EJ74" t="e">
        <f>AND('6to. Secre.'!#REF!,"AAAAAHP+b4s=")</f>
        <v>#REF!</v>
      </c>
      <c r="EK74" t="e">
        <f>AND('6to. Secre.'!#REF!,"AAAAAHP+b4w=")</f>
        <v>#REF!</v>
      </c>
      <c r="EL74" t="e">
        <f>AND('6to. Secre.'!#REF!,"AAAAAHP+b40=")</f>
        <v>#REF!</v>
      </c>
      <c r="EM74" t="e">
        <f>AND('6to. Secre.'!#REF!,"AAAAAHP+b44=")</f>
        <v>#REF!</v>
      </c>
      <c r="EN74" t="e">
        <f>AND('6to. Secre.'!#REF!,"AAAAAHP+b48=")</f>
        <v>#REF!</v>
      </c>
      <c r="EO74" t="e">
        <f>AND('6to. Secre.'!#REF!,"AAAAAHP+b5A=")</f>
        <v>#REF!</v>
      </c>
      <c r="EP74" t="e">
        <f>AND('6to. Secre.'!#REF!,"AAAAAHP+b5E=")</f>
        <v>#REF!</v>
      </c>
      <c r="EQ74" t="e">
        <f>AND('6to. Secre.'!#REF!,"AAAAAHP+b5I=")</f>
        <v>#REF!</v>
      </c>
      <c r="ER74" t="e">
        <f>AND('6to. Secre.'!#REF!,"AAAAAHP+b5M=")</f>
        <v>#REF!</v>
      </c>
      <c r="ES74" t="e">
        <f>AND('6to. Secre.'!#REF!,"AAAAAHP+b5Q=")</f>
        <v>#REF!</v>
      </c>
      <c r="ET74" t="e">
        <f>AND('6to. Secre.'!#REF!,"AAAAAHP+b5U=")</f>
        <v>#REF!</v>
      </c>
      <c r="EU74" t="e">
        <f>IF('6to. Secre.'!#REF!,"AAAAAHP+b5Y=",0)</f>
        <v>#REF!</v>
      </c>
      <c r="EV74" t="e">
        <f>AND('6to. Secre.'!#REF!,"AAAAAHP+b5c=")</f>
        <v>#REF!</v>
      </c>
      <c r="EW74" t="e">
        <f>AND('6to. Secre.'!#REF!,"AAAAAHP+b5g=")</f>
        <v>#REF!</v>
      </c>
      <c r="EX74" t="e">
        <f>AND('6to. Secre.'!#REF!,"AAAAAHP+b5k=")</f>
        <v>#REF!</v>
      </c>
      <c r="EY74" t="e">
        <f>AND('6to. Secre.'!#REF!,"AAAAAHP+b5o=")</f>
        <v>#REF!</v>
      </c>
      <c r="EZ74" t="e">
        <f>AND('6to. Secre.'!#REF!,"AAAAAHP+b5s=")</f>
        <v>#REF!</v>
      </c>
      <c r="FA74" t="e">
        <f>AND('6to. Secre.'!#REF!,"AAAAAHP+b5w=")</f>
        <v>#REF!</v>
      </c>
      <c r="FB74" t="e">
        <f>AND('6to. Secre.'!#REF!,"AAAAAHP+b50=")</f>
        <v>#REF!</v>
      </c>
      <c r="FC74" t="e">
        <f>AND('6to. Secre.'!#REF!,"AAAAAHP+b54=")</f>
        <v>#REF!</v>
      </c>
      <c r="FD74" t="e">
        <f>AND('6to. Secre.'!#REF!,"AAAAAHP+b58=")</f>
        <v>#REF!</v>
      </c>
      <c r="FE74" t="e">
        <f>AND('6to. Secre.'!#REF!,"AAAAAHP+b6A=")</f>
        <v>#REF!</v>
      </c>
      <c r="FF74" t="e">
        <f>AND('6to. Secre.'!#REF!,"AAAAAHP+b6E=")</f>
        <v>#REF!</v>
      </c>
      <c r="FG74" t="e">
        <f>AND('6to. Secre.'!#REF!,"AAAAAHP+b6I=")</f>
        <v>#REF!</v>
      </c>
      <c r="FH74" t="e">
        <f>AND('6to. Secre.'!#REF!,"AAAAAHP+b6M=")</f>
        <v>#REF!</v>
      </c>
      <c r="FI74" t="e">
        <f>AND('6to. Secre.'!#REF!,"AAAAAHP+b6Q=")</f>
        <v>#REF!</v>
      </c>
      <c r="FJ74" t="e">
        <f>AND('6to. Secre.'!#REF!,"AAAAAHP+b6U=")</f>
        <v>#REF!</v>
      </c>
      <c r="FK74" t="e">
        <f>AND('6to. Secre.'!#REF!,"AAAAAHP+b6Y=")</f>
        <v>#REF!</v>
      </c>
      <c r="FL74" t="e">
        <f>AND('6to. Secre.'!#REF!,"AAAAAHP+b6c=")</f>
        <v>#REF!</v>
      </c>
      <c r="FM74" t="e">
        <f>AND('6to. Secre.'!#REF!,"AAAAAHP+b6g=")</f>
        <v>#REF!</v>
      </c>
      <c r="FN74" t="e">
        <f>AND('6to. Secre.'!#REF!,"AAAAAHP+b6k=")</f>
        <v>#REF!</v>
      </c>
      <c r="FO74" t="e">
        <f>AND('6to. Secre.'!#REF!,"AAAAAHP+b6o=")</f>
        <v>#REF!</v>
      </c>
      <c r="FP74" t="e">
        <f>AND('6to. Secre.'!#REF!,"AAAAAHP+b6s=")</f>
        <v>#REF!</v>
      </c>
      <c r="FQ74" t="e">
        <f>AND('6to. Secre.'!#REF!,"AAAAAHP+b6w=")</f>
        <v>#REF!</v>
      </c>
      <c r="FR74" t="e">
        <f>AND('6to. Secre.'!#REF!,"AAAAAHP+b60=")</f>
        <v>#REF!</v>
      </c>
      <c r="FS74" t="e">
        <f>AND('6to. Secre.'!#REF!,"AAAAAHP+b64=")</f>
        <v>#REF!</v>
      </c>
      <c r="FT74" t="e">
        <f>AND('6to. Secre.'!#REF!,"AAAAAHP+b68=")</f>
        <v>#REF!</v>
      </c>
      <c r="FU74" t="e">
        <f>IF('6to. Secre.'!#REF!,"AAAAAHP+b7A=",0)</f>
        <v>#REF!</v>
      </c>
      <c r="FV74" t="e">
        <f>AND('6to. Secre.'!#REF!,"AAAAAHP+b7E=")</f>
        <v>#REF!</v>
      </c>
      <c r="FW74" t="e">
        <f>AND('6to. Secre.'!#REF!,"AAAAAHP+b7I=")</f>
        <v>#REF!</v>
      </c>
      <c r="FX74" t="e">
        <f>AND('6to. Secre.'!#REF!,"AAAAAHP+b7M=")</f>
        <v>#REF!</v>
      </c>
      <c r="FY74" t="e">
        <f>AND('6to. Secre.'!#REF!,"AAAAAHP+b7Q=")</f>
        <v>#REF!</v>
      </c>
      <c r="FZ74" t="e">
        <f>AND('6to. Secre.'!#REF!,"AAAAAHP+b7U=")</f>
        <v>#REF!</v>
      </c>
      <c r="GA74" t="e">
        <f>AND('6to. Secre.'!#REF!,"AAAAAHP+b7Y=")</f>
        <v>#REF!</v>
      </c>
      <c r="GB74" t="e">
        <f>AND('6to. Secre.'!#REF!,"AAAAAHP+b7c=")</f>
        <v>#REF!</v>
      </c>
      <c r="GC74" t="e">
        <f>AND('6to. Secre.'!#REF!,"AAAAAHP+b7g=")</f>
        <v>#REF!</v>
      </c>
      <c r="GD74" t="e">
        <f>AND('6to. Secre.'!#REF!,"AAAAAHP+b7k=")</f>
        <v>#REF!</v>
      </c>
      <c r="GE74" t="e">
        <f>AND('6to. Secre.'!#REF!,"AAAAAHP+b7o=")</f>
        <v>#REF!</v>
      </c>
      <c r="GF74" t="e">
        <f>AND('6to. Secre.'!#REF!,"AAAAAHP+b7s=")</f>
        <v>#REF!</v>
      </c>
      <c r="GG74" t="e">
        <f>AND('6to. Secre.'!#REF!,"AAAAAHP+b7w=")</f>
        <v>#REF!</v>
      </c>
      <c r="GH74" t="e">
        <f>AND('6to. Secre.'!#REF!,"AAAAAHP+b70=")</f>
        <v>#REF!</v>
      </c>
      <c r="GI74" t="e">
        <f>AND('6to. Secre.'!#REF!,"AAAAAHP+b74=")</f>
        <v>#REF!</v>
      </c>
      <c r="GJ74" t="e">
        <f>AND('6to. Secre.'!#REF!,"AAAAAHP+b78=")</f>
        <v>#REF!</v>
      </c>
      <c r="GK74" t="e">
        <f>AND('6to. Secre.'!#REF!,"AAAAAHP+b8A=")</f>
        <v>#REF!</v>
      </c>
      <c r="GL74" t="e">
        <f>AND('6to. Secre.'!#REF!,"AAAAAHP+b8E=")</f>
        <v>#REF!</v>
      </c>
      <c r="GM74" t="e">
        <f>AND('6to. Secre.'!#REF!,"AAAAAHP+b8I=")</f>
        <v>#REF!</v>
      </c>
      <c r="GN74" t="e">
        <f>AND('6to. Secre.'!#REF!,"AAAAAHP+b8M=")</f>
        <v>#REF!</v>
      </c>
      <c r="GO74" t="e">
        <f>AND('6to. Secre.'!#REF!,"AAAAAHP+b8Q=")</f>
        <v>#REF!</v>
      </c>
      <c r="GP74" t="e">
        <f>AND('6to. Secre.'!#REF!,"AAAAAHP+b8U=")</f>
        <v>#REF!</v>
      </c>
      <c r="GQ74" t="e">
        <f>AND('6to. Secre.'!#REF!,"AAAAAHP+b8Y=")</f>
        <v>#REF!</v>
      </c>
      <c r="GR74" t="e">
        <f>AND('6to. Secre.'!#REF!,"AAAAAHP+b8c=")</f>
        <v>#REF!</v>
      </c>
      <c r="GS74" t="e">
        <f>AND('6to. Secre.'!#REF!,"AAAAAHP+b8g=")</f>
        <v>#REF!</v>
      </c>
      <c r="GT74" t="e">
        <f>AND('6to. Secre.'!#REF!,"AAAAAHP+b8k=")</f>
        <v>#REF!</v>
      </c>
      <c r="GU74" t="e">
        <f>IF('6to. Secre.'!#REF!,"AAAAAHP+b8o=",0)</f>
        <v>#REF!</v>
      </c>
      <c r="GV74" t="e">
        <f>AND('6to. Secre.'!#REF!,"AAAAAHP+b8s=")</f>
        <v>#REF!</v>
      </c>
      <c r="GW74" t="e">
        <f>AND('6to. Secre.'!#REF!,"AAAAAHP+b8w=")</f>
        <v>#REF!</v>
      </c>
      <c r="GX74" t="e">
        <f>AND('6to. Secre.'!#REF!,"AAAAAHP+b80=")</f>
        <v>#REF!</v>
      </c>
      <c r="GY74" t="e">
        <f>AND('6to. Secre.'!#REF!,"AAAAAHP+b84=")</f>
        <v>#REF!</v>
      </c>
      <c r="GZ74" t="e">
        <f>AND('6to. Secre.'!#REF!,"AAAAAHP+b88=")</f>
        <v>#REF!</v>
      </c>
      <c r="HA74" t="e">
        <f>AND('6to. Secre.'!#REF!,"AAAAAHP+b9A=")</f>
        <v>#REF!</v>
      </c>
      <c r="HB74" t="e">
        <f>AND('6to. Secre.'!#REF!,"AAAAAHP+b9E=")</f>
        <v>#REF!</v>
      </c>
      <c r="HC74" t="e">
        <f>AND('6to. Secre.'!#REF!,"AAAAAHP+b9I=")</f>
        <v>#REF!</v>
      </c>
      <c r="HD74" t="e">
        <f>AND('6to. Secre.'!#REF!,"AAAAAHP+b9M=")</f>
        <v>#REF!</v>
      </c>
      <c r="HE74" t="e">
        <f>AND('6to. Secre.'!#REF!,"AAAAAHP+b9Q=")</f>
        <v>#REF!</v>
      </c>
      <c r="HF74" t="e">
        <f>AND('6to. Secre.'!#REF!,"AAAAAHP+b9U=")</f>
        <v>#REF!</v>
      </c>
      <c r="HG74" t="e">
        <f>AND('6to. Secre.'!#REF!,"AAAAAHP+b9Y=")</f>
        <v>#REF!</v>
      </c>
      <c r="HH74" t="e">
        <f>AND('6to. Secre.'!#REF!,"AAAAAHP+b9c=")</f>
        <v>#REF!</v>
      </c>
      <c r="HI74" t="e">
        <f>AND('6to. Secre.'!#REF!,"AAAAAHP+b9g=")</f>
        <v>#REF!</v>
      </c>
      <c r="HJ74" t="e">
        <f>AND('6to. Secre.'!#REF!,"AAAAAHP+b9k=")</f>
        <v>#REF!</v>
      </c>
      <c r="HK74" t="e">
        <f>AND('6to. Secre.'!#REF!,"AAAAAHP+b9o=")</f>
        <v>#REF!</v>
      </c>
      <c r="HL74" t="e">
        <f>AND('6to. Secre.'!#REF!,"AAAAAHP+b9s=")</f>
        <v>#REF!</v>
      </c>
      <c r="HM74" t="e">
        <f>AND('6to. Secre.'!#REF!,"AAAAAHP+b9w=")</f>
        <v>#REF!</v>
      </c>
      <c r="HN74" t="e">
        <f>AND('6to. Secre.'!#REF!,"AAAAAHP+b90=")</f>
        <v>#REF!</v>
      </c>
      <c r="HO74" t="e">
        <f>AND('6to. Secre.'!#REF!,"AAAAAHP+b94=")</f>
        <v>#REF!</v>
      </c>
      <c r="HP74" t="e">
        <f>AND('6to. Secre.'!#REF!,"AAAAAHP+b98=")</f>
        <v>#REF!</v>
      </c>
      <c r="HQ74" t="e">
        <f>AND('6to. Secre.'!#REF!,"AAAAAHP+b+A=")</f>
        <v>#REF!</v>
      </c>
      <c r="HR74" t="e">
        <f>AND('6to. Secre.'!#REF!,"AAAAAHP+b+E=")</f>
        <v>#REF!</v>
      </c>
      <c r="HS74" t="e">
        <f>AND('6to. Secre.'!#REF!,"AAAAAHP+b+I=")</f>
        <v>#REF!</v>
      </c>
      <c r="HT74" t="e">
        <f>AND('6to. Secre.'!#REF!,"AAAAAHP+b+M=")</f>
        <v>#REF!</v>
      </c>
      <c r="HU74" t="e">
        <f>IF('6to. Secre.'!#REF!,"AAAAAHP+b+Q=",0)</f>
        <v>#REF!</v>
      </c>
      <c r="HV74" t="e">
        <f>AND('6to. Secre.'!#REF!,"AAAAAHP+b+U=")</f>
        <v>#REF!</v>
      </c>
      <c r="HW74" t="e">
        <f>AND('6to. Secre.'!#REF!,"AAAAAHP+b+Y=")</f>
        <v>#REF!</v>
      </c>
      <c r="HX74" t="e">
        <f>AND('6to. Secre.'!#REF!,"AAAAAHP+b+c=")</f>
        <v>#REF!</v>
      </c>
      <c r="HY74" t="e">
        <f>AND('6to. Secre.'!#REF!,"AAAAAHP+b+g=")</f>
        <v>#REF!</v>
      </c>
      <c r="HZ74" t="e">
        <f>AND('6to. Secre.'!#REF!,"AAAAAHP+b+k=")</f>
        <v>#REF!</v>
      </c>
      <c r="IA74" t="e">
        <f>AND('6to. Secre.'!#REF!,"AAAAAHP+b+o=")</f>
        <v>#REF!</v>
      </c>
      <c r="IB74" t="e">
        <f>AND('6to. Secre.'!#REF!,"AAAAAHP+b+s=")</f>
        <v>#REF!</v>
      </c>
      <c r="IC74" t="e">
        <f>AND('6to. Secre.'!#REF!,"AAAAAHP+b+w=")</f>
        <v>#REF!</v>
      </c>
      <c r="ID74" t="e">
        <f>AND('6to. Secre.'!#REF!,"AAAAAHP+b+0=")</f>
        <v>#REF!</v>
      </c>
      <c r="IE74" t="e">
        <f>AND('6to. Secre.'!#REF!,"AAAAAHP+b+4=")</f>
        <v>#REF!</v>
      </c>
      <c r="IF74" t="e">
        <f>AND('6to. Secre.'!#REF!,"AAAAAHP+b+8=")</f>
        <v>#REF!</v>
      </c>
      <c r="IG74" t="e">
        <f>AND('6to. Secre.'!#REF!,"AAAAAHP+b/A=")</f>
        <v>#REF!</v>
      </c>
      <c r="IH74" t="e">
        <f>AND('6to. Secre.'!#REF!,"AAAAAHP+b/E=")</f>
        <v>#REF!</v>
      </c>
      <c r="II74" t="e">
        <f>AND('6to. Secre.'!#REF!,"AAAAAHP+b/I=")</f>
        <v>#REF!</v>
      </c>
      <c r="IJ74" t="e">
        <f>AND('6to. Secre.'!#REF!,"AAAAAHP+b/M=")</f>
        <v>#REF!</v>
      </c>
      <c r="IK74" t="e">
        <f>AND('6to. Secre.'!#REF!,"AAAAAHP+b/Q=")</f>
        <v>#REF!</v>
      </c>
      <c r="IL74" t="e">
        <f>AND('6to. Secre.'!#REF!,"AAAAAHP+b/U=")</f>
        <v>#REF!</v>
      </c>
      <c r="IM74" t="e">
        <f>AND('6to. Secre.'!#REF!,"AAAAAHP+b/Y=")</f>
        <v>#REF!</v>
      </c>
      <c r="IN74" t="e">
        <f>AND('6to. Secre.'!#REF!,"AAAAAHP+b/c=")</f>
        <v>#REF!</v>
      </c>
      <c r="IO74" t="e">
        <f>AND('6to. Secre.'!#REF!,"AAAAAHP+b/g=")</f>
        <v>#REF!</v>
      </c>
      <c r="IP74" t="e">
        <f>AND('6to. Secre.'!#REF!,"AAAAAHP+b/k=")</f>
        <v>#REF!</v>
      </c>
      <c r="IQ74" t="e">
        <f>AND('6to. Secre.'!#REF!,"AAAAAHP+b/o=")</f>
        <v>#REF!</v>
      </c>
      <c r="IR74" t="e">
        <f>AND('6to. Secre.'!#REF!,"AAAAAHP+b/s=")</f>
        <v>#REF!</v>
      </c>
      <c r="IS74" t="e">
        <f>AND('6to. Secre.'!#REF!,"AAAAAHP+b/w=")</f>
        <v>#REF!</v>
      </c>
      <c r="IT74" t="e">
        <f>AND('6to. Secre.'!#REF!,"AAAAAHP+b/0=")</f>
        <v>#REF!</v>
      </c>
      <c r="IU74" t="e">
        <f>IF('6to. Secre.'!#REF!,"AAAAAHP+b/4=",0)</f>
        <v>#REF!</v>
      </c>
      <c r="IV74" t="e">
        <f>AND('6to. Secre.'!#REF!,"AAAAAHP+b/8=")</f>
        <v>#REF!</v>
      </c>
    </row>
    <row r="75" spans="1:256">
      <c r="A75" t="e">
        <f>AND('6to. Secre.'!#REF!,"AAAAAD+//AA=")</f>
        <v>#REF!</v>
      </c>
      <c r="B75" t="e">
        <f>AND('6to. Secre.'!#REF!,"AAAAAD+//AE=")</f>
        <v>#REF!</v>
      </c>
      <c r="C75" t="e">
        <f>AND('6to. Secre.'!#REF!,"AAAAAD+//AI=")</f>
        <v>#REF!</v>
      </c>
      <c r="D75" t="e">
        <f>AND('6to. Secre.'!#REF!,"AAAAAD+//AM=")</f>
        <v>#REF!</v>
      </c>
      <c r="E75" t="e">
        <f>AND('6to. Secre.'!#REF!,"AAAAAD+//AQ=")</f>
        <v>#REF!</v>
      </c>
      <c r="F75" t="e">
        <f>AND('6to. Secre.'!#REF!,"AAAAAD+//AU=")</f>
        <v>#REF!</v>
      </c>
      <c r="G75" t="e">
        <f>AND('6to. Secre.'!#REF!,"AAAAAD+//AY=")</f>
        <v>#REF!</v>
      </c>
      <c r="H75" t="e">
        <f>AND('6to. Secre.'!#REF!,"AAAAAD+//Ac=")</f>
        <v>#REF!</v>
      </c>
      <c r="I75" t="e">
        <f>AND('6to. Secre.'!#REF!,"AAAAAD+//Ag=")</f>
        <v>#REF!</v>
      </c>
      <c r="J75" t="e">
        <f>AND('6to. Secre.'!#REF!,"AAAAAD+//Ak=")</f>
        <v>#REF!</v>
      </c>
      <c r="K75" t="e">
        <f>AND('6to. Secre.'!#REF!,"AAAAAD+//Ao=")</f>
        <v>#REF!</v>
      </c>
      <c r="L75" t="e">
        <f>AND('6to. Secre.'!#REF!,"AAAAAD+//As=")</f>
        <v>#REF!</v>
      </c>
      <c r="M75" t="e">
        <f>AND('6to. Secre.'!#REF!,"AAAAAD+//Aw=")</f>
        <v>#REF!</v>
      </c>
      <c r="N75" t="e">
        <f>AND('6to. Secre.'!#REF!,"AAAAAD+//A0=")</f>
        <v>#REF!</v>
      </c>
      <c r="O75" t="e">
        <f>AND('6to. Secre.'!#REF!,"AAAAAD+//A4=")</f>
        <v>#REF!</v>
      </c>
      <c r="P75" t="e">
        <f>AND('6to. Secre.'!#REF!,"AAAAAD+//A8=")</f>
        <v>#REF!</v>
      </c>
      <c r="Q75" t="e">
        <f>AND('6to. Secre.'!#REF!,"AAAAAD+//BA=")</f>
        <v>#REF!</v>
      </c>
      <c r="R75" t="e">
        <f>AND('6to. Secre.'!#REF!,"AAAAAD+//BE=")</f>
        <v>#REF!</v>
      </c>
      <c r="S75" t="e">
        <f>AND('6to. Secre.'!#REF!,"AAAAAD+//BI=")</f>
        <v>#REF!</v>
      </c>
      <c r="T75" t="e">
        <f>AND('6to. Secre.'!#REF!,"AAAAAD+//BM=")</f>
        <v>#REF!</v>
      </c>
      <c r="U75" t="e">
        <f>AND('6to. Secre.'!#REF!,"AAAAAD+//BQ=")</f>
        <v>#REF!</v>
      </c>
      <c r="V75" t="e">
        <f>AND('6to. Secre.'!#REF!,"AAAAAD+//BU=")</f>
        <v>#REF!</v>
      </c>
      <c r="W75" t="e">
        <f>AND('6to. Secre.'!#REF!,"AAAAAD+//BY=")</f>
        <v>#REF!</v>
      </c>
      <c r="X75" t="e">
        <f>AND('6to. Secre.'!#REF!,"AAAAAD+//Bc=")</f>
        <v>#REF!</v>
      </c>
      <c r="Y75" t="e">
        <f>IF('6to. Secre.'!#REF!,"AAAAAD+//Bg=",0)</f>
        <v>#REF!</v>
      </c>
      <c r="Z75" t="e">
        <f>AND('6to. Secre.'!#REF!,"AAAAAD+//Bk=")</f>
        <v>#REF!</v>
      </c>
      <c r="AA75" t="e">
        <f>AND('6to. Secre.'!#REF!,"AAAAAD+//Bo=")</f>
        <v>#REF!</v>
      </c>
      <c r="AB75" t="e">
        <f>AND('6to. Secre.'!#REF!,"AAAAAD+//Bs=")</f>
        <v>#REF!</v>
      </c>
      <c r="AC75" t="e">
        <f>AND('6to. Secre.'!#REF!,"AAAAAD+//Bw=")</f>
        <v>#REF!</v>
      </c>
      <c r="AD75" t="e">
        <f>AND('6to. Secre.'!#REF!,"AAAAAD+//B0=")</f>
        <v>#REF!</v>
      </c>
      <c r="AE75" t="e">
        <f>AND('6to. Secre.'!#REF!,"AAAAAD+//B4=")</f>
        <v>#REF!</v>
      </c>
      <c r="AF75" t="e">
        <f>AND('6to. Secre.'!#REF!,"AAAAAD+//B8=")</f>
        <v>#REF!</v>
      </c>
      <c r="AG75" t="e">
        <f>AND('6to. Secre.'!#REF!,"AAAAAD+//CA=")</f>
        <v>#REF!</v>
      </c>
      <c r="AH75" t="e">
        <f>AND('6to. Secre.'!#REF!,"AAAAAD+//CE=")</f>
        <v>#REF!</v>
      </c>
      <c r="AI75" t="e">
        <f>AND('6to. Secre.'!#REF!,"AAAAAD+//CI=")</f>
        <v>#REF!</v>
      </c>
      <c r="AJ75" t="e">
        <f>AND('6to. Secre.'!#REF!,"AAAAAD+//CM=")</f>
        <v>#REF!</v>
      </c>
      <c r="AK75" t="e">
        <f>AND('6to. Secre.'!#REF!,"AAAAAD+//CQ=")</f>
        <v>#REF!</v>
      </c>
      <c r="AL75" t="e">
        <f>AND('6to. Secre.'!#REF!,"AAAAAD+//CU=")</f>
        <v>#REF!</v>
      </c>
      <c r="AM75" t="e">
        <f>AND('6to. Secre.'!#REF!,"AAAAAD+//CY=")</f>
        <v>#REF!</v>
      </c>
      <c r="AN75" t="e">
        <f>AND('6to. Secre.'!#REF!,"AAAAAD+//Cc=")</f>
        <v>#REF!</v>
      </c>
      <c r="AO75" t="e">
        <f>AND('6to. Secre.'!#REF!,"AAAAAD+//Cg=")</f>
        <v>#REF!</v>
      </c>
      <c r="AP75" t="e">
        <f>AND('6to. Secre.'!#REF!,"AAAAAD+//Ck=")</f>
        <v>#REF!</v>
      </c>
      <c r="AQ75" t="e">
        <f>AND('6to. Secre.'!#REF!,"AAAAAD+//Co=")</f>
        <v>#REF!</v>
      </c>
      <c r="AR75" t="e">
        <f>AND('6to. Secre.'!#REF!,"AAAAAD+//Cs=")</f>
        <v>#REF!</v>
      </c>
      <c r="AS75" t="e">
        <f>AND('6to. Secre.'!#REF!,"AAAAAD+//Cw=")</f>
        <v>#REF!</v>
      </c>
      <c r="AT75" t="e">
        <f>AND('6to. Secre.'!#REF!,"AAAAAD+//C0=")</f>
        <v>#REF!</v>
      </c>
      <c r="AU75" t="e">
        <f>AND('6to. Secre.'!#REF!,"AAAAAD+//C4=")</f>
        <v>#REF!</v>
      </c>
      <c r="AV75" t="e">
        <f>AND('6to. Secre.'!#REF!,"AAAAAD+//C8=")</f>
        <v>#REF!</v>
      </c>
      <c r="AW75" t="e">
        <f>AND('6to. Secre.'!#REF!,"AAAAAD+//DA=")</f>
        <v>#REF!</v>
      </c>
      <c r="AX75" t="e">
        <f>AND('6to. Secre.'!#REF!,"AAAAAD+//DE=")</f>
        <v>#REF!</v>
      </c>
      <c r="AY75" t="e">
        <f>IF('6to. Secre.'!#REF!,"AAAAAD+//DI=",0)</f>
        <v>#REF!</v>
      </c>
      <c r="AZ75" t="e">
        <f>AND('6to. Secre.'!#REF!,"AAAAAD+//DM=")</f>
        <v>#REF!</v>
      </c>
      <c r="BA75" t="e">
        <f>AND('6to. Secre.'!#REF!,"AAAAAD+//DQ=")</f>
        <v>#REF!</v>
      </c>
      <c r="BB75" t="e">
        <f>AND('6to. Secre.'!#REF!,"AAAAAD+//DU=")</f>
        <v>#REF!</v>
      </c>
      <c r="BC75" t="e">
        <f>AND('6to. Secre.'!#REF!,"AAAAAD+//DY=")</f>
        <v>#REF!</v>
      </c>
      <c r="BD75" t="e">
        <f>AND('6to. Secre.'!#REF!,"AAAAAD+//Dc=")</f>
        <v>#REF!</v>
      </c>
      <c r="BE75" t="e">
        <f>AND('6to. Secre.'!#REF!,"AAAAAD+//Dg=")</f>
        <v>#REF!</v>
      </c>
      <c r="BF75" t="e">
        <f>AND('6to. Secre.'!#REF!,"AAAAAD+//Dk=")</f>
        <v>#REF!</v>
      </c>
      <c r="BG75" t="e">
        <f>AND('6to. Secre.'!#REF!,"AAAAAD+//Do=")</f>
        <v>#REF!</v>
      </c>
      <c r="BH75" t="e">
        <f>AND('6to. Secre.'!#REF!,"AAAAAD+//Ds=")</f>
        <v>#REF!</v>
      </c>
      <c r="BI75" t="e">
        <f>AND('6to. Secre.'!#REF!,"AAAAAD+//Dw=")</f>
        <v>#REF!</v>
      </c>
      <c r="BJ75" t="e">
        <f>AND('6to. Secre.'!#REF!,"AAAAAD+//D0=")</f>
        <v>#REF!</v>
      </c>
      <c r="BK75" t="e">
        <f>AND('6to. Secre.'!#REF!,"AAAAAD+//D4=")</f>
        <v>#REF!</v>
      </c>
      <c r="BL75" t="e">
        <f>AND('6to. Secre.'!#REF!,"AAAAAD+//D8=")</f>
        <v>#REF!</v>
      </c>
      <c r="BM75" t="e">
        <f>AND('6to. Secre.'!#REF!,"AAAAAD+//EA=")</f>
        <v>#REF!</v>
      </c>
      <c r="BN75" t="e">
        <f>AND('6to. Secre.'!#REF!,"AAAAAD+//EE=")</f>
        <v>#REF!</v>
      </c>
      <c r="BO75" t="e">
        <f>AND('6to. Secre.'!#REF!,"AAAAAD+//EI=")</f>
        <v>#REF!</v>
      </c>
      <c r="BP75" t="e">
        <f>AND('6to. Secre.'!#REF!,"AAAAAD+//EM=")</f>
        <v>#REF!</v>
      </c>
      <c r="BQ75" t="e">
        <f>AND('6to. Secre.'!#REF!,"AAAAAD+//EQ=")</f>
        <v>#REF!</v>
      </c>
      <c r="BR75" t="e">
        <f>AND('6to. Secre.'!#REF!,"AAAAAD+//EU=")</f>
        <v>#REF!</v>
      </c>
      <c r="BS75" t="e">
        <f>AND('6to. Secre.'!#REF!,"AAAAAD+//EY=")</f>
        <v>#REF!</v>
      </c>
      <c r="BT75" t="e">
        <f>AND('6to. Secre.'!#REF!,"AAAAAD+//Ec=")</f>
        <v>#REF!</v>
      </c>
      <c r="BU75" t="e">
        <f>AND('6to. Secre.'!#REF!,"AAAAAD+//Eg=")</f>
        <v>#REF!</v>
      </c>
      <c r="BV75" t="e">
        <f>AND('6to. Secre.'!#REF!,"AAAAAD+//Ek=")</f>
        <v>#REF!</v>
      </c>
      <c r="BW75" t="e">
        <f>AND('6to. Secre.'!#REF!,"AAAAAD+//Eo=")</f>
        <v>#REF!</v>
      </c>
      <c r="BX75" t="e">
        <f>AND('6to. Secre.'!#REF!,"AAAAAD+//Es=")</f>
        <v>#REF!</v>
      </c>
      <c r="BY75" t="e">
        <f>IF('6to. Secre.'!#REF!,"AAAAAD+//Ew=",0)</f>
        <v>#REF!</v>
      </c>
      <c r="BZ75" t="e">
        <f>AND('6to. Secre.'!#REF!,"AAAAAD+//E0=")</f>
        <v>#REF!</v>
      </c>
      <c r="CA75" t="e">
        <f>AND('6to. Secre.'!#REF!,"AAAAAD+//E4=")</f>
        <v>#REF!</v>
      </c>
      <c r="CB75" t="e">
        <f>AND('6to. Secre.'!#REF!,"AAAAAD+//E8=")</f>
        <v>#REF!</v>
      </c>
      <c r="CC75" t="e">
        <f>AND('6to. Secre.'!#REF!,"AAAAAD+//FA=")</f>
        <v>#REF!</v>
      </c>
      <c r="CD75" t="e">
        <f>AND('6to. Secre.'!#REF!,"AAAAAD+//FE=")</f>
        <v>#REF!</v>
      </c>
      <c r="CE75" t="e">
        <f>AND('6to. Secre.'!#REF!,"AAAAAD+//FI=")</f>
        <v>#REF!</v>
      </c>
      <c r="CF75" t="e">
        <f>AND('6to. Secre.'!#REF!,"AAAAAD+//FM=")</f>
        <v>#REF!</v>
      </c>
      <c r="CG75" t="e">
        <f>AND('6to. Secre.'!#REF!,"AAAAAD+//FQ=")</f>
        <v>#REF!</v>
      </c>
      <c r="CH75" t="e">
        <f>AND('6to. Secre.'!#REF!,"AAAAAD+//FU=")</f>
        <v>#REF!</v>
      </c>
      <c r="CI75" t="e">
        <f>AND('6to. Secre.'!#REF!,"AAAAAD+//FY=")</f>
        <v>#REF!</v>
      </c>
      <c r="CJ75" t="e">
        <f>AND('6to. Secre.'!#REF!,"AAAAAD+//Fc=")</f>
        <v>#REF!</v>
      </c>
      <c r="CK75" t="e">
        <f>AND('6to. Secre.'!#REF!,"AAAAAD+//Fg=")</f>
        <v>#REF!</v>
      </c>
      <c r="CL75" t="e">
        <f>AND('6to. Secre.'!#REF!,"AAAAAD+//Fk=")</f>
        <v>#REF!</v>
      </c>
      <c r="CM75" t="e">
        <f>AND('6to. Secre.'!#REF!,"AAAAAD+//Fo=")</f>
        <v>#REF!</v>
      </c>
      <c r="CN75" t="e">
        <f>AND('6to. Secre.'!#REF!,"AAAAAD+//Fs=")</f>
        <v>#REF!</v>
      </c>
      <c r="CO75" t="e">
        <f>AND('6to. Secre.'!#REF!,"AAAAAD+//Fw=")</f>
        <v>#REF!</v>
      </c>
      <c r="CP75" t="e">
        <f>AND('6to. Secre.'!#REF!,"AAAAAD+//F0=")</f>
        <v>#REF!</v>
      </c>
      <c r="CQ75" t="e">
        <f>AND('6to. Secre.'!#REF!,"AAAAAD+//F4=")</f>
        <v>#REF!</v>
      </c>
      <c r="CR75" t="e">
        <f>AND('6to. Secre.'!#REF!,"AAAAAD+//F8=")</f>
        <v>#REF!</v>
      </c>
      <c r="CS75" t="e">
        <f>AND('6to. Secre.'!#REF!,"AAAAAD+//GA=")</f>
        <v>#REF!</v>
      </c>
      <c r="CT75" t="e">
        <f>AND('6to. Secre.'!#REF!,"AAAAAD+//GE=")</f>
        <v>#REF!</v>
      </c>
      <c r="CU75" t="e">
        <f>AND('6to. Secre.'!#REF!,"AAAAAD+//GI=")</f>
        <v>#REF!</v>
      </c>
      <c r="CV75" t="e">
        <f>AND('6to. Secre.'!#REF!,"AAAAAD+//GM=")</f>
        <v>#REF!</v>
      </c>
      <c r="CW75" t="e">
        <f>AND('6to. Secre.'!#REF!,"AAAAAD+//GQ=")</f>
        <v>#REF!</v>
      </c>
      <c r="CX75" t="e">
        <f>AND('6to. Secre.'!#REF!,"AAAAAD+//GU=")</f>
        <v>#REF!</v>
      </c>
      <c r="CY75">
        <f>IF('6to. Secre.'!A:A,"AAAAAD+//GY=",0)</f>
        <v>0</v>
      </c>
      <c r="CZ75">
        <f>IF('6to. Secre.'!B:B,"AAAAAD+//Gc=",0)</f>
        <v>0</v>
      </c>
      <c r="DA75">
        <f>IF('6to. Secre.'!C:C,"AAAAAD+//Gg=",0)</f>
        <v>0</v>
      </c>
      <c r="DB75">
        <f>IF('6to. Secre.'!D:D,"AAAAAD+//Gk=",0)</f>
        <v>0</v>
      </c>
      <c r="DC75">
        <f>IF('6to. Secre.'!E:E,"AAAAAD+//Go=",0)</f>
        <v>0</v>
      </c>
      <c r="DD75">
        <f>IF('6to. Secre.'!F:F,"AAAAAD+//Gs=",0)</f>
        <v>0</v>
      </c>
      <c r="DE75">
        <f>IF('6to. Secre.'!G:G,"AAAAAD+//Gw=",0)</f>
        <v>0</v>
      </c>
      <c r="DF75">
        <f>IF('6to. Secre.'!H:H,"AAAAAD+//G0=",0)</f>
        <v>0</v>
      </c>
      <c r="DG75">
        <f>IF('6to. Secre.'!I:I,"AAAAAD+//G4=",0)</f>
        <v>0</v>
      </c>
      <c r="DH75">
        <f>IF('6to. Secre.'!J:J,"AAAAAD+//G8=",0)</f>
        <v>0</v>
      </c>
      <c r="DI75">
        <f>IF('6to. Secre.'!K:K,"AAAAAD+//HA=",0)</f>
        <v>0</v>
      </c>
      <c r="DJ75">
        <f>IF('6to. Secre.'!L:L,"AAAAAD+//HE=",0)</f>
        <v>0</v>
      </c>
      <c r="DK75">
        <f>IF('6to. Secre.'!M:M,"AAAAAD+//HI=",0)</f>
        <v>0</v>
      </c>
      <c r="DL75">
        <f>IF('6to. Secre.'!N:N,"AAAAAD+//HM=",0)</f>
        <v>0</v>
      </c>
      <c r="DM75">
        <f>IF('6to. Secre.'!O:O,"AAAAAD+//HQ=",0)</f>
        <v>0</v>
      </c>
      <c r="DN75">
        <f>IF('6to. Secre.'!P:P,"AAAAAD+//HU=",0)</f>
        <v>0</v>
      </c>
      <c r="DO75">
        <f>IF('6to. Secre.'!Q:Q,"AAAAAD+//HY=",0)</f>
        <v>0</v>
      </c>
      <c r="DP75">
        <f>IF('6to. Secre.'!R:R,"AAAAAD+//Hc=",0)</f>
        <v>0</v>
      </c>
      <c r="DQ75">
        <f>IF('6to. Secre.'!S:S,"AAAAAD+//Hg=",0)</f>
        <v>0</v>
      </c>
      <c r="DR75">
        <f>IF('6to. Secre.'!T:T,"AAAAAD+//Hk=",0)</f>
        <v>0</v>
      </c>
      <c r="DS75" t="e">
        <f>IF('6to. Secre.'!#REF!,"AAAAAD+//Ho=",0)</f>
        <v>#REF!</v>
      </c>
      <c r="DT75" t="e">
        <f>IF('6to. Secre.'!#REF!,"AAAAAD+//Hs=",0)</f>
        <v>#REF!</v>
      </c>
      <c r="DU75" t="e">
        <f>IF('6to. Secre.'!#REF!,"AAAAAD+//Hw=",0)</f>
        <v>#REF!</v>
      </c>
      <c r="DV75" t="e">
        <f>IF('6to. Secre.'!#REF!,"AAAAAD+//H0=",0)</f>
        <v>#REF!</v>
      </c>
      <c r="DW75" t="e">
        <f>IF('6to. Secre.'!#REF!,"AAAAAD+//H4=",0)</f>
        <v>#REF!</v>
      </c>
      <c r="DX75" t="e">
        <f>IF('6to. Perito'!#REF!,"AAAAAD+//H8=",0)</f>
        <v>#REF!</v>
      </c>
      <c r="DY75" t="e">
        <f>AND('6to. Perito'!#REF!,"AAAAAD+//IA=")</f>
        <v>#REF!</v>
      </c>
      <c r="DZ75" t="e">
        <f>AND('6to. Perito'!#REF!,"AAAAAD+//IE=")</f>
        <v>#REF!</v>
      </c>
      <c r="EA75" t="e">
        <f>AND('6to. Perito'!#REF!,"AAAAAD+//II=")</f>
        <v>#REF!</v>
      </c>
      <c r="EB75" t="e">
        <f>AND('6to. Perito'!#REF!,"AAAAAD+//IM=")</f>
        <v>#REF!</v>
      </c>
      <c r="EC75" t="e">
        <f>AND('6to. Perito'!#REF!,"AAAAAD+//IQ=")</f>
        <v>#REF!</v>
      </c>
      <c r="ED75" t="e">
        <f>AND('6to. Perito'!#REF!,"AAAAAD+//IU=")</f>
        <v>#REF!</v>
      </c>
      <c r="EE75" t="e">
        <f>AND('6to. Perito'!#REF!,"AAAAAD+//IY=")</f>
        <v>#REF!</v>
      </c>
      <c r="EF75" t="e">
        <f>AND('6to. Perito'!#REF!,"AAAAAD+//Ic=")</f>
        <v>#REF!</v>
      </c>
      <c r="EG75" t="e">
        <f>AND('6to. Perito'!#REF!,"AAAAAD+//Ig=")</f>
        <v>#REF!</v>
      </c>
      <c r="EH75" t="e">
        <f>AND('6to. Perito'!#REF!,"AAAAAD+//Ik=")</f>
        <v>#REF!</v>
      </c>
      <c r="EI75" t="e">
        <f>AND('6to. Perito'!#REF!,"AAAAAD+//Io=")</f>
        <v>#REF!</v>
      </c>
      <c r="EJ75" t="e">
        <f>AND('6to. Perito'!#REF!,"AAAAAD+//Is=")</f>
        <v>#REF!</v>
      </c>
      <c r="EK75" t="e">
        <f>AND('6to. Perito'!#REF!,"AAAAAD+//Iw=")</f>
        <v>#REF!</v>
      </c>
      <c r="EL75" t="e">
        <f>AND('6to. Perito'!#REF!,"AAAAAD+//I0=")</f>
        <v>#REF!</v>
      </c>
      <c r="EM75" t="e">
        <f>AND('6to. Perito'!#REF!,"AAAAAD+//I4=")</f>
        <v>#REF!</v>
      </c>
      <c r="EN75" t="e">
        <f>AND('6to. Perito'!#REF!,"AAAAAD+//I8=")</f>
        <v>#REF!</v>
      </c>
      <c r="EO75" t="e">
        <f>AND('6to. Perito'!#REF!,"AAAAAD+//JA=")</f>
        <v>#REF!</v>
      </c>
      <c r="EP75" t="e">
        <f>AND('6to. Perito'!#REF!,"AAAAAD+//JE=")</f>
        <v>#REF!</v>
      </c>
      <c r="EQ75" t="e">
        <f>AND('6to. Perito'!#REF!,"AAAAAD+//JI=")</f>
        <v>#REF!</v>
      </c>
      <c r="ER75" t="e">
        <f>AND('6to. Perito'!#REF!,"AAAAAD+//JM=")</f>
        <v>#REF!</v>
      </c>
      <c r="ES75" t="e">
        <f>AND('6to. Perito'!#REF!,"AAAAAD+//JQ=")</f>
        <v>#REF!</v>
      </c>
      <c r="ET75" t="e">
        <f>AND('6to. Perito'!#REF!,"AAAAAD+//JU=")</f>
        <v>#REF!</v>
      </c>
      <c r="EU75" t="e">
        <f>AND('6to. Perito'!#REF!,"AAAAAD+//JY=")</f>
        <v>#REF!</v>
      </c>
      <c r="EV75" t="e">
        <f>AND('6to. Perito'!#REF!,"AAAAAD+//Jc=")</f>
        <v>#REF!</v>
      </c>
      <c r="EW75" t="e">
        <f>AND('6to. Perito'!#REF!,"AAAAAD+//Jg=")</f>
        <v>#REF!</v>
      </c>
      <c r="EX75" t="e">
        <f>IF('6to. Perito'!#REF!,"AAAAAD+//Jk=",0)</f>
        <v>#REF!</v>
      </c>
      <c r="EY75" t="e">
        <f>AND('6to. Perito'!#REF!,"AAAAAD+//Jo=")</f>
        <v>#REF!</v>
      </c>
      <c r="EZ75" t="e">
        <f>AND('6to. Perito'!#REF!,"AAAAAD+//Js=")</f>
        <v>#REF!</v>
      </c>
      <c r="FA75" t="e">
        <f>AND('6to. Perito'!#REF!,"AAAAAD+//Jw=")</f>
        <v>#REF!</v>
      </c>
      <c r="FB75" t="e">
        <f>AND('6to. Perito'!#REF!,"AAAAAD+//J0=")</f>
        <v>#REF!</v>
      </c>
      <c r="FC75" t="e">
        <f>AND('6to. Perito'!#REF!,"AAAAAD+//J4=")</f>
        <v>#REF!</v>
      </c>
      <c r="FD75" t="e">
        <f>AND('6to. Perito'!#REF!,"AAAAAD+//J8=")</f>
        <v>#REF!</v>
      </c>
      <c r="FE75" t="e">
        <f>AND('6to. Perito'!#REF!,"AAAAAD+//KA=")</f>
        <v>#REF!</v>
      </c>
      <c r="FF75" t="e">
        <f>AND('6to. Perito'!#REF!,"AAAAAD+//KE=")</f>
        <v>#REF!</v>
      </c>
      <c r="FG75" t="e">
        <f>AND('6to. Perito'!#REF!,"AAAAAD+//KI=")</f>
        <v>#REF!</v>
      </c>
      <c r="FH75" t="e">
        <f>AND('6to. Perito'!#REF!,"AAAAAD+//KM=")</f>
        <v>#REF!</v>
      </c>
      <c r="FI75" t="e">
        <f>AND('6to. Perito'!#REF!,"AAAAAD+//KQ=")</f>
        <v>#REF!</v>
      </c>
      <c r="FJ75" t="e">
        <f>AND('6to. Perito'!#REF!,"AAAAAD+//KU=")</f>
        <v>#REF!</v>
      </c>
      <c r="FK75" t="e">
        <f>AND('6to. Perito'!#REF!,"AAAAAD+//KY=")</f>
        <v>#REF!</v>
      </c>
      <c r="FL75" t="e">
        <f>AND('6to. Perito'!#REF!,"AAAAAD+//Kc=")</f>
        <v>#REF!</v>
      </c>
      <c r="FM75" t="e">
        <f>AND('6to. Perito'!#REF!,"AAAAAD+//Kg=")</f>
        <v>#REF!</v>
      </c>
      <c r="FN75" t="e">
        <f>AND('6to. Perito'!#REF!,"AAAAAD+//Kk=")</f>
        <v>#REF!</v>
      </c>
      <c r="FO75" t="e">
        <f>AND('6to. Perito'!#REF!,"AAAAAD+//Ko=")</f>
        <v>#REF!</v>
      </c>
      <c r="FP75" t="e">
        <f>AND('6to. Perito'!#REF!,"AAAAAD+//Ks=")</f>
        <v>#REF!</v>
      </c>
      <c r="FQ75" t="e">
        <f>AND('6to. Perito'!#REF!,"AAAAAD+//Kw=")</f>
        <v>#REF!</v>
      </c>
      <c r="FR75" t="e">
        <f>AND('6to. Perito'!#REF!,"AAAAAD+//K0=")</f>
        <v>#REF!</v>
      </c>
      <c r="FS75" t="e">
        <f>AND('6to. Perito'!#REF!,"AAAAAD+//K4=")</f>
        <v>#REF!</v>
      </c>
      <c r="FT75" t="e">
        <f>AND('6to. Perito'!#REF!,"AAAAAD+//K8=")</f>
        <v>#REF!</v>
      </c>
      <c r="FU75" t="e">
        <f>AND('6to. Perito'!#REF!,"AAAAAD+//LA=")</f>
        <v>#REF!</v>
      </c>
      <c r="FV75" t="e">
        <f>AND('6to. Perito'!#REF!,"AAAAAD+//LE=")</f>
        <v>#REF!</v>
      </c>
      <c r="FW75" t="e">
        <f>AND('6to. Perito'!#REF!,"AAAAAD+//LI=")</f>
        <v>#REF!</v>
      </c>
      <c r="FX75" t="e">
        <f>IF('6to. Perito'!#REF!,"AAAAAD+//LM=",0)</f>
        <v>#REF!</v>
      </c>
      <c r="FY75" t="e">
        <f>AND('6to. Perito'!#REF!,"AAAAAD+//LQ=")</f>
        <v>#REF!</v>
      </c>
      <c r="FZ75" t="e">
        <f>AND('6to. Perito'!#REF!,"AAAAAD+//LU=")</f>
        <v>#REF!</v>
      </c>
      <c r="GA75" t="e">
        <f>AND('6to. Perito'!#REF!,"AAAAAD+//LY=")</f>
        <v>#REF!</v>
      </c>
      <c r="GB75" t="e">
        <f>AND('6to. Perito'!#REF!,"AAAAAD+//Lc=")</f>
        <v>#REF!</v>
      </c>
      <c r="GC75" t="e">
        <f>AND('6to. Perito'!#REF!,"AAAAAD+//Lg=")</f>
        <v>#REF!</v>
      </c>
      <c r="GD75" t="e">
        <f>AND('6to. Perito'!#REF!,"AAAAAD+//Lk=")</f>
        <v>#REF!</v>
      </c>
      <c r="GE75" t="e">
        <f>AND('6to. Perito'!#REF!,"AAAAAD+//Lo=")</f>
        <v>#REF!</v>
      </c>
      <c r="GF75" t="e">
        <f>AND('6to. Perito'!#REF!,"AAAAAD+//Ls=")</f>
        <v>#REF!</v>
      </c>
      <c r="GG75" t="e">
        <f>AND('6to. Perito'!#REF!,"AAAAAD+//Lw=")</f>
        <v>#REF!</v>
      </c>
      <c r="GH75" t="e">
        <f>AND('6to. Perito'!#REF!,"AAAAAD+//L0=")</f>
        <v>#REF!</v>
      </c>
      <c r="GI75" t="e">
        <f>AND('6to. Perito'!#REF!,"AAAAAD+//L4=")</f>
        <v>#REF!</v>
      </c>
      <c r="GJ75" t="e">
        <f>AND('6to. Perito'!#REF!,"AAAAAD+//L8=")</f>
        <v>#REF!</v>
      </c>
      <c r="GK75" t="e">
        <f>AND('6to. Perito'!#REF!,"AAAAAD+//MA=")</f>
        <v>#REF!</v>
      </c>
      <c r="GL75" t="e">
        <f>AND('6to. Perito'!#REF!,"AAAAAD+//ME=")</f>
        <v>#REF!</v>
      </c>
      <c r="GM75" t="e">
        <f>AND('6to. Perito'!#REF!,"AAAAAD+//MI=")</f>
        <v>#REF!</v>
      </c>
      <c r="GN75" t="e">
        <f>AND('6to. Perito'!#REF!,"AAAAAD+//MM=")</f>
        <v>#REF!</v>
      </c>
      <c r="GO75" t="e">
        <f>AND('6to. Perito'!#REF!,"AAAAAD+//MQ=")</f>
        <v>#REF!</v>
      </c>
      <c r="GP75" t="e">
        <f>AND('6to. Perito'!#REF!,"AAAAAD+//MU=")</f>
        <v>#REF!</v>
      </c>
      <c r="GQ75" t="e">
        <f>AND('6to. Perito'!#REF!,"AAAAAD+//MY=")</f>
        <v>#REF!</v>
      </c>
      <c r="GR75" t="e">
        <f>AND('6to. Perito'!#REF!,"AAAAAD+//Mc=")</f>
        <v>#REF!</v>
      </c>
      <c r="GS75" t="e">
        <f>AND('6to. Perito'!#REF!,"AAAAAD+//Mg=")</f>
        <v>#REF!</v>
      </c>
      <c r="GT75" t="e">
        <f>AND('6to. Perito'!#REF!,"AAAAAD+//Mk=")</f>
        <v>#REF!</v>
      </c>
      <c r="GU75" t="e">
        <f>AND('6to. Perito'!#REF!,"AAAAAD+//Mo=")</f>
        <v>#REF!</v>
      </c>
      <c r="GV75" t="e">
        <f>AND('6to. Perito'!#REF!,"AAAAAD+//Ms=")</f>
        <v>#REF!</v>
      </c>
      <c r="GW75" t="e">
        <f>AND('6to. Perito'!#REF!,"AAAAAD+//Mw=")</f>
        <v>#REF!</v>
      </c>
      <c r="GX75" t="e">
        <f>IF('6to. Perito'!#REF!,"AAAAAD+//M0=",0)</f>
        <v>#REF!</v>
      </c>
      <c r="GY75" t="e">
        <f>AND('6to. Perito'!#REF!,"AAAAAD+//M4=")</f>
        <v>#REF!</v>
      </c>
      <c r="GZ75" t="e">
        <f>AND('6to. Perito'!#REF!,"AAAAAD+//M8=")</f>
        <v>#REF!</v>
      </c>
      <c r="HA75" t="e">
        <f>AND('6to. Perito'!#REF!,"AAAAAD+//NA=")</f>
        <v>#REF!</v>
      </c>
      <c r="HB75" t="e">
        <f>AND('6to. Perito'!#REF!,"AAAAAD+//NE=")</f>
        <v>#REF!</v>
      </c>
      <c r="HC75" t="e">
        <f>AND('6to. Perito'!#REF!,"AAAAAD+//NI=")</f>
        <v>#REF!</v>
      </c>
      <c r="HD75" t="e">
        <f>AND('6to. Perito'!#REF!,"AAAAAD+//NM=")</f>
        <v>#REF!</v>
      </c>
      <c r="HE75" t="e">
        <f>AND('6to. Perito'!#REF!,"AAAAAD+//NQ=")</f>
        <v>#REF!</v>
      </c>
      <c r="HF75" t="e">
        <f>AND('6to. Perito'!#REF!,"AAAAAD+//NU=")</f>
        <v>#REF!</v>
      </c>
      <c r="HG75" t="e">
        <f>AND('6to. Perito'!#REF!,"AAAAAD+//NY=")</f>
        <v>#REF!</v>
      </c>
      <c r="HH75" t="e">
        <f>AND('6to. Perito'!#REF!,"AAAAAD+//Nc=")</f>
        <v>#REF!</v>
      </c>
      <c r="HI75" t="e">
        <f>AND('6to. Perito'!#REF!,"AAAAAD+//Ng=")</f>
        <v>#REF!</v>
      </c>
      <c r="HJ75" t="e">
        <f>AND('6to. Perito'!#REF!,"AAAAAD+//Nk=")</f>
        <v>#REF!</v>
      </c>
      <c r="HK75" t="e">
        <f>AND('6to. Perito'!#REF!,"AAAAAD+//No=")</f>
        <v>#REF!</v>
      </c>
      <c r="HL75" t="e">
        <f>AND('6to. Perito'!#REF!,"AAAAAD+//Ns=")</f>
        <v>#REF!</v>
      </c>
      <c r="HM75" t="e">
        <f>AND('6to. Perito'!#REF!,"AAAAAD+//Nw=")</f>
        <v>#REF!</v>
      </c>
      <c r="HN75" t="e">
        <f>AND('6to. Perito'!#REF!,"AAAAAD+//N0=")</f>
        <v>#REF!</v>
      </c>
      <c r="HO75" t="e">
        <f>AND('6to. Perito'!#REF!,"AAAAAD+//N4=")</f>
        <v>#REF!</v>
      </c>
      <c r="HP75" t="e">
        <f>AND('6to. Perito'!#REF!,"AAAAAD+//N8=")</f>
        <v>#REF!</v>
      </c>
      <c r="HQ75" t="e">
        <f>AND('6to. Perito'!#REF!,"AAAAAD+//OA=")</f>
        <v>#REF!</v>
      </c>
      <c r="HR75" t="e">
        <f>AND('6to. Perito'!#REF!,"AAAAAD+//OE=")</f>
        <v>#REF!</v>
      </c>
      <c r="HS75" t="e">
        <f>AND('6to. Perito'!#REF!,"AAAAAD+//OI=")</f>
        <v>#REF!</v>
      </c>
      <c r="HT75" t="e">
        <f>AND('6to. Perito'!#REF!,"AAAAAD+//OM=")</f>
        <v>#REF!</v>
      </c>
      <c r="HU75" t="e">
        <f>AND('6to. Perito'!#REF!,"AAAAAD+//OQ=")</f>
        <v>#REF!</v>
      </c>
      <c r="HV75" t="e">
        <f>AND('6to. Perito'!#REF!,"AAAAAD+//OU=")</f>
        <v>#REF!</v>
      </c>
      <c r="HW75" t="e">
        <f>AND('6to. Perito'!#REF!,"AAAAAD+//OY=")</f>
        <v>#REF!</v>
      </c>
      <c r="HX75">
        <f>IF('6to. Perito'!2:2,"AAAAAD+//Oc=",0)</f>
        <v>0</v>
      </c>
      <c r="HY75" t="e">
        <f>AND('6to. Perito'!A2,"AAAAAD+//Og=")</f>
        <v>#VALUE!</v>
      </c>
      <c r="HZ75" t="e">
        <f>AND('6to. Perito'!B2,"AAAAAD+//Ok=")</f>
        <v>#VALUE!</v>
      </c>
      <c r="IA75" t="e">
        <f>AND('6to. Perito'!C2,"AAAAAD+//Oo=")</f>
        <v>#VALUE!</v>
      </c>
      <c r="IB75" t="e">
        <f>AND('6to. Perito'!D2,"AAAAAD+//Os=")</f>
        <v>#VALUE!</v>
      </c>
      <c r="IC75" t="e">
        <f>AND('6to. Perito'!E2,"AAAAAD+//Ow=")</f>
        <v>#VALUE!</v>
      </c>
      <c r="ID75" t="e">
        <f>AND('6to. Perito'!F2,"AAAAAD+//O0=")</f>
        <v>#VALUE!</v>
      </c>
      <c r="IE75" t="e">
        <f>AND('6to. Perito'!G2,"AAAAAD+//O4=")</f>
        <v>#VALUE!</v>
      </c>
      <c r="IF75" t="e">
        <f>AND('6to. Perito'!H2,"AAAAAD+//O8=")</f>
        <v>#VALUE!</v>
      </c>
      <c r="IG75" t="e">
        <f>AND('6to. Perito'!I2,"AAAAAD+//PA=")</f>
        <v>#VALUE!</v>
      </c>
      <c r="IH75" t="e">
        <f>AND('6to. Perito'!J2,"AAAAAD+//PE=")</f>
        <v>#VALUE!</v>
      </c>
      <c r="II75" t="e">
        <f>AND('6to. Perito'!K2,"AAAAAD+//PI=")</f>
        <v>#VALUE!</v>
      </c>
      <c r="IJ75" t="e">
        <f>AND('6to. Perito'!L2,"AAAAAD+//PM=")</f>
        <v>#VALUE!</v>
      </c>
      <c r="IK75" t="e">
        <f>AND('6to. Perito'!M2,"AAAAAD+//PQ=")</f>
        <v>#VALUE!</v>
      </c>
      <c r="IL75" t="e">
        <f>AND('6to. Perito'!N2,"AAAAAD+//PU=")</f>
        <v>#VALUE!</v>
      </c>
      <c r="IM75" t="e">
        <f>AND('6to. Perito'!O2,"AAAAAD+//PY=")</f>
        <v>#VALUE!</v>
      </c>
      <c r="IN75" t="e">
        <f>AND('6to. Perito'!P2,"AAAAAD+//Pc=")</f>
        <v>#VALUE!</v>
      </c>
      <c r="IO75" t="e">
        <f>AND('6to. Perito'!Q2,"AAAAAD+//Pg=")</f>
        <v>#VALUE!</v>
      </c>
      <c r="IP75" t="e">
        <f>AND('6to. Perito'!R2,"AAAAAD+//Pk=")</f>
        <v>#VALUE!</v>
      </c>
      <c r="IQ75" t="e">
        <f>AND('6to. Perito'!S2,"AAAAAD+//Po=")</f>
        <v>#VALUE!</v>
      </c>
      <c r="IR75" t="e">
        <f>AND('6to. Perito'!T2,"AAAAAD+//Ps=")</f>
        <v>#VALUE!</v>
      </c>
      <c r="IS75" t="e">
        <f>AND('6to. Perito'!#REF!,"AAAAAD+//Pw=")</f>
        <v>#REF!</v>
      </c>
      <c r="IT75" t="e">
        <f>AND('6to. Perito'!#REF!,"AAAAAD+//P0=")</f>
        <v>#REF!</v>
      </c>
      <c r="IU75" t="e">
        <f>AND('6to. Perito'!#REF!,"AAAAAD+//P4=")</f>
        <v>#REF!</v>
      </c>
      <c r="IV75" t="e">
        <f>AND('6to. Perito'!#REF!,"AAAAAD+//P8=")</f>
        <v>#REF!</v>
      </c>
    </row>
    <row r="76" spans="1:256">
      <c r="A76" t="e">
        <f>AND('6to. Perito'!#REF!,"AAAAAB7fdQA=")</f>
        <v>#REF!</v>
      </c>
      <c r="B76" t="e">
        <f>IF('6to. Perito'!3:3,"AAAAAB7fdQE=",0)</f>
        <v>#VALUE!</v>
      </c>
      <c r="C76" t="e">
        <f>AND('6to. Perito'!A3,"AAAAAB7fdQI=")</f>
        <v>#VALUE!</v>
      </c>
      <c r="D76" t="e">
        <f>AND('6to. Perito'!B3,"AAAAAB7fdQM=")</f>
        <v>#VALUE!</v>
      </c>
      <c r="E76" t="e">
        <f>AND('6to. Perito'!C3,"AAAAAB7fdQQ=")</f>
        <v>#VALUE!</v>
      </c>
      <c r="F76" t="e">
        <f>AND('6to. Perito'!D3,"AAAAAB7fdQU=")</f>
        <v>#VALUE!</v>
      </c>
      <c r="G76" t="e">
        <f>AND('6to. Perito'!E3,"AAAAAB7fdQY=")</f>
        <v>#VALUE!</v>
      </c>
      <c r="H76" t="e">
        <f>AND('6to. Perito'!F3,"AAAAAB7fdQc=")</f>
        <v>#VALUE!</v>
      </c>
      <c r="I76" t="e">
        <f>AND('6to. Perito'!G3,"AAAAAB7fdQg=")</f>
        <v>#VALUE!</v>
      </c>
      <c r="J76" t="e">
        <f>AND('6to. Perito'!H3,"AAAAAB7fdQk=")</f>
        <v>#VALUE!</v>
      </c>
      <c r="K76" t="e">
        <f>AND('6to. Perito'!I3,"AAAAAB7fdQo=")</f>
        <v>#VALUE!</v>
      </c>
      <c r="L76" t="e">
        <f>AND('6to. Perito'!J3,"AAAAAB7fdQs=")</f>
        <v>#VALUE!</v>
      </c>
      <c r="M76" t="e">
        <f>AND('6to. Perito'!K3,"AAAAAB7fdQw=")</f>
        <v>#VALUE!</v>
      </c>
      <c r="N76" t="e">
        <f>AND('6to. Perito'!L3,"AAAAAB7fdQ0=")</f>
        <v>#VALUE!</v>
      </c>
      <c r="O76" t="e">
        <f>AND('6to. Perito'!M3,"AAAAAB7fdQ4=")</f>
        <v>#VALUE!</v>
      </c>
      <c r="P76" t="e">
        <f>AND('6to. Perito'!N3,"AAAAAB7fdQ8=")</f>
        <v>#VALUE!</v>
      </c>
      <c r="Q76" t="e">
        <f>AND('6to. Perito'!O3,"AAAAAB7fdRA=")</f>
        <v>#VALUE!</v>
      </c>
      <c r="R76" t="e">
        <f>AND('6to. Perito'!P3,"AAAAAB7fdRE=")</f>
        <v>#VALUE!</v>
      </c>
      <c r="S76" t="e">
        <f>AND('6to. Perito'!Q3,"AAAAAB7fdRI=")</f>
        <v>#VALUE!</v>
      </c>
      <c r="T76" t="e">
        <f>AND('6to. Perito'!R3,"AAAAAB7fdRM=")</f>
        <v>#VALUE!</v>
      </c>
      <c r="U76" t="e">
        <f>AND('6to. Perito'!S3,"AAAAAB7fdRQ=")</f>
        <v>#VALUE!</v>
      </c>
      <c r="V76" t="e">
        <f>AND('6to. Perito'!T3,"AAAAAB7fdRU=")</f>
        <v>#VALUE!</v>
      </c>
      <c r="W76" t="e">
        <f>AND('6to. Perito'!#REF!,"AAAAAB7fdRY=")</f>
        <v>#REF!</v>
      </c>
      <c r="X76" t="e">
        <f>AND('6to. Perito'!#REF!,"AAAAAB7fdRc=")</f>
        <v>#REF!</v>
      </c>
      <c r="Y76" t="e">
        <f>AND('6to. Perito'!#REF!,"AAAAAB7fdRg=")</f>
        <v>#REF!</v>
      </c>
      <c r="Z76" t="e">
        <f>AND('6to. Perito'!#REF!,"AAAAAB7fdRk=")</f>
        <v>#REF!</v>
      </c>
      <c r="AA76" t="e">
        <f>AND('6to. Perito'!#REF!,"AAAAAB7fdRo=")</f>
        <v>#REF!</v>
      </c>
      <c r="AB76">
        <f>IF('6to. Perito'!4:4,"AAAAAB7fdRs=",0)</f>
        <v>0</v>
      </c>
      <c r="AC76" t="e">
        <f>AND('6to. Perito'!A4,"AAAAAB7fdRw=")</f>
        <v>#VALUE!</v>
      </c>
      <c r="AD76" t="e">
        <f>AND('6to. Perito'!B4,"AAAAAB7fdR0=")</f>
        <v>#VALUE!</v>
      </c>
      <c r="AE76" t="e">
        <f>AND('6to. Perito'!C4,"AAAAAB7fdR4=")</f>
        <v>#VALUE!</v>
      </c>
      <c r="AF76" t="e">
        <f>AND('6to. Perito'!D4,"AAAAAB7fdR8=")</f>
        <v>#VALUE!</v>
      </c>
      <c r="AG76" t="e">
        <f>AND('6to. Perito'!E4,"AAAAAB7fdSA=")</f>
        <v>#VALUE!</v>
      </c>
      <c r="AH76" t="e">
        <f>AND('6to. Perito'!F4,"AAAAAB7fdSE=")</f>
        <v>#VALUE!</v>
      </c>
      <c r="AI76" t="e">
        <f>AND('6to. Perito'!G4,"AAAAAB7fdSI=")</f>
        <v>#VALUE!</v>
      </c>
      <c r="AJ76" t="e">
        <f>AND('6to. Perito'!H4,"AAAAAB7fdSM=")</f>
        <v>#VALUE!</v>
      </c>
      <c r="AK76" t="e">
        <f>AND('6to. Perito'!I4,"AAAAAB7fdSQ=")</f>
        <v>#VALUE!</v>
      </c>
      <c r="AL76" t="e">
        <f>AND('6to. Perito'!J4,"AAAAAB7fdSU=")</f>
        <v>#VALUE!</v>
      </c>
      <c r="AM76" t="e">
        <f>AND('6to. Perito'!K4,"AAAAAB7fdSY=")</f>
        <v>#VALUE!</v>
      </c>
      <c r="AN76" t="e">
        <f>AND('6to. Perito'!L4,"AAAAAB7fdSc=")</f>
        <v>#VALUE!</v>
      </c>
      <c r="AO76" t="e">
        <f>AND('6to. Perito'!M4,"AAAAAB7fdSg=")</f>
        <v>#VALUE!</v>
      </c>
      <c r="AP76" t="e">
        <f>AND('6to. Perito'!N4,"AAAAAB7fdSk=")</f>
        <v>#VALUE!</v>
      </c>
      <c r="AQ76" t="e">
        <f>AND('6to. Perito'!O4,"AAAAAB7fdSo=")</f>
        <v>#VALUE!</v>
      </c>
      <c r="AR76" t="e">
        <f>AND('6to. Perito'!P4,"AAAAAB7fdSs=")</f>
        <v>#VALUE!</v>
      </c>
      <c r="AS76" t="e">
        <f>AND('6to. Perito'!Q4,"AAAAAB7fdSw=")</f>
        <v>#VALUE!</v>
      </c>
      <c r="AT76" t="e">
        <f>AND('6to. Perito'!R4,"AAAAAB7fdS0=")</f>
        <v>#VALUE!</v>
      </c>
      <c r="AU76" t="e">
        <f>AND('6to. Perito'!S4,"AAAAAB7fdS4=")</f>
        <v>#VALUE!</v>
      </c>
      <c r="AV76" t="e">
        <f>AND('6to. Perito'!T4,"AAAAAB7fdS8=")</f>
        <v>#VALUE!</v>
      </c>
      <c r="AW76" t="e">
        <f>AND('6to. Perito'!#REF!,"AAAAAB7fdTA=")</f>
        <v>#REF!</v>
      </c>
      <c r="AX76" t="e">
        <f>AND('6to. Perito'!#REF!,"AAAAAB7fdTE=")</f>
        <v>#REF!</v>
      </c>
      <c r="AY76" t="e">
        <f>AND('6to. Perito'!#REF!,"AAAAAB7fdTI=")</f>
        <v>#REF!</v>
      </c>
      <c r="AZ76" t="e">
        <f>AND('6to. Perito'!#REF!,"AAAAAB7fdTM=")</f>
        <v>#REF!</v>
      </c>
      <c r="BA76" t="e">
        <f>AND('6to. Perito'!#REF!,"AAAAAB7fdTQ=")</f>
        <v>#REF!</v>
      </c>
      <c r="BB76">
        <f>IF('6to. Perito'!5:5,"AAAAAB7fdTU=",0)</f>
        <v>0</v>
      </c>
      <c r="BC76" t="e">
        <f>AND('6to. Perito'!A5,"AAAAAB7fdTY=")</f>
        <v>#VALUE!</v>
      </c>
      <c r="BD76" t="e">
        <f>AND('6to. Perito'!B5,"AAAAAB7fdTc=")</f>
        <v>#VALUE!</v>
      </c>
      <c r="BE76" t="e">
        <f>AND('6to. Perito'!C5,"AAAAAB7fdTg=")</f>
        <v>#VALUE!</v>
      </c>
      <c r="BF76" t="e">
        <f>AND('6to. Perito'!D5,"AAAAAB7fdTk=")</f>
        <v>#VALUE!</v>
      </c>
      <c r="BG76" t="e">
        <f>AND('6to. Perito'!E5,"AAAAAB7fdTo=")</f>
        <v>#VALUE!</v>
      </c>
      <c r="BH76" t="e">
        <f>AND('6to. Perito'!F5,"AAAAAB7fdTs=")</f>
        <v>#VALUE!</v>
      </c>
      <c r="BI76" t="e">
        <f>AND('6to. Perito'!G5,"AAAAAB7fdTw=")</f>
        <v>#VALUE!</v>
      </c>
      <c r="BJ76" t="e">
        <f>AND('6to. Perito'!H5,"AAAAAB7fdT0=")</f>
        <v>#VALUE!</v>
      </c>
      <c r="BK76" t="e">
        <f>AND('6to. Perito'!I5,"AAAAAB7fdT4=")</f>
        <v>#VALUE!</v>
      </c>
      <c r="BL76" t="e">
        <f>AND('6to. Perito'!J5,"AAAAAB7fdT8=")</f>
        <v>#VALUE!</v>
      </c>
      <c r="BM76" t="e">
        <f>AND('6to. Perito'!K5,"AAAAAB7fdUA=")</f>
        <v>#VALUE!</v>
      </c>
      <c r="BN76" t="e">
        <f>AND('6to. Perito'!L5,"AAAAAB7fdUE=")</f>
        <v>#VALUE!</v>
      </c>
      <c r="BO76" t="e">
        <f>AND('6to. Perito'!M5,"AAAAAB7fdUI=")</f>
        <v>#VALUE!</v>
      </c>
      <c r="BP76" t="e">
        <f>AND('6to. Perito'!N5,"AAAAAB7fdUM=")</f>
        <v>#VALUE!</v>
      </c>
      <c r="BQ76" t="e">
        <f>AND('6to. Perito'!O5,"AAAAAB7fdUQ=")</f>
        <v>#VALUE!</v>
      </c>
      <c r="BR76" t="e">
        <f>AND('6to. Perito'!P5,"AAAAAB7fdUU=")</f>
        <v>#VALUE!</v>
      </c>
      <c r="BS76" t="e">
        <f>AND('6to. Perito'!Q5,"AAAAAB7fdUY=")</f>
        <v>#VALUE!</v>
      </c>
      <c r="BT76" t="e">
        <f>AND('6to. Perito'!R5,"AAAAAB7fdUc=")</f>
        <v>#VALUE!</v>
      </c>
      <c r="BU76" t="e">
        <f>AND('6to. Perito'!S5,"AAAAAB7fdUg=")</f>
        <v>#VALUE!</v>
      </c>
      <c r="BV76" t="e">
        <f>AND('6to. Perito'!T5,"AAAAAB7fdUk=")</f>
        <v>#VALUE!</v>
      </c>
      <c r="BW76" t="e">
        <f>AND('6to. Perito'!#REF!,"AAAAAB7fdUo=")</f>
        <v>#REF!</v>
      </c>
      <c r="BX76" t="e">
        <f>AND('6to. Perito'!#REF!,"AAAAAB7fdUs=")</f>
        <v>#REF!</v>
      </c>
      <c r="BY76" t="e">
        <f>AND('6to. Perito'!#REF!,"AAAAAB7fdUw=")</f>
        <v>#REF!</v>
      </c>
      <c r="BZ76" t="e">
        <f>AND('6to. Perito'!#REF!,"AAAAAB7fdU0=")</f>
        <v>#REF!</v>
      </c>
      <c r="CA76" t="e">
        <f>AND('6to. Perito'!#REF!,"AAAAAB7fdU4=")</f>
        <v>#REF!</v>
      </c>
      <c r="CB76">
        <f>IF('6to. Perito'!6:6,"AAAAAB7fdU8=",0)</f>
        <v>0</v>
      </c>
      <c r="CC76" t="e">
        <f>AND('6to. Perito'!A6,"AAAAAB7fdVA=")</f>
        <v>#VALUE!</v>
      </c>
      <c r="CD76" t="e">
        <f>AND('6to. Perito'!B6,"AAAAAB7fdVE=")</f>
        <v>#VALUE!</v>
      </c>
      <c r="CE76" t="e">
        <f>AND('6to. Perito'!C6,"AAAAAB7fdVI=")</f>
        <v>#VALUE!</v>
      </c>
      <c r="CF76" t="e">
        <f>AND('6to. Perito'!D6,"AAAAAB7fdVM=")</f>
        <v>#VALUE!</v>
      </c>
      <c r="CG76" t="e">
        <f>AND('6to. Perito'!E6,"AAAAAB7fdVQ=")</f>
        <v>#VALUE!</v>
      </c>
      <c r="CH76" t="e">
        <f>AND('6to. Perito'!F6,"AAAAAB7fdVU=")</f>
        <v>#VALUE!</v>
      </c>
      <c r="CI76" t="e">
        <f>AND('6to. Perito'!G6,"AAAAAB7fdVY=")</f>
        <v>#VALUE!</v>
      </c>
      <c r="CJ76" t="e">
        <f>AND('6to. Perito'!H6,"AAAAAB7fdVc=")</f>
        <v>#VALUE!</v>
      </c>
      <c r="CK76" t="e">
        <f>AND('6to. Perito'!I6,"AAAAAB7fdVg=")</f>
        <v>#VALUE!</v>
      </c>
      <c r="CL76" t="e">
        <f>AND('6to. Perito'!J6,"AAAAAB7fdVk=")</f>
        <v>#VALUE!</v>
      </c>
      <c r="CM76" t="e">
        <f>AND('6to. Perito'!K6,"AAAAAB7fdVo=")</f>
        <v>#VALUE!</v>
      </c>
      <c r="CN76" t="e">
        <f>AND('6to. Perito'!L6,"AAAAAB7fdVs=")</f>
        <v>#VALUE!</v>
      </c>
      <c r="CO76" t="e">
        <f>AND('6to. Perito'!M6,"AAAAAB7fdVw=")</f>
        <v>#VALUE!</v>
      </c>
      <c r="CP76" t="e">
        <f>AND('6to. Perito'!N6,"AAAAAB7fdV0=")</f>
        <v>#VALUE!</v>
      </c>
      <c r="CQ76" t="e">
        <f>AND('6to. Perito'!O6,"AAAAAB7fdV4=")</f>
        <v>#VALUE!</v>
      </c>
      <c r="CR76" t="e">
        <f>AND('6to. Perito'!P6,"AAAAAB7fdV8=")</f>
        <v>#VALUE!</v>
      </c>
      <c r="CS76" t="e">
        <f>AND('6to. Perito'!Q6,"AAAAAB7fdWA=")</f>
        <v>#VALUE!</v>
      </c>
      <c r="CT76" t="e">
        <f>AND('6to. Perito'!R6,"AAAAAB7fdWE=")</f>
        <v>#VALUE!</v>
      </c>
      <c r="CU76" t="e">
        <f>AND('6to. Perito'!S6,"AAAAAB7fdWI=")</f>
        <v>#VALUE!</v>
      </c>
      <c r="CV76" t="e">
        <f>AND('6to. Perito'!T6,"AAAAAB7fdWM=")</f>
        <v>#VALUE!</v>
      </c>
      <c r="CW76" t="e">
        <f>AND('6to. Perito'!#REF!,"AAAAAB7fdWQ=")</f>
        <v>#REF!</v>
      </c>
      <c r="CX76" t="e">
        <f>AND('6to. Perito'!#REF!,"AAAAAB7fdWU=")</f>
        <v>#REF!</v>
      </c>
      <c r="CY76" t="e">
        <f>AND('6to. Perito'!#REF!,"AAAAAB7fdWY=")</f>
        <v>#REF!</v>
      </c>
      <c r="CZ76" t="e">
        <f>AND('6to. Perito'!#REF!,"AAAAAB7fdWc=")</f>
        <v>#REF!</v>
      </c>
      <c r="DA76" t="e">
        <f>AND('6to. Perito'!#REF!,"AAAAAB7fdWg=")</f>
        <v>#REF!</v>
      </c>
      <c r="DB76">
        <f>IF('6to. Perito'!7:7,"AAAAAB7fdWk=",0)</f>
        <v>0</v>
      </c>
      <c r="DC76" t="e">
        <f>AND('6to. Perito'!A7,"AAAAAB7fdWo=")</f>
        <v>#VALUE!</v>
      </c>
      <c r="DD76" t="e">
        <f>AND('6to. Perito'!B7,"AAAAAB7fdWs=")</f>
        <v>#VALUE!</v>
      </c>
      <c r="DE76" t="e">
        <f>AND('6to. Perito'!C7,"AAAAAB7fdWw=")</f>
        <v>#VALUE!</v>
      </c>
      <c r="DF76" t="e">
        <f>AND('6to. Perito'!D7,"AAAAAB7fdW0=")</f>
        <v>#VALUE!</v>
      </c>
      <c r="DG76" t="e">
        <f>AND('6to. Perito'!E7,"AAAAAB7fdW4=")</f>
        <v>#VALUE!</v>
      </c>
      <c r="DH76" t="e">
        <f>AND('6to. Perito'!F7,"AAAAAB7fdW8=")</f>
        <v>#VALUE!</v>
      </c>
      <c r="DI76" t="e">
        <f>AND('6to. Perito'!G7,"AAAAAB7fdXA=")</f>
        <v>#VALUE!</v>
      </c>
      <c r="DJ76" t="e">
        <f>AND('6to. Perito'!H7,"AAAAAB7fdXE=")</f>
        <v>#VALUE!</v>
      </c>
      <c r="DK76" t="e">
        <f>AND('6to. Perito'!I7,"AAAAAB7fdXI=")</f>
        <v>#VALUE!</v>
      </c>
      <c r="DL76" t="e">
        <f>AND('6to. Perito'!J7,"AAAAAB7fdXM=")</f>
        <v>#VALUE!</v>
      </c>
      <c r="DM76" t="e">
        <f>AND('6to. Perito'!K7,"AAAAAB7fdXQ=")</f>
        <v>#VALUE!</v>
      </c>
      <c r="DN76" t="e">
        <f>AND('6to. Perito'!L7,"AAAAAB7fdXU=")</f>
        <v>#VALUE!</v>
      </c>
      <c r="DO76" t="e">
        <f>AND('6to. Perito'!M7,"AAAAAB7fdXY=")</f>
        <v>#VALUE!</v>
      </c>
      <c r="DP76" t="e">
        <f>AND('6to. Perito'!N7,"AAAAAB7fdXc=")</f>
        <v>#VALUE!</v>
      </c>
      <c r="DQ76" t="e">
        <f>AND('6to. Perito'!O7,"AAAAAB7fdXg=")</f>
        <v>#VALUE!</v>
      </c>
      <c r="DR76" t="e">
        <f>AND('6to. Perito'!P7,"AAAAAB7fdXk=")</f>
        <v>#VALUE!</v>
      </c>
      <c r="DS76" t="e">
        <f>AND('6to. Perito'!Q7,"AAAAAB7fdXo=")</f>
        <v>#VALUE!</v>
      </c>
      <c r="DT76" t="e">
        <f>AND('6to. Perito'!R7,"AAAAAB7fdXs=")</f>
        <v>#VALUE!</v>
      </c>
      <c r="DU76" t="e">
        <f>AND('6to. Perito'!S7,"AAAAAB7fdXw=")</f>
        <v>#VALUE!</v>
      </c>
      <c r="DV76" t="e">
        <f>AND('6to. Perito'!T7,"AAAAAB7fdX0=")</f>
        <v>#VALUE!</v>
      </c>
      <c r="DW76" t="e">
        <f>AND('6to. Perito'!#REF!,"AAAAAB7fdX4=")</f>
        <v>#REF!</v>
      </c>
      <c r="DX76" t="e">
        <f>AND('6to. Perito'!#REF!,"AAAAAB7fdX8=")</f>
        <v>#REF!</v>
      </c>
      <c r="DY76" t="e">
        <f>AND('6to. Perito'!#REF!,"AAAAAB7fdYA=")</f>
        <v>#REF!</v>
      </c>
      <c r="DZ76" t="e">
        <f>AND('6to. Perito'!#REF!,"AAAAAB7fdYE=")</f>
        <v>#REF!</v>
      </c>
      <c r="EA76" t="e">
        <f>AND('6to. Perito'!#REF!,"AAAAAB7fdYI=")</f>
        <v>#REF!</v>
      </c>
      <c r="EB76">
        <f>IF('6to. Perito'!8:8,"AAAAAB7fdYM=",0)</f>
        <v>0</v>
      </c>
      <c r="EC76" t="e">
        <f>AND('6to. Perito'!A8,"AAAAAB7fdYQ=")</f>
        <v>#VALUE!</v>
      </c>
      <c r="ED76" t="e">
        <f>AND('6to. Perito'!B8,"AAAAAB7fdYU=")</f>
        <v>#VALUE!</v>
      </c>
      <c r="EE76" t="e">
        <f>AND('6to. Perito'!C8,"AAAAAB7fdYY=")</f>
        <v>#VALUE!</v>
      </c>
      <c r="EF76" t="e">
        <f>AND('6to. Perito'!D8,"AAAAAB7fdYc=")</f>
        <v>#VALUE!</v>
      </c>
      <c r="EG76" t="e">
        <f>AND('6to. Perito'!E8,"AAAAAB7fdYg=")</f>
        <v>#VALUE!</v>
      </c>
      <c r="EH76" t="e">
        <f>AND('6to. Perito'!F8,"AAAAAB7fdYk=")</f>
        <v>#VALUE!</v>
      </c>
      <c r="EI76" t="e">
        <f>AND('6to. Perito'!G8,"AAAAAB7fdYo=")</f>
        <v>#VALUE!</v>
      </c>
      <c r="EJ76" t="e">
        <f>AND('6to. Perito'!H8,"AAAAAB7fdYs=")</f>
        <v>#VALUE!</v>
      </c>
      <c r="EK76" t="e">
        <f>AND('6to. Perito'!I8,"AAAAAB7fdYw=")</f>
        <v>#VALUE!</v>
      </c>
      <c r="EL76" t="e">
        <f>AND('6to. Perito'!J8,"AAAAAB7fdY0=")</f>
        <v>#VALUE!</v>
      </c>
      <c r="EM76" t="e">
        <f>AND('6to. Perito'!K8,"AAAAAB7fdY4=")</f>
        <v>#VALUE!</v>
      </c>
      <c r="EN76" t="e">
        <f>AND('6to. Perito'!L8,"AAAAAB7fdY8=")</f>
        <v>#VALUE!</v>
      </c>
      <c r="EO76" t="e">
        <f>AND('6to. Perito'!M8,"AAAAAB7fdZA=")</f>
        <v>#VALUE!</v>
      </c>
      <c r="EP76" t="e">
        <f>AND('6to. Perito'!N8,"AAAAAB7fdZE=")</f>
        <v>#VALUE!</v>
      </c>
      <c r="EQ76" t="e">
        <f>AND('6to. Perito'!O8,"AAAAAB7fdZI=")</f>
        <v>#VALUE!</v>
      </c>
      <c r="ER76" t="e">
        <f>AND('6to. Perito'!P8,"AAAAAB7fdZM=")</f>
        <v>#VALUE!</v>
      </c>
      <c r="ES76" t="e">
        <f>AND('6to. Perito'!Q8,"AAAAAB7fdZQ=")</f>
        <v>#VALUE!</v>
      </c>
      <c r="ET76" t="e">
        <f>AND('6to. Perito'!R8,"AAAAAB7fdZU=")</f>
        <v>#VALUE!</v>
      </c>
      <c r="EU76" t="e">
        <f>AND('6to. Perito'!S8,"AAAAAB7fdZY=")</f>
        <v>#VALUE!</v>
      </c>
      <c r="EV76" t="e">
        <f>AND('6to. Perito'!T8,"AAAAAB7fdZc=")</f>
        <v>#VALUE!</v>
      </c>
      <c r="EW76" t="e">
        <f>AND('6to. Perito'!#REF!,"AAAAAB7fdZg=")</f>
        <v>#REF!</v>
      </c>
      <c r="EX76" t="e">
        <f>AND('6to. Perito'!#REF!,"AAAAAB7fdZk=")</f>
        <v>#REF!</v>
      </c>
      <c r="EY76" t="e">
        <f>AND('6to. Perito'!#REF!,"AAAAAB7fdZo=")</f>
        <v>#REF!</v>
      </c>
      <c r="EZ76" t="e">
        <f>AND('6to. Perito'!#REF!,"AAAAAB7fdZs=")</f>
        <v>#REF!</v>
      </c>
      <c r="FA76" t="e">
        <f>AND('6to. Perito'!#REF!,"AAAAAB7fdZw=")</f>
        <v>#REF!</v>
      </c>
      <c r="FB76">
        <f>IF('6to. Perito'!9:9,"AAAAAB7fdZ0=",0)</f>
        <v>0</v>
      </c>
      <c r="FC76" t="e">
        <f>AND('6to. Perito'!A9,"AAAAAB7fdZ4=")</f>
        <v>#VALUE!</v>
      </c>
      <c r="FD76" t="e">
        <f>AND('6to. Perito'!B9,"AAAAAB7fdZ8=")</f>
        <v>#VALUE!</v>
      </c>
      <c r="FE76" t="e">
        <f>AND('6to. Perito'!C9,"AAAAAB7fdaA=")</f>
        <v>#VALUE!</v>
      </c>
      <c r="FF76" t="e">
        <f>AND('6to. Perito'!D9,"AAAAAB7fdaE=")</f>
        <v>#VALUE!</v>
      </c>
      <c r="FG76" t="e">
        <f>AND('6to. Perito'!E9,"AAAAAB7fdaI=")</f>
        <v>#VALUE!</v>
      </c>
      <c r="FH76" t="e">
        <f>AND('6to. Perito'!F9,"AAAAAB7fdaM=")</f>
        <v>#VALUE!</v>
      </c>
      <c r="FI76" t="e">
        <f>AND('6to. Perito'!G9,"AAAAAB7fdaQ=")</f>
        <v>#VALUE!</v>
      </c>
      <c r="FJ76" t="e">
        <f>AND('6to. Perito'!H9,"AAAAAB7fdaU=")</f>
        <v>#VALUE!</v>
      </c>
      <c r="FK76" t="e">
        <f>AND('6to. Perito'!I9,"AAAAAB7fdaY=")</f>
        <v>#VALUE!</v>
      </c>
      <c r="FL76" t="e">
        <f>AND('6to. Perito'!J9,"AAAAAB7fdac=")</f>
        <v>#VALUE!</v>
      </c>
      <c r="FM76" t="e">
        <f>AND('6to. Perito'!K9,"AAAAAB7fdag=")</f>
        <v>#VALUE!</v>
      </c>
      <c r="FN76" t="e">
        <f>AND('6to. Perito'!L9,"AAAAAB7fdak=")</f>
        <v>#VALUE!</v>
      </c>
      <c r="FO76" t="e">
        <f>AND('6to. Perito'!M9,"AAAAAB7fdao=")</f>
        <v>#VALUE!</v>
      </c>
      <c r="FP76" t="e">
        <f>AND('6to. Perito'!N9,"AAAAAB7fdas=")</f>
        <v>#VALUE!</v>
      </c>
      <c r="FQ76" t="e">
        <f>AND('6to. Perito'!O9,"AAAAAB7fdaw=")</f>
        <v>#VALUE!</v>
      </c>
      <c r="FR76" t="e">
        <f>AND('6to. Perito'!P9,"AAAAAB7fda0=")</f>
        <v>#VALUE!</v>
      </c>
      <c r="FS76" t="e">
        <f>AND('6to. Perito'!Q9,"AAAAAB7fda4=")</f>
        <v>#VALUE!</v>
      </c>
      <c r="FT76" t="e">
        <f>AND('6to. Perito'!R9,"AAAAAB7fda8=")</f>
        <v>#VALUE!</v>
      </c>
      <c r="FU76" t="e">
        <f>AND('6to. Perito'!S9,"AAAAAB7fdbA=")</f>
        <v>#VALUE!</v>
      </c>
      <c r="FV76" t="e">
        <f>AND('6to. Perito'!T9,"AAAAAB7fdbE=")</f>
        <v>#VALUE!</v>
      </c>
      <c r="FW76" t="e">
        <f>AND('6to. Perito'!#REF!,"AAAAAB7fdbI=")</f>
        <v>#REF!</v>
      </c>
      <c r="FX76" t="e">
        <f>AND('6to. Perito'!#REF!,"AAAAAB7fdbM=")</f>
        <v>#REF!</v>
      </c>
      <c r="FY76" t="e">
        <f>AND('6to. Perito'!#REF!,"AAAAAB7fdbQ=")</f>
        <v>#REF!</v>
      </c>
      <c r="FZ76" t="e">
        <f>AND('6to. Perito'!#REF!,"AAAAAB7fdbU=")</f>
        <v>#REF!</v>
      </c>
      <c r="GA76" t="e">
        <f>AND('6to. Perito'!#REF!,"AAAAAB7fdbY=")</f>
        <v>#REF!</v>
      </c>
      <c r="GB76">
        <f>IF('6to. Perito'!10:10,"AAAAAB7fdbc=",0)</f>
        <v>0</v>
      </c>
      <c r="GC76" t="e">
        <f>AND('6to. Perito'!A10,"AAAAAB7fdbg=")</f>
        <v>#VALUE!</v>
      </c>
      <c r="GD76" t="e">
        <f>AND('6to. Perito'!B10,"AAAAAB7fdbk=")</f>
        <v>#VALUE!</v>
      </c>
      <c r="GE76" t="e">
        <f>AND('6to. Perito'!C10,"AAAAAB7fdbo=")</f>
        <v>#VALUE!</v>
      </c>
      <c r="GF76" t="e">
        <f>AND('6to. Perito'!D10,"AAAAAB7fdbs=")</f>
        <v>#VALUE!</v>
      </c>
      <c r="GG76" t="e">
        <f>AND('6to. Perito'!E10,"AAAAAB7fdbw=")</f>
        <v>#VALUE!</v>
      </c>
      <c r="GH76" t="e">
        <f>AND('6to. Perito'!F10,"AAAAAB7fdb0=")</f>
        <v>#VALUE!</v>
      </c>
      <c r="GI76" t="e">
        <f>AND('6to. Perito'!G10,"AAAAAB7fdb4=")</f>
        <v>#VALUE!</v>
      </c>
      <c r="GJ76" t="e">
        <f>AND('6to. Perito'!H10,"AAAAAB7fdb8=")</f>
        <v>#VALUE!</v>
      </c>
      <c r="GK76" t="e">
        <f>AND('6to. Perito'!I10,"AAAAAB7fdcA=")</f>
        <v>#VALUE!</v>
      </c>
      <c r="GL76" t="e">
        <f>AND('6to. Perito'!J10,"AAAAAB7fdcE=")</f>
        <v>#VALUE!</v>
      </c>
      <c r="GM76" t="e">
        <f>AND('6to. Perito'!K10,"AAAAAB7fdcI=")</f>
        <v>#VALUE!</v>
      </c>
      <c r="GN76" t="e">
        <f>AND('6to. Perito'!L10,"AAAAAB7fdcM=")</f>
        <v>#VALUE!</v>
      </c>
      <c r="GO76" t="e">
        <f>AND('6to. Perito'!M10,"AAAAAB7fdcQ=")</f>
        <v>#VALUE!</v>
      </c>
      <c r="GP76" t="e">
        <f>AND('6to. Perito'!N10,"AAAAAB7fdcU=")</f>
        <v>#VALUE!</v>
      </c>
      <c r="GQ76" t="e">
        <f>AND('6to. Perito'!O10,"AAAAAB7fdcY=")</f>
        <v>#VALUE!</v>
      </c>
      <c r="GR76" t="e">
        <f>AND('6to. Perito'!P10,"AAAAAB7fdcc=")</f>
        <v>#VALUE!</v>
      </c>
      <c r="GS76" t="e">
        <f>AND('6to. Perito'!Q10,"AAAAAB7fdcg=")</f>
        <v>#VALUE!</v>
      </c>
      <c r="GT76" t="e">
        <f>AND('6to. Perito'!R10,"AAAAAB7fdck=")</f>
        <v>#VALUE!</v>
      </c>
      <c r="GU76" t="e">
        <f>AND('6to. Perito'!S10,"AAAAAB7fdco=")</f>
        <v>#VALUE!</v>
      </c>
      <c r="GV76" t="e">
        <f>AND('6to. Perito'!T10,"AAAAAB7fdcs=")</f>
        <v>#VALUE!</v>
      </c>
      <c r="GW76" t="e">
        <f>AND('6to. Perito'!#REF!,"AAAAAB7fdcw=")</f>
        <v>#REF!</v>
      </c>
      <c r="GX76" t="e">
        <f>AND('6to. Perito'!#REF!,"AAAAAB7fdc0=")</f>
        <v>#REF!</v>
      </c>
      <c r="GY76" t="e">
        <f>AND('6to. Perito'!#REF!,"AAAAAB7fdc4=")</f>
        <v>#REF!</v>
      </c>
      <c r="GZ76" t="e">
        <f>AND('6to. Perito'!#REF!,"AAAAAB7fdc8=")</f>
        <v>#REF!</v>
      </c>
      <c r="HA76" t="e">
        <f>AND('6to. Perito'!#REF!,"AAAAAB7fddA=")</f>
        <v>#REF!</v>
      </c>
      <c r="HB76">
        <f>IF('6to. Perito'!11:11,"AAAAAB7fddE=",0)</f>
        <v>0</v>
      </c>
      <c r="HC76" t="e">
        <f>AND('6to. Perito'!A11,"AAAAAB7fddI=")</f>
        <v>#VALUE!</v>
      </c>
      <c r="HD76" t="e">
        <f>AND('6to. Perito'!B11,"AAAAAB7fddM=")</f>
        <v>#VALUE!</v>
      </c>
      <c r="HE76" t="e">
        <f>AND('6to. Perito'!C11,"AAAAAB7fddQ=")</f>
        <v>#VALUE!</v>
      </c>
      <c r="HF76" t="e">
        <f>AND('6to. Perito'!D11,"AAAAAB7fddU=")</f>
        <v>#VALUE!</v>
      </c>
      <c r="HG76" t="e">
        <f>AND('6to. Perito'!E11,"AAAAAB7fddY=")</f>
        <v>#VALUE!</v>
      </c>
      <c r="HH76" t="e">
        <f>AND('6to. Perito'!F11,"AAAAAB7fddc=")</f>
        <v>#VALUE!</v>
      </c>
      <c r="HI76" t="e">
        <f>AND('6to. Perito'!G11,"AAAAAB7fddg=")</f>
        <v>#VALUE!</v>
      </c>
      <c r="HJ76" t="e">
        <f>AND('6to. Perito'!H11,"AAAAAB7fddk=")</f>
        <v>#VALUE!</v>
      </c>
      <c r="HK76" t="e">
        <f>AND('6to. Perito'!I11,"AAAAAB7fddo=")</f>
        <v>#VALUE!</v>
      </c>
      <c r="HL76" t="e">
        <f>AND('6to. Perito'!J11,"AAAAAB7fdds=")</f>
        <v>#VALUE!</v>
      </c>
      <c r="HM76" t="e">
        <f>AND('6to. Perito'!K11,"AAAAAB7fddw=")</f>
        <v>#VALUE!</v>
      </c>
      <c r="HN76" t="e">
        <f>AND('6to. Perito'!L11,"AAAAAB7fdd0=")</f>
        <v>#VALUE!</v>
      </c>
      <c r="HO76" t="e">
        <f>AND('6to. Perito'!M11,"AAAAAB7fdd4=")</f>
        <v>#VALUE!</v>
      </c>
      <c r="HP76" t="e">
        <f>AND('6to. Perito'!N11,"AAAAAB7fdd8=")</f>
        <v>#VALUE!</v>
      </c>
      <c r="HQ76" t="e">
        <f>AND('6to. Perito'!O11,"AAAAAB7fdeA=")</f>
        <v>#VALUE!</v>
      </c>
      <c r="HR76" t="e">
        <f>AND('6to. Perito'!P11,"AAAAAB7fdeE=")</f>
        <v>#VALUE!</v>
      </c>
      <c r="HS76" t="e">
        <f>AND('6to. Perito'!Q11,"AAAAAB7fdeI=")</f>
        <v>#VALUE!</v>
      </c>
      <c r="HT76" t="e">
        <f>AND('6to. Perito'!R11,"AAAAAB7fdeM=")</f>
        <v>#VALUE!</v>
      </c>
      <c r="HU76" t="e">
        <f>AND('6to. Perito'!S11,"AAAAAB7fdeQ=")</f>
        <v>#VALUE!</v>
      </c>
      <c r="HV76" t="e">
        <f>AND('6to. Perito'!T11,"AAAAAB7fdeU=")</f>
        <v>#VALUE!</v>
      </c>
      <c r="HW76" t="e">
        <f>AND('6to. Perito'!#REF!,"AAAAAB7fdeY=")</f>
        <v>#REF!</v>
      </c>
      <c r="HX76" t="e">
        <f>AND('6to. Perito'!#REF!,"AAAAAB7fdec=")</f>
        <v>#REF!</v>
      </c>
      <c r="HY76" t="e">
        <f>AND('6to. Perito'!#REF!,"AAAAAB7fdeg=")</f>
        <v>#REF!</v>
      </c>
      <c r="HZ76" t="e">
        <f>AND('6to. Perito'!#REF!,"AAAAAB7fdek=")</f>
        <v>#REF!</v>
      </c>
      <c r="IA76" t="e">
        <f>AND('6to. Perito'!#REF!,"AAAAAB7fdeo=")</f>
        <v>#REF!</v>
      </c>
      <c r="IB76">
        <f>IF('6to. Perito'!12:12,"AAAAAB7fdes=",0)</f>
        <v>0</v>
      </c>
      <c r="IC76" t="e">
        <f>AND('6to. Perito'!A12,"AAAAAB7fdew=")</f>
        <v>#VALUE!</v>
      </c>
      <c r="ID76" t="e">
        <f>AND('6to. Perito'!B12,"AAAAAB7fde0=")</f>
        <v>#VALUE!</v>
      </c>
      <c r="IE76" t="e">
        <f>AND('6to. Perito'!C12,"AAAAAB7fde4=")</f>
        <v>#VALUE!</v>
      </c>
      <c r="IF76" t="e">
        <f>AND('6to. Perito'!D12,"AAAAAB7fde8=")</f>
        <v>#VALUE!</v>
      </c>
      <c r="IG76" t="e">
        <f>AND('6to. Perito'!E12,"AAAAAB7fdfA=")</f>
        <v>#VALUE!</v>
      </c>
      <c r="IH76" t="e">
        <f>AND('6to. Perito'!F12,"AAAAAB7fdfE=")</f>
        <v>#VALUE!</v>
      </c>
      <c r="II76" t="e">
        <f>AND('6to. Perito'!G12,"AAAAAB7fdfI=")</f>
        <v>#VALUE!</v>
      </c>
      <c r="IJ76" t="e">
        <f>AND('6to. Perito'!H12,"AAAAAB7fdfM=")</f>
        <v>#VALUE!</v>
      </c>
      <c r="IK76" t="e">
        <f>AND('6to. Perito'!I12,"AAAAAB7fdfQ=")</f>
        <v>#VALUE!</v>
      </c>
      <c r="IL76" t="e">
        <f>AND('6to. Perito'!J12,"AAAAAB7fdfU=")</f>
        <v>#VALUE!</v>
      </c>
      <c r="IM76" t="e">
        <f>AND('6to. Perito'!K12,"AAAAAB7fdfY=")</f>
        <v>#VALUE!</v>
      </c>
      <c r="IN76" t="e">
        <f>AND('6to. Perito'!L12,"AAAAAB7fdfc=")</f>
        <v>#VALUE!</v>
      </c>
      <c r="IO76" t="e">
        <f>AND('6to. Perito'!M12,"AAAAAB7fdfg=")</f>
        <v>#VALUE!</v>
      </c>
      <c r="IP76" t="e">
        <f>AND('6to. Perito'!N12,"AAAAAB7fdfk=")</f>
        <v>#VALUE!</v>
      </c>
      <c r="IQ76" t="e">
        <f>AND('6to. Perito'!O12,"AAAAAB7fdfo=")</f>
        <v>#VALUE!</v>
      </c>
      <c r="IR76" t="e">
        <f>AND('6to. Perito'!P12,"AAAAAB7fdfs=")</f>
        <v>#VALUE!</v>
      </c>
      <c r="IS76" t="e">
        <f>AND('6to. Perito'!Q12,"AAAAAB7fdfw=")</f>
        <v>#VALUE!</v>
      </c>
      <c r="IT76" t="e">
        <f>AND('6to. Perito'!R12,"AAAAAB7fdf0=")</f>
        <v>#VALUE!</v>
      </c>
      <c r="IU76" t="e">
        <f>AND('6to. Perito'!S12,"AAAAAB7fdf4=")</f>
        <v>#VALUE!</v>
      </c>
      <c r="IV76" t="e">
        <f>AND('6to. Perito'!T12,"AAAAAB7fdf8=")</f>
        <v>#VALUE!</v>
      </c>
    </row>
    <row r="77" spans="1:256">
      <c r="A77" t="e">
        <f>AND('6to. Perito'!#REF!,"AAAAAH77vwA=")</f>
        <v>#REF!</v>
      </c>
      <c r="B77" t="e">
        <f>AND('6to. Perito'!#REF!,"AAAAAH77vwE=")</f>
        <v>#REF!</v>
      </c>
      <c r="C77" t="e">
        <f>AND('6to. Perito'!#REF!,"AAAAAH77vwI=")</f>
        <v>#REF!</v>
      </c>
      <c r="D77" t="e">
        <f>AND('6to. Perito'!#REF!,"AAAAAH77vwM=")</f>
        <v>#REF!</v>
      </c>
      <c r="E77" t="e">
        <f>AND('6to. Perito'!#REF!,"AAAAAH77vwQ=")</f>
        <v>#REF!</v>
      </c>
      <c r="F77">
        <f>IF('6to. Perito'!13:13,"AAAAAH77vwU=",0)</f>
        <v>0</v>
      </c>
      <c r="G77" t="e">
        <f>AND('6to. Perito'!A13,"AAAAAH77vwY=")</f>
        <v>#VALUE!</v>
      </c>
      <c r="H77" t="e">
        <f>AND('6to. Perito'!B13,"AAAAAH77vwc=")</f>
        <v>#VALUE!</v>
      </c>
      <c r="I77" t="e">
        <f>AND('6to. Perito'!C13,"AAAAAH77vwg=")</f>
        <v>#VALUE!</v>
      </c>
      <c r="J77" t="e">
        <f>AND('6to. Perito'!D13,"AAAAAH77vwk=")</f>
        <v>#VALUE!</v>
      </c>
      <c r="K77" t="e">
        <f>AND('6to. Perito'!E13,"AAAAAH77vwo=")</f>
        <v>#VALUE!</v>
      </c>
      <c r="L77" t="e">
        <f>AND('6to. Perito'!F13,"AAAAAH77vws=")</f>
        <v>#VALUE!</v>
      </c>
      <c r="M77" t="e">
        <f>AND('6to. Perito'!G13,"AAAAAH77vww=")</f>
        <v>#VALUE!</v>
      </c>
      <c r="N77" t="e">
        <f>AND('6to. Perito'!H13,"AAAAAH77vw0=")</f>
        <v>#VALUE!</v>
      </c>
      <c r="O77" t="e">
        <f>AND('6to. Perito'!I13,"AAAAAH77vw4=")</f>
        <v>#VALUE!</v>
      </c>
      <c r="P77" t="e">
        <f>AND('6to. Perito'!J13,"AAAAAH77vw8=")</f>
        <v>#VALUE!</v>
      </c>
      <c r="Q77" t="e">
        <f>AND('6to. Perito'!K13,"AAAAAH77vxA=")</f>
        <v>#VALUE!</v>
      </c>
      <c r="R77" t="e">
        <f>AND('6to. Perito'!L13,"AAAAAH77vxE=")</f>
        <v>#VALUE!</v>
      </c>
      <c r="S77" t="e">
        <f>AND('6to. Perito'!M13,"AAAAAH77vxI=")</f>
        <v>#VALUE!</v>
      </c>
      <c r="T77" t="e">
        <f>AND('6to. Perito'!N13,"AAAAAH77vxM=")</f>
        <v>#VALUE!</v>
      </c>
      <c r="U77" t="e">
        <f>AND('6to. Perito'!O13,"AAAAAH77vxQ=")</f>
        <v>#VALUE!</v>
      </c>
      <c r="V77" t="e">
        <f>AND('6to. Perito'!P13,"AAAAAH77vxU=")</f>
        <v>#VALUE!</v>
      </c>
      <c r="W77" t="e">
        <f>AND('6to. Perito'!Q13,"AAAAAH77vxY=")</f>
        <v>#VALUE!</v>
      </c>
      <c r="X77" t="e">
        <f>AND('6to. Perito'!R13,"AAAAAH77vxc=")</f>
        <v>#VALUE!</v>
      </c>
      <c r="Y77" t="e">
        <f>AND('6to. Perito'!S13,"AAAAAH77vxg=")</f>
        <v>#VALUE!</v>
      </c>
      <c r="Z77" t="e">
        <f>AND('6to. Perito'!T13,"AAAAAH77vxk=")</f>
        <v>#VALUE!</v>
      </c>
      <c r="AA77" t="e">
        <f>AND('6to. Perito'!#REF!,"AAAAAH77vxo=")</f>
        <v>#REF!</v>
      </c>
      <c r="AB77" t="e">
        <f>AND('6to. Perito'!#REF!,"AAAAAH77vxs=")</f>
        <v>#REF!</v>
      </c>
      <c r="AC77" t="e">
        <f>AND('6to. Perito'!#REF!,"AAAAAH77vxw=")</f>
        <v>#REF!</v>
      </c>
      <c r="AD77" t="e">
        <f>AND('6to. Perito'!#REF!,"AAAAAH77vx0=")</f>
        <v>#REF!</v>
      </c>
      <c r="AE77" t="e">
        <f>AND('6to. Perito'!#REF!,"AAAAAH77vx4=")</f>
        <v>#REF!</v>
      </c>
      <c r="AF77">
        <f>IF('6to. Perito'!14:14,"AAAAAH77vx8=",0)</f>
        <v>0</v>
      </c>
      <c r="AG77" t="e">
        <f>AND('6to. Perito'!A14,"AAAAAH77vyA=")</f>
        <v>#VALUE!</v>
      </c>
      <c r="AH77" t="e">
        <f>AND('6to. Perito'!B14,"AAAAAH77vyE=")</f>
        <v>#VALUE!</v>
      </c>
      <c r="AI77" t="e">
        <f>AND('6to. Perito'!C14,"AAAAAH77vyI=")</f>
        <v>#VALUE!</v>
      </c>
      <c r="AJ77" t="e">
        <f>AND('6to. Perito'!D14,"AAAAAH77vyM=")</f>
        <v>#VALUE!</v>
      </c>
      <c r="AK77" t="e">
        <f>AND('6to. Perito'!E14,"AAAAAH77vyQ=")</f>
        <v>#VALUE!</v>
      </c>
      <c r="AL77" t="e">
        <f>AND('6to. Perito'!F14,"AAAAAH77vyU=")</f>
        <v>#VALUE!</v>
      </c>
      <c r="AM77" t="e">
        <f>AND('6to. Perito'!G14,"AAAAAH77vyY=")</f>
        <v>#VALUE!</v>
      </c>
      <c r="AN77" t="e">
        <f>AND('6to. Perito'!H14,"AAAAAH77vyc=")</f>
        <v>#VALUE!</v>
      </c>
      <c r="AO77" t="e">
        <f>AND('6to. Perito'!I14,"AAAAAH77vyg=")</f>
        <v>#VALUE!</v>
      </c>
      <c r="AP77" t="e">
        <f>AND('6to. Perito'!J14,"AAAAAH77vyk=")</f>
        <v>#VALUE!</v>
      </c>
      <c r="AQ77" t="e">
        <f>AND('6to. Perito'!K14,"AAAAAH77vyo=")</f>
        <v>#VALUE!</v>
      </c>
      <c r="AR77" t="e">
        <f>AND('6to. Perito'!L14,"AAAAAH77vys=")</f>
        <v>#VALUE!</v>
      </c>
      <c r="AS77" t="e">
        <f>AND('6to. Perito'!M14,"AAAAAH77vyw=")</f>
        <v>#VALUE!</v>
      </c>
      <c r="AT77" t="e">
        <f>AND('6to. Perito'!N14,"AAAAAH77vy0=")</f>
        <v>#VALUE!</v>
      </c>
      <c r="AU77" t="e">
        <f>AND('6to. Perito'!O14,"AAAAAH77vy4=")</f>
        <v>#VALUE!</v>
      </c>
      <c r="AV77" t="e">
        <f>AND('6to. Perito'!P14,"AAAAAH77vy8=")</f>
        <v>#VALUE!</v>
      </c>
      <c r="AW77" t="e">
        <f>AND('6to. Perito'!Q14,"AAAAAH77vzA=")</f>
        <v>#VALUE!</v>
      </c>
      <c r="AX77" t="e">
        <f>AND('6to. Perito'!R14,"AAAAAH77vzE=")</f>
        <v>#VALUE!</v>
      </c>
      <c r="AY77" t="e">
        <f>AND('6to. Perito'!S14,"AAAAAH77vzI=")</f>
        <v>#VALUE!</v>
      </c>
      <c r="AZ77" t="e">
        <f>AND('6to. Perito'!T14,"AAAAAH77vzM=")</f>
        <v>#VALUE!</v>
      </c>
      <c r="BA77" t="e">
        <f>AND('6to. Perito'!#REF!,"AAAAAH77vzQ=")</f>
        <v>#REF!</v>
      </c>
      <c r="BB77" t="e">
        <f>AND('6to. Perito'!#REF!,"AAAAAH77vzU=")</f>
        <v>#REF!</v>
      </c>
      <c r="BC77" t="e">
        <f>AND('6to. Perito'!#REF!,"AAAAAH77vzY=")</f>
        <v>#REF!</v>
      </c>
      <c r="BD77" t="e">
        <f>AND('6to. Perito'!#REF!,"AAAAAH77vzc=")</f>
        <v>#REF!</v>
      </c>
      <c r="BE77" t="e">
        <f>AND('6to. Perito'!#REF!,"AAAAAH77vzg=")</f>
        <v>#REF!</v>
      </c>
      <c r="BF77">
        <f>IF('6to. Perito'!15:15,"AAAAAH77vzk=",0)</f>
        <v>0</v>
      </c>
      <c r="BG77" t="e">
        <f>AND('6to. Perito'!A15,"AAAAAH77vzo=")</f>
        <v>#VALUE!</v>
      </c>
      <c r="BH77" t="e">
        <f>AND('6to. Perito'!B15,"AAAAAH77vzs=")</f>
        <v>#VALUE!</v>
      </c>
      <c r="BI77" t="e">
        <f>AND('6to. Perito'!C15,"AAAAAH77vzw=")</f>
        <v>#VALUE!</v>
      </c>
      <c r="BJ77" t="e">
        <f>AND('6to. Perito'!D15,"AAAAAH77vz0=")</f>
        <v>#VALUE!</v>
      </c>
      <c r="BK77" t="e">
        <f>AND('6to. Perito'!E15,"AAAAAH77vz4=")</f>
        <v>#VALUE!</v>
      </c>
      <c r="BL77" t="e">
        <f>AND('6to. Perito'!F15,"AAAAAH77vz8=")</f>
        <v>#VALUE!</v>
      </c>
      <c r="BM77" t="e">
        <f>AND('6to. Perito'!G15,"AAAAAH77v0A=")</f>
        <v>#VALUE!</v>
      </c>
      <c r="BN77" t="e">
        <f>AND('6to. Perito'!H15,"AAAAAH77v0E=")</f>
        <v>#VALUE!</v>
      </c>
      <c r="BO77" t="e">
        <f>AND('6to. Perito'!I15,"AAAAAH77v0I=")</f>
        <v>#VALUE!</v>
      </c>
      <c r="BP77" t="e">
        <f>AND('6to. Perito'!J15,"AAAAAH77v0M=")</f>
        <v>#VALUE!</v>
      </c>
      <c r="BQ77" t="e">
        <f>AND('6to. Perito'!K15,"AAAAAH77v0Q=")</f>
        <v>#VALUE!</v>
      </c>
      <c r="BR77" t="e">
        <f>AND('6to. Perito'!L15,"AAAAAH77v0U=")</f>
        <v>#VALUE!</v>
      </c>
      <c r="BS77" t="e">
        <f>AND('6to. Perito'!M15,"AAAAAH77v0Y=")</f>
        <v>#VALUE!</v>
      </c>
      <c r="BT77" t="e">
        <f>AND('6to. Perito'!N15,"AAAAAH77v0c=")</f>
        <v>#VALUE!</v>
      </c>
      <c r="BU77" t="e">
        <f>AND('6to. Perito'!O15,"AAAAAH77v0g=")</f>
        <v>#VALUE!</v>
      </c>
      <c r="BV77" t="e">
        <f>AND('6to. Perito'!P15,"AAAAAH77v0k=")</f>
        <v>#VALUE!</v>
      </c>
      <c r="BW77" t="e">
        <f>AND('6to. Perito'!Q15,"AAAAAH77v0o=")</f>
        <v>#VALUE!</v>
      </c>
      <c r="BX77" t="e">
        <f>AND('6to. Perito'!R15,"AAAAAH77v0s=")</f>
        <v>#VALUE!</v>
      </c>
      <c r="BY77" t="e">
        <f>AND('6to. Perito'!S15,"AAAAAH77v0w=")</f>
        <v>#VALUE!</v>
      </c>
      <c r="BZ77" t="e">
        <f>AND('6to. Perito'!T15,"AAAAAH77v00=")</f>
        <v>#VALUE!</v>
      </c>
      <c r="CA77" t="e">
        <f>AND('6to. Perito'!#REF!,"AAAAAH77v04=")</f>
        <v>#REF!</v>
      </c>
      <c r="CB77" t="e">
        <f>AND('6to. Perito'!#REF!,"AAAAAH77v08=")</f>
        <v>#REF!</v>
      </c>
      <c r="CC77" t="e">
        <f>AND('6to. Perito'!#REF!,"AAAAAH77v1A=")</f>
        <v>#REF!</v>
      </c>
      <c r="CD77" t="e">
        <f>AND('6to. Perito'!#REF!,"AAAAAH77v1E=")</f>
        <v>#REF!</v>
      </c>
      <c r="CE77" t="e">
        <f>AND('6to. Perito'!#REF!,"AAAAAH77v1I=")</f>
        <v>#REF!</v>
      </c>
      <c r="CF77">
        <f>IF('6to. Perito'!16:16,"AAAAAH77v1M=",0)</f>
        <v>0</v>
      </c>
      <c r="CG77" t="e">
        <f>AND('6to. Perito'!A16,"AAAAAH77v1Q=")</f>
        <v>#VALUE!</v>
      </c>
      <c r="CH77" t="e">
        <f>AND('6to. Perito'!B16,"AAAAAH77v1U=")</f>
        <v>#VALUE!</v>
      </c>
      <c r="CI77" t="e">
        <f>AND('6to. Perito'!C16,"AAAAAH77v1Y=")</f>
        <v>#VALUE!</v>
      </c>
      <c r="CJ77" t="e">
        <f>AND('6to. Perito'!D16,"AAAAAH77v1c=")</f>
        <v>#VALUE!</v>
      </c>
      <c r="CK77" t="e">
        <f>AND('6to. Perito'!E16,"AAAAAH77v1g=")</f>
        <v>#VALUE!</v>
      </c>
      <c r="CL77" t="e">
        <f>AND('6to. Perito'!F16,"AAAAAH77v1k=")</f>
        <v>#VALUE!</v>
      </c>
      <c r="CM77" t="e">
        <f>AND('6to. Perito'!G16,"AAAAAH77v1o=")</f>
        <v>#VALUE!</v>
      </c>
      <c r="CN77" t="e">
        <f>AND('6to. Perito'!H16,"AAAAAH77v1s=")</f>
        <v>#VALUE!</v>
      </c>
      <c r="CO77" t="e">
        <f>AND('6to. Perito'!I16,"AAAAAH77v1w=")</f>
        <v>#VALUE!</v>
      </c>
      <c r="CP77" t="e">
        <f>AND('6to. Perito'!J16,"AAAAAH77v10=")</f>
        <v>#VALUE!</v>
      </c>
      <c r="CQ77" t="e">
        <f>AND('6to. Perito'!K16,"AAAAAH77v14=")</f>
        <v>#VALUE!</v>
      </c>
      <c r="CR77" t="e">
        <f>AND('6to. Perito'!L16,"AAAAAH77v18=")</f>
        <v>#VALUE!</v>
      </c>
      <c r="CS77" t="e">
        <f>AND('6to. Perito'!M16,"AAAAAH77v2A=")</f>
        <v>#VALUE!</v>
      </c>
      <c r="CT77" t="e">
        <f>AND('6to. Perito'!N16,"AAAAAH77v2E=")</f>
        <v>#VALUE!</v>
      </c>
      <c r="CU77" t="e">
        <f>AND('6to. Perito'!O16,"AAAAAH77v2I=")</f>
        <v>#VALUE!</v>
      </c>
      <c r="CV77" t="e">
        <f>AND('6to. Perito'!P16,"AAAAAH77v2M=")</f>
        <v>#VALUE!</v>
      </c>
      <c r="CW77" t="e">
        <f>AND('6to. Perito'!Q16,"AAAAAH77v2Q=")</f>
        <v>#VALUE!</v>
      </c>
      <c r="CX77" t="e">
        <f>AND('6to. Perito'!R16,"AAAAAH77v2U=")</f>
        <v>#VALUE!</v>
      </c>
      <c r="CY77" t="e">
        <f>AND('6to. Perito'!S16,"AAAAAH77v2Y=")</f>
        <v>#VALUE!</v>
      </c>
      <c r="CZ77" t="e">
        <f>AND('6to. Perito'!T16,"AAAAAH77v2c=")</f>
        <v>#VALUE!</v>
      </c>
      <c r="DA77" t="e">
        <f>AND('6to. Perito'!#REF!,"AAAAAH77v2g=")</f>
        <v>#REF!</v>
      </c>
      <c r="DB77" t="e">
        <f>AND('6to. Perito'!#REF!,"AAAAAH77v2k=")</f>
        <v>#REF!</v>
      </c>
      <c r="DC77" t="e">
        <f>AND('6to. Perito'!#REF!,"AAAAAH77v2o=")</f>
        <v>#REF!</v>
      </c>
      <c r="DD77" t="e">
        <f>AND('6to. Perito'!#REF!,"AAAAAH77v2s=")</f>
        <v>#REF!</v>
      </c>
      <c r="DE77" t="e">
        <f>AND('6to. Perito'!#REF!,"AAAAAH77v2w=")</f>
        <v>#REF!</v>
      </c>
      <c r="DF77">
        <f>IF('6to. Perito'!17:17,"AAAAAH77v20=",0)</f>
        <v>0</v>
      </c>
      <c r="DG77" t="e">
        <f>AND('6to. Perito'!A17,"AAAAAH77v24=")</f>
        <v>#VALUE!</v>
      </c>
      <c r="DH77" t="e">
        <f>AND('6to. Perito'!B17,"AAAAAH77v28=")</f>
        <v>#VALUE!</v>
      </c>
      <c r="DI77" t="e">
        <f>AND('6to. Perito'!C17,"AAAAAH77v3A=")</f>
        <v>#VALUE!</v>
      </c>
      <c r="DJ77" t="e">
        <f>AND('6to. Perito'!D17,"AAAAAH77v3E=")</f>
        <v>#VALUE!</v>
      </c>
      <c r="DK77" t="e">
        <f>AND('6to. Perito'!E17,"AAAAAH77v3I=")</f>
        <v>#VALUE!</v>
      </c>
      <c r="DL77" t="e">
        <f>AND('6to. Perito'!F17,"AAAAAH77v3M=")</f>
        <v>#VALUE!</v>
      </c>
      <c r="DM77" t="e">
        <f>AND('6to. Perito'!G17,"AAAAAH77v3Q=")</f>
        <v>#VALUE!</v>
      </c>
      <c r="DN77" t="e">
        <f>AND('6to. Perito'!H17,"AAAAAH77v3U=")</f>
        <v>#VALUE!</v>
      </c>
      <c r="DO77" t="e">
        <f>AND('6to. Perito'!I17,"AAAAAH77v3Y=")</f>
        <v>#VALUE!</v>
      </c>
      <c r="DP77" t="e">
        <f>AND('6to. Perito'!J17,"AAAAAH77v3c=")</f>
        <v>#VALUE!</v>
      </c>
      <c r="DQ77" t="e">
        <f>AND('6to. Perito'!K17,"AAAAAH77v3g=")</f>
        <v>#VALUE!</v>
      </c>
      <c r="DR77" t="e">
        <f>AND('6to. Perito'!L17,"AAAAAH77v3k=")</f>
        <v>#VALUE!</v>
      </c>
      <c r="DS77" t="e">
        <f>AND('6to. Perito'!M17,"AAAAAH77v3o=")</f>
        <v>#VALUE!</v>
      </c>
      <c r="DT77" t="e">
        <f>AND('6to. Perito'!N17,"AAAAAH77v3s=")</f>
        <v>#VALUE!</v>
      </c>
      <c r="DU77" t="e">
        <f>AND('6to. Perito'!O17,"AAAAAH77v3w=")</f>
        <v>#VALUE!</v>
      </c>
      <c r="DV77" t="e">
        <f>AND('6to. Perito'!P17,"AAAAAH77v30=")</f>
        <v>#VALUE!</v>
      </c>
      <c r="DW77" t="e">
        <f>AND('6to. Perito'!Q17,"AAAAAH77v34=")</f>
        <v>#VALUE!</v>
      </c>
      <c r="DX77" t="e">
        <f>AND('6to. Perito'!R17,"AAAAAH77v38=")</f>
        <v>#VALUE!</v>
      </c>
      <c r="DY77" t="e">
        <f>AND('6to. Perito'!S17,"AAAAAH77v4A=")</f>
        <v>#VALUE!</v>
      </c>
      <c r="DZ77" t="e">
        <f>AND('6to. Perito'!T17,"AAAAAH77v4E=")</f>
        <v>#VALUE!</v>
      </c>
      <c r="EA77" t="e">
        <f>AND('6to. Perito'!#REF!,"AAAAAH77v4I=")</f>
        <v>#REF!</v>
      </c>
      <c r="EB77" t="e">
        <f>AND('6to. Perito'!#REF!,"AAAAAH77v4M=")</f>
        <v>#REF!</v>
      </c>
      <c r="EC77" t="e">
        <f>AND('6to. Perito'!#REF!,"AAAAAH77v4Q=")</f>
        <v>#REF!</v>
      </c>
      <c r="ED77" t="e">
        <f>AND('6to. Perito'!#REF!,"AAAAAH77v4U=")</f>
        <v>#REF!</v>
      </c>
      <c r="EE77" t="e">
        <f>AND('6to. Perito'!#REF!,"AAAAAH77v4Y=")</f>
        <v>#REF!</v>
      </c>
      <c r="EF77">
        <f>IF('6to. Perito'!18:18,"AAAAAH77v4c=",0)</f>
        <v>0</v>
      </c>
      <c r="EG77" t="e">
        <f>AND('6to. Perito'!A18,"AAAAAH77v4g=")</f>
        <v>#VALUE!</v>
      </c>
      <c r="EH77" t="e">
        <f>AND('6to. Perito'!B18,"AAAAAH77v4k=")</f>
        <v>#VALUE!</v>
      </c>
      <c r="EI77" t="e">
        <f>AND('6to. Perito'!C18,"AAAAAH77v4o=")</f>
        <v>#VALUE!</v>
      </c>
      <c r="EJ77" t="e">
        <f>AND('6to. Perito'!D18,"AAAAAH77v4s=")</f>
        <v>#VALUE!</v>
      </c>
      <c r="EK77" t="e">
        <f>AND('6to. Perito'!E18,"AAAAAH77v4w=")</f>
        <v>#VALUE!</v>
      </c>
      <c r="EL77" t="e">
        <f>AND('6to. Perito'!F18,"AAAAAH77v40=")</f>
        <v>#VALUE!</v>
      </c>
      <c r="EM77" t="e">
        <f>AND('6to. Perito'!G18,"AAAAAH77v44=")</f>
        <v>#VALUE!</v>
      </c>
      <c r="EN77" t="e">
        <f>AND('6to. Perito'!H18,"AAAAAH77v48=")</f>
        <v>#VALUE!</v>
      </c>
      <c r="EO77" t="e">
        <f>AND('6to. Perito'!I18,"AAAAAH77v5A=")</f>
        <v>#VALUE!</v>
      </c>
      <c r="EP77" t="e">
        <f>AND('6to. Perito'!J18,"AAAAAH77v5E=")</f>
        <v>#VALUE!</v>
      </c>
      <c r="EQ77" t="e">
        <f>AND('6to. Perito'!K18,"AAAAAH77v5I=")</f>
        <v>#VALUE!</v>
      </c>
      <c r="ER77" t="e">
        <f>AND('6to. Perito'!L18,"AAAAAH77v5M=")</f>
        <v>#VALUE!</v>
      </c>
      <c r="ES77" t="e">
        <f>AND('6to. Perito'!M18,"AAAAAH77v5Q=")</f>
        <v>#VALUE!</v>
      </c>
      <c r="ET77" t="e">
        <f>AND('6to. Perito'!N18,"AAAAAH77v5U=")</f>
        <v>#VALUE!</v>
      </c>
      <c r="EU77" t="e">
        <f>AND('6to. Perito'!O18,"AAAAAH77v5Y=")</f>
        <v>#VALUE!</v>
      </c>
      <c r="EV77" t="e">
        <f>AND('6to. Perito'!P18,"AAAAAH77v5c=")</f>
        <v>#VALUE!</v>
      </c>
      <c r="EW77" t="e">
        <f>AND('6to. Perito'!Q18,"AAAAAH77v5g=")</f>
        <v>#VALUE!</v>
      </c>
      <c r="EX77" t="e">
        <f>AND('6to. Perito'!R18,"AAAAAH77v5k=")</f>
        <v>#VALUE!</v>
      </c>
      <c r="EY77" t="e">
        <f>AND('6to. Perito'!S18,"AAAAAH77v5o=")</f>
        <v>#VALUE!</v>
      </c>
      <c r="EZ77" t="e">
        <f>AND('6to. Perito'!T18,"AAAAAH77v5s=")</f>
        <v>#VALUE!</v>
      </c>
      <c r="FA77" t="e">
        <f>AND('6to. Perito'!#REF!,"AAAAAH77v5w=")</f>
        <v>#REF!</v>
      </c>
      <c r="FB77" t="e">
        <f>AND('6to. Perito'!#REF!,"AAAAAH77v50=")</f>
        <v>#REF!</v>
      </c>
      <c r="FC77" t="e">
        <f>AND('6to. Perito'!#REF!,"AAAAAH77v54=")</f>
        <v>#REF!</v>
      </c>
      <c r="FD77" t="e">
        <f>AND('6to. Perito'!#REF!,"AAAAAH77v58=")</f>
        <v>#REF!</v>
      </c>
      <c r="FE77" t="e">
        <f>AND('6to. Perito'!#REF!,"AAAAAH77v6A=")</f>
        <v>#REF!</v>
      </c>
      <c r="FF77">
        <f>IF('6to. Perito'!19:19,"AAAAAH77v6E=",0)</f>
        <v>0</v>
      </c>
      <c r="FG77" t="e">
        <f>AND('6to. Perito'!A19,"AAAAAH77v6I=")</f>
        <v>#VALUE!</v>
      </c>
      <c r="FH77" t="e">
        <f>AND('6to. Perito'!B19,"AAAAAH77v6M=")</f>
        <v>#VALUE!</v>
      </c>
      <c r="FI77" t="e">
        <f>AND('6to. Perito'!C19,"AAAAAH77v6Q=")</f>
        <v>#VALUE!</v>
      </c>
      <c r="FJ77" t="e">
        <f>AND('6to. Perito'!D19,"AAAAAH77v6U=")</f>
        <v>#VALUE!</v>
      </c>
      <c r="FK77" t="e">
        <f>AND('6to. Perito'!E19,"AAAAAH77v6Y=")</f>
        <v>#VALUE!</v>
      </c>
      <c r="FL77" t="e">
        <f>AND('6to. Perito'!F19,"AAAAAH77v6c=")</f>
        <v>#VALUE!</v>
      </c>
      <c r="FM77" t="e">
        <f>AND('6to. Perito'!G19,"AAAAAH77v6g=")</f>
        <v>#VALUE!</v>
      </c>
      <c r="FN77" t="e">
        <f>AND('6to. Perito'!H19,"AAAAAH77v6k=")</f>
        <v>#VALUE!</v>
      </c>
      <c r="FO77" t="e">
        <f>AND('6to. Perito'!I19,"AAAAAH77v6o=")</f>
        <v>#VALUE!</v>
      </c>
      <c r="FP77" t="e">
        <f>AND('6to. Perito'!J19,"AAAAAH77v6s=")</f>
        <v>#VALUE!</v>
      </c>
      <c r="FQ77" t="e">
        <f>AND('6to. Perito'!K19,"AAAAAH77v6w=")</f>
        <v>#VALUE!</v>
      </c>
      <c r="FR77" t="e">
        <f>AND('6to. Perito'!L19,"AAAAAH77v60=")</f>
        <v>#VALUE!</v>
      </c>
      <c r="FS77" t="e">
        <f>AND('6to. Perito'!M19,"AAAAAH77v64=")</f>
        <v>#VALUE!</v>
      </c>
      <c r="FT77" t="e">
        <f>AND('6to. Perito'!N19,"AAAAAH77v68=")</f>
        <v>#VALUE!</v>
      </c>
      <c r="FU77" t="e">
        <f>AND('6to. Perito'!O19,"AAAAAH77v7A=")</f>
        <v>#VALUE!</v>
      </c>
      <c r="FV77" t="e">
        <f>AND('6to. Perito'!P19,"AAAAAH77v7E=")</f>
        <v>#VALUE!</v>
      </c>
      <c r="FW77" t="e">
        <f>AND('6to. Perito'!Q19,"AAAAAH77v7I=")</f>
        <v>#VALUE!</v>
      </c>
      <c r="FX77" t="e">
        <f>AND('6to. Perito'!R19,"AAAAAH77v7M=")</f>
        <v>#VALUE!</v>
      </c>
      <c r="FY77" t="e">
        <f>AND('6to. Perito'!S19,"AAAAAH77v7Q=")</f>
        <v>#VALUE!</v>
      </c>
      <c r="FZ77" t="e">
        <f>AND('6to. Perito'!T19,"AAAAAH77v7U=")</f>
        <v>#VALUE!</v>
      </c>
      <c r="GA77" t="e">
        <f>AND('6to. Perito'!#REF!,"AAAAAH77v7Y=")</f>
        <v>#REF!</v>
      </c>
      <c r="GB77" t="e">
        <f>AND('6to. Perito'!#REF!,"AAAAAH77v7c=")</f>
        <v>#REF!</v>
      </c>
      <c r="GC77" t="e">
        <f>AND('6to. Perito'!#REF!,"AAAAAH77v7g=")</f>
        <v>#REF!</v>
      </c>
      <c r="GD77" t="e">
        <f>AND('6to. Perito'!#REF!,"AAAAAH77v7k=")</f>
        <v>#REF!</v>
      </c>
      <c r="GE77" t="e">
        <f>AND('6to. Perito'!#REF!,"AAAAAH77v7o=")</f>
        <v>#REF!</v>
      </c>
      <c r="GF77">
        <f>IF('6to. Perito'!20:20,"AAAAAH77v7s=",0)</f>
        <v>0</v>
      </c>
      <c r="GG77" t="e">
        <f>AND('6to. Perito'!A20,"AAAAAH77v7w=")</f>
        <v>#VALUE!</v>
      </c>
      <c r="GH77" t="e">
        <f>AND('6to. Perito'!B20,"AAAAAH77v70=")</f>
        <v>#VALUE!</v>
      </c>
      <c r="GI77" t="e">
        <f>AND('6to. Perito'!C20,"AAAAAH77v74=")</f>
        <v>#VALUE!</v>
      </c>
      <c r="GJ77" t="e">
        <f>AND('6to. Perito'!D20,"AAAAAH77v78=")</f>
        <v>#VALUE!</v>
      </c>
      <c r="GK77" t="e">
        <f>AND('6to. Perito'!E20,"AAAAAH77v8A=")</f>
        <v>#VALUE!</v>
      </c>
      <c r="GL77" t="e">
        <f>AND('6to. Perito'!F20,"AAAAAH77v8E=")</f>
        <v>#VALUE!</v>
      </c>
      <c r="GM77" t="e">
        <f>AND('6to. Perito'!G20,"AAAAAH77v8I=")</f>
        <v>#VALUE!</v>
      </c>
      <c r="GN77" t="e">
        <f>AND('6to. Perito'!H20,"AAAAAH77v8M=")</f>
        <v>#VALUE!</v>
      </c>
      <c r="GO77" t="e">
        <f>AND('6to. Perito'!I20,"AAAAAH77v8Q=")</f>
        <v>#VALUE!</v>
      </c>
      <c r="GP77" t="e">
        <f>AND('6to. Perito'!J20,"AAAAAH77v8U=")</f>
        <v>#VALUE!</v>
      </c>
      <c r="GQ77" t="e">
        <f>AND('6to. Perito'!K20,"AAAAAH77v8Y=")</f>
        <v>#VALUE!</v>
      </c>
      <c r="GR77" t="e">
        <f>AND('6to. Perito'!L20,"AAAAAH77v8c=")</f>
        <v>#VALUE!</v>
      </c>
      <c r="GS77" t="e">
        <f>AND('6to. Perito'!M20,"AAAAAH77v8g=")</f>
        <v>#VALUE!</v>
      </c>
      <c r="GT77" t="e">
        <f>AND('6to. Perito'!N20,"AAAAAH77v8k=")</f>
        <v>#VALUE!</v>
      </c>
      <c r="GU77" t="e">
        <f>AND('6to. Perito'!O20,"AAAAAH77v8o=")</f>
        <v>#VALUE!</v>
      </c>
      <c r="GV77" t="e">
        <f>AND('6to. Perito'!P20,"AAAAAH77v8s=")</f>
        <v>#VALUE!</v>
      </c>
      <c r="GW77" t="e">
        <f>AND('6to. Perito'!Q20,"AAAAAH77v8w=")</f>
        <v>#VALUE!</v>
      </c>
      <c r="GX77" t="e">
        <f>AND('6to. Perito'!R20,"AAAAAH77v80=")</f>
        <v>#VALUE!</v>
      </c>
      <c r="GY77" t="e">
        <f>AND('6to. Perito'!S20,"AAAAAH77v84=")</f>
        <v>#VALUE!</v>
      </c>
      <c r="GZ77" t="e">
        <f>AND('6to. Perito'!T20,"AAAAAH77v88=")</f>
        <v>#VALUE!</v>
      </c>
      <c r="HA77" t="e">
        <f>AND('6to. Perito'!#REF!,"AAAAAH77v9A=")</f>
        <v>#REF!</v>
      </c>
      <c r="HB77" t="e">
        <f>AND('6to. Perito'!#REF!,"AAAAAH77v9E=")</f>
        <v>#REF!</v>
      </c>
      <c r="HC77" t="e">
        <f>AND('6to. Perito'!#REF!,"AAAAAH77v9I=")</f>
        <v>#REF!</v>
      </c>
      <c r="HD77" t="e">
        <f>AND('6to. Perito'!#REF!,"AAAAAH77v9M=")</f>
        <v>#REF!</v>
      </c>
      <c r="HE77" t="e">
        <f>AND('6to. Perito'!#REF!,"AAAAAH77v9Q=")</f>
        <v>#REF!</v>
      </c>
      <c r="HF77">
        <f>IF('6to. Perito'!21:21,"AAAAAH77v9U=",0)</f>
        <v>0</v>
      </c>
      <c r="HG77" t="e">
        <f>AND('6to. Perito'!A21,"AAAAAH77v9Y=")</f>
        <v>#VALUE!</v>
      </c>
      <c r="HH77" t="e">
        <f>AND('6to. Perito'!B21,"AAAAAH77v9c=")</f>
        <v>#VALUE!</v>
      </c>
      <c r="HI77" t="e">
        <f>AND('6to. Perito'!C21,"AAAAAH77v9g=")</f>
        <v>#VALUE!</v>
      </c>
      <c r="HJ77" t="e">
        <f>AND('6to. Perito'!D21,"AAAAAH77v9k=")</f>
        <v>#VALUE!</v>
      </c>
      <c r="HK77" t="e">
        <f>AND('6to. Perito'!E21,"AAAAAH77v9o=")</f>
        <v>#VALUE!</v>
      </c>
      <c r="HL77" t="e">
        <f>AND('6to. Perito'!F21,"AAAAAH77v9s=")</f>
        <v>#VALUE!</v>
      </c>
      <c r="HM77" t="e">
        <f>AND('6to. Perito'!G21,"AAAAAH77v9w=")</f>
        <v>#VALUE!</v>
      </c>
      <c r="HN77" t="e">
        <f>AND('6to. Perito'!H21,"AAAAAH77v90=")</f>
        <v>#VALUE!</v>
      </c>
      <c r="HO77" t="e">
        <f>AND('6to. Perito'!I21,"AAAAAH77v94=")</f>
        <v>#VALUE!</v>
      </c>
      <c r="HP77" t="e">
        <f>AND('6to. Perito'!J21,"AAAAAH77v98=")</f>
        <v>#VALUE!</v>
      </c>
      <c r="HQ77" t="e">
        <f>AND('6to. Perito'!K21,"AAAAAH77v+A=")</f>
        <v>#VALUE!</v>
      </c>
      <c r="HR77" t="e">
        <f>AND('6to. Perito'!L21,"AAAAAH77v+E=")</f>
        <v>#VALUE!</v>
      </c>
      <c r="HS77" t="e">
        <f>AND('6to. Perito'!M21,"AAAAAH77v+I=")</f>
        <v>#VALUE!</v>
      </c>
      <c r="HT77" t="e">
        <f>AND('6to. Perito'!N21,"AAAAAH77v+M=")</f>
        <v>#VALUE!</v>
      </c>
      <c r="HU77" t="e">
        <f>AND('6to. Perito'!O21,"AAAAAH77v+Q=")</f>
        <v>#VALUE!</v>
      </c>
      <c r="HV77" t="e">
        <f>AND('6to. Perito'!P21,"AAAAAH77v+U=")</f>
        <v>#VALUE!</v>
      </c>
      <c r="HW77" t="e">
        <f>AND('6to. Perito'!Q21,"AAAAAH77v+Y=")</f>
        <v>#VALUE!</v>
      </c>
      <c r="HX77" t="e">
        <f>AND('6to. Perito'!R21,"AAAAAH77v+c=")</f>
        <v>#VALUE!</v>
      </c>
      <c r="HY77" t="e">
        <f>AND('6to. Perito'!S21,"AAAAAH77v+g=")</f>
        <v>#VALUE!</v>
      </c>
      <c r="HZ77" t="e">
        <f>AND('6to. Perito'!T21,"AAAAAH77v+k=")</f>
        <v>#VALUE!</v>
      </c>
      <c r="IA77" t="e">
        <f>AND('6to. Perito'!#REF!,"AAAAAH77v+o=")</f>
        <v>#REF!</v>
      </c>
      <c r="IB77" t="e">
        <f>AND('6to. Perito'!#REF!,"AAAAAH77v+s=")</f>
        <v>#REF!</v>
      </c>
      <c r="IC77" t="e">
        <f>AND('6to. Perito'!#REF!,"AAAAAH77v+w=")</f>
        <v>#REF!</v>
      </c>
      <c r="ID77" t="e">
        <f>AND('6to. Perito'!#REF!,"AAAAAH77v+0=")</f>
        <v>#REF!</v>
      </c>
      <c r="IE77" t="e">
        <f>AND('6to. Perito'!#REF!,"AAAAAH77v+4=")</f>
        <v>#REF!</v>
      </c>
      <c r="IF77">
        <f>IF('6to. Perito'!22:22,"AAAAAH77v+8=",0)</f>
        <v>0</v>
      </c>
      <c r="IG77" t="e">
        <f>AND('6to. Perito'!A22,"AAAAAH77v/A=")</f>
        <v>#VALUE!</v>
      </c>
      <c r="IH77" t="e">
        <f>AND('6to. Perito'!B22,"AAAAAH77v/E=")</f>
        <v>#VALUE!</v>
      </c>
      <c r="II77" t="e">
        <f>AND('6to. Perito'!C22,"AAAAAH77v/I=")</f>
        <v>#VALUE!</v>
      </c>
      <c r="IJ77" t="e">
        <f>AND('6to. Perito'!D22,"AAAAAH77v/M=")</f>
        <v>#VALUE!</v>
      </c>
      <c r="IK77" t="e">
        <f>AND('6to. Perito'!E22,"AAAAAH77v/Q=")</f>
        <v>#VALUE!</v>
      </c>
      <c r="IL77" t="e">
        <f>AND('6to. Perito'!F22,"AAAAAH77v/U=")</f>
        <v>#VALUE!</v>
      </c>
      <c r="IM77" t="e">
        <f>AND('6to. Perito'!G22,"AAAAAH77v/Y=")</f>
        <v>#VALUE!</v>
      </c>
      <c r="IN77" t="e">
        <f>AND('6to. Perito'!H22,"AAAAAH77v/c=")</f>
        <v>#VALUE!</v>
      </c>
      <c r="IO77" t="e">
        <f>AND('6to. Perito'!I22,"AAAAAH77v/g=")</f>
        <v>#VALUE!</v>
      </c>
      <c r="IP77" t="e">
        <f>AND('6to. Perito'!J22,"AAAAAH77v/k=")</f>
        <v>#VALUE!</v>
      </c>
      <c r="IQ77" t="e">
        <f>AND('6to. Perito'!K22,"AAAAAH77v/o=")</f>
        <v>#VALUE!</v>
      </c>
      <c r="IR77" t="e">
        <f>AND('6to. Perito'!L22,"AAAAAH77v/s=")</f>
        <v>#VALUE!</v>
      </c>
      <c r="IS77" t="e">
        <f>AND('6to. Perito'!M22,"AAAAAH77v/w=")</f>
        <v>#VALUE!</v>
      </c>
      <c r="IT77" t="e">
        <f>AND('6to. Perito'!N22,"AAAAAH77v/0=")</f>
        <v>#VALUE!</v>
      </c>
      <c r="IU77" t="e">
        <f>AND('6to. Perito'!O22,"AAAAAH77v/4=")</f>
        <v>#VALUE!</v>
      </c>
      <c r="IV77" t="e">
        <f>AND('6to. Perito'!P22,"AAAAAH77v/8=")</f>
        <v>#VALUE!</v>
      </c>
    </row>
    <row r="78" spans="1:256">
      <c r="A78" t="e">
        <f>AND('6to. Perito'!Q22,"AAAAAG3dLwA=")</f>
        <v>#VALUE!</v>
      </c>
      <c r="B78" t="e">
        <f>AND('6to. Perito'!R22,"AAAAAG3dLwE=")</f>
        <v>#VALUE!</v>
      </c>
      <c r="C78" t="e">
        <f>AND('6to. Perito'!S22,"AAAAAG3dLwI=")</f>
        <v>#VALUE!</v>
      </c>
      <c r="D78" t="e">
        <f>AND('6to. Perito'!T22,"AAAAAG3dLwM=")</f>
        <v>#VALUE!</v>
      </c>
      <c r="E78" t="e">
        <f>AND('6to. Perito'!#REF!,"AAAAAG3dLwQ=")</f>
        <v>#REF!</v>
      </c>
      <c r="F78" t="e">
        <f>AND('6to. Perito'!#REF!,"AAAAAG3dLwU=")</f>
        <v>#REF!</v>
      </c>
      <c r="G78" t="e">
        <f>AND('6to. Perito'!#REF!,"AAAAAG3dLwY=")</f>
        <v>#REF!</v>
      </c>
      <c r="H78" t="e">
        <f>AND('6to. Perito'!#REF!,"AAAAAG3dLwc=")</f>
        <v>#REF!</v>
      </c>
      <c r="I78" t="e">
        <f>AND('6to. Perito'!#REF!,"AAAAAG3dLwg=")</f>
        <v>#REF!</v>
      </c>
      <c r="J78">
        <f>IF('6to. Perito'!23:23,"AAAAAG3dLwk=",0)</f>
        <v>0</v>
      </c>
      <c r="K78" t="e">
        <f>AND('6to. Perito'!A23,"AAAAAG3dLwo=")</f>
        <v>#VALUE!</v>
      </c>
      <c r="L78" t="e">
        <f>AND('6to. Perito'!B23,"AAAAAG3dLws=")</f>
        <v>#VALUE!</v>
      </c>
      <c r="M78" t="e">
        <f>AND('6to. Perito'!C23,"AAAAAG3dLww=")</f>
        <v>#VALUE!</v>
      </c>
      <c r="N78" t="e">
        <f>AND('6to. Perito'!D23,"AAAAAG3dLw0=")</f>
        <v>#VALUE!</v>
      </c>
      <c r="O78" t="e">
        <f>AND('6to. Perito'!E23,"AAAAAG3dLw4=")</f>
        <v>#VALUE!</v>
      </c>
      <c r="P78" t="e">
        <f>AND('6to. Perito'!F23,"AAAAAG3dLw8=")</f>
        <v>#VALUE!</v>
      </c>
      <c r="Q78" t="e">
        <f>AND('6to. Perito'!G23,"AAAAAG3dLxA=")</f>
        <v>#VALUE!</v>
      </c>
      <c r="R78" t="e">
        <f>AND('6to. Perito'!H23,"AAAAAG3dLxE=")</f>
        <v>#VALUE!</v>
      </c>
      <c r="S78" t="e">
        <f>AND('6to. Perito'!I23,"AAAAAG3dLxI=")</f>
        <v>#VALUE!</v>
      </c>
      <c r="T78" t="e">
        <f>AND('6to. Perito'!J23,"AAAAAG3dLxM=")</f>
        <v>#VALUE!</v>
      </c>
      <c r="U78" t="e">
        <f>AND('6to. Perito'!K23,"AAAAAG3dLxQ=")</f>
        <v>#VALUE!</v>
      </c>
      <c r="V78" t="e">
        <f>AND('6to. Perito'!L23,"AAAAAG3dLxU=")</f>
        <v>#VALUE!</v>
      </c>
      <c r="W78" t="e">
        <f>AND('6to. Perito'!M23,"AAAAAG3dLxY=")</f>
        <v>#VALUE!</v>
      </c>
      <c r="X78" t="e">
        <f>AND('6to. Perito'!N23,"AAAAAG3dLxc=")</f>
        <v>#VALUE!</v>
      </c>
      <c r="Y78" t="e">
        <f>AND('6to. Perito'!O23,"AAAAAG3dLxg=")</f>
        <v>#VALUE!</v>
      </c>
      <c r="Z78" t="e">
        <f>AND('6to. Perito'!P23,"AAAAAG3dLxk=")</f>
        <v>#VALUE!</v>
      </c>
      <c r="AA78" t="e">
        <f>AND('6to. Perito'!Q23,"AAAAAG3dLxo=")</f>
        <v>#VALUE!</v>
      </c>
      <c r="AB78" t="e">
        <f>AND('6to. Perito'!R23,"AAAAAG3dLxs=")</f>
        <v>#VALUE!</v>
      </c>
      <c r="AC78" t="e">
        <f>AND('6to. Perito'!S23,"AAAAAG3dLxw=")</f>
        <v>#VALUE!</v>
      </c>
      <c r="AD78" t="e">
        <f>AND('6to. Perito'!T23,"AAAAAG3dLx0=")</f>
        <v>#VALUE!</v>
      </c>
      <c r="AE78" t="e">
        <f>AND('6to. Perito'!#REF!,"AAAAAG3dLx4=")</f>
        <v>#REF!</v>
      </c>
      <c r="AF78" t="e">
        <f>AND('6to. Perito'!#REF!,"AAAAAG3dLx8=")</f>
        <v>#REF!</v>
      </c>
      <c r="AG78" t="e">
        <f>AND('6to. Perito'!#REF!,"AAAAAG3dLyA=")</f>
        <v>#REF!</v>
      </c>
      <c r="AH78" t="e">
        <f>AND('6to. Perito'!#REF!,"AAAAAG3dLyE=")</f>
        <v>#REF!</v>
      </c>
      <c r="AI78" t="e">
        <f>AND('6to. Perito'!#REF!,"AAAAAG3dLyI=")</f>
        <v>#REF!</v>
      </c>
      <c r="AJ78">
        <f>IF('6to. Perito'!24:24,"AAAAAG3dLyM=",0)</f>
        <v>0</v>
      </c>
      <c r="AK78" t="e">
        <f>AND('6to. Perito'!A24,"AAAAAG3dLyQ=")</f>
        <v>#VALUE!</v>
      </c>
      <c r="AL78" t="e">
        <f>AND('6to. Perito'!B24,"AAAAAG3dLyU=")</f>
        <v>#VALUE!</v>
      </c>
      <c r="AM78" t="e">
        <f>AND('6to. Perito'!C24,"AAAAAG3dLyY=")</f>
        <v>#VALUE!</v>
      </c>
      <c r="AN78" t="e">
        <f>AND('6to. Perito'!D24,"AAAAAG3dLyc=")</f>
        <v>#VALUE!</v>
      </c>
      <c r="AO78" t="e">
        <f>AND('6to. Perito'!E24,"AAAAAG3dLyg=")</f>
        <v>#VALUE!</v>
      </c>
      <c r="AP78" t="e">
        <f>AND('6to. Perito'!F24,"AAAAAG3dLyk=")</f>
        <v>#VALUE!</v>
      </c>
      <c r="AQ78" t="e">
        <f>AND('6to. Perito'!G24,"AAAAAG3dLyo=")</f>
        <v>#VALUE!</v>
      </c>
      <c r="AR78" t="e">
        <f>AND('6to. Perito'!H24,"AAAAAG3dLys=")</f>
        <v>#VALUE!</v>
      </c>
      <c r="AS78" t="e">
        <f>AND('6to. Perito'!I24,"AAAAAG3dLyw=")</f>
        <v>#VALUE!</v>
      </c>
      <c r="AT78" t="e">
        <f>AND('6to. Perito'!J24,"AAAAAG3dLy0=")</f>
        <v>#VALUE!</v>
      </c>
      <c r="AU78" t="e">
        <f>AND('6to. Perito'!K24,"AAAAAG3dLy4=")</f>
        <v>#VALUE!</v>
      </c>
      <c r="AV78" t="e">
        <f>AND('6to. Perito'!L24,"AAAAAG3dLy8=")</f>
        <v>#VALUE!</v>
      </c>
      <c r="AW78" t="e">
        <f>AND('6to. Perito'!M24,"AAAAAG3dLzA=")</f>
        <v>#VALUE!</v>
      </c>
      <c r="AX78" t="e">
        <f>AND('6to. Perito'!N24,"AAAAAG3dLzE=")</f>
        <v>#VALUE!</v>
      </c>
      <c r="AY78" t="e">
        <f>AND('6to. Perito'!O24,"AAAAAG3dLzI=")</f>
        <v>#VALUE!</v>
      </c>
      <c r="AZ78" t="e">
        <f>AND('6to. Perito'!P24,"AAAAAG3dLzM=")</f>
        <v>#VALUE!</v>
      </c>
      <c r="BA78" t="e">
        <f>AND('6to. Perito'!Q24,"AAAAAG3dLzQ=")</f>
        <v>#VALUE!</v>
      </c>
      <c r="BB78" t="e">
        <f>AND('6to. Perito'!R24,"AAAAAG3dLzU=")</f>
        <v>#VALUE!</v>
      </c>
      <c r="BC78" t="e">
        <f>AND('6to. Perito'!S24,"AAAAAG3dLzY=")</f>
        <v>#VALUE!</v>
      </c>
      <c r="BD78" t="e">
        <f>AND('6to. Perito'!T24,"AAAAAG3dLzc=")</f>
        <v>#VALUE!</v>
      </c>
      <c r="BE78" t="e">
        <f>AND('6to. Perito'!#REF!,"AAAAAG3dLzg=")</f>
        <v>#REF!</v>
      </c>
      <c r="BF78" t="e">
        <f>AND('6to. Perito'!#REF!,"AAAAAG3dLzk=")</f>
        <v>#REF!</v>
      </c>
      <c r="BG78" t="e">
        <f>AND('6to. Perito'!#REF!,"AAAAAG3dLzo=")</f>
        <v>#REF!</v>
      </c>
      <c r="BH78" t="e">
        <f>AND('6to. Perito'!#REF!,"AAAAAG3dLzs=")</f>
        <v>#REF!</v>
      </c>
      <c r="BI78" t="e">
        <f>AND('6to. Perito'!#REF!,"AAAAAG3dLzw=")</f>
        <v>#REF!</v>
      </c>
      <c r="BJ78">
        <f>IF('6to. Perito'!25:25,"AAAAAG3dLz0=",0)</f>
        <v>0</v>
      </c>
      <c r="BK78" t="e">
        <f>AND('6to. Perito'!A25,"AAAAAG3dLz4=")</f>
        <v>#VALUE!</v>
      </c>
      <c r="BL78" t="e">
        <f>AND('6to. Perito'!B25,"AAAAAG3dLz8=")</f>
        <v>#VALUE!</v>
      </c>
      <c r="BM78" t="e">
        <f>AND('6to. Perito'!C25,"AAAAAG3dL0A=")</f>
        <v>#VALUE!</v>
      </c>
      <c r="BN78" t="e">
        <f>AND('6to. Perito'!D25,"AAAAAG3dL0E=")</f>
        <v>#VALUE!</v>
      </c>
      <c r="BO78" t="e">
        <f>AND('6to. Perito'!E25,"AAAAAG3dL0I=")</f>
        <v>#VALUE!</v>
      </c>
      <c r="BP78" t="e">
        <f>AND('6to. Perito'!F25,"AAAAAG3dL0M=")</f>
        <v>#VALUE!</v>
      </c>
      <c r="BQ78" t="e">
        <f>AND('6to. Perito'!G25,"AAAAAG3dL0Q=")</f>
        <v>#VALUE!</v>
      </c>
      <c r="BR78" t="e">
        <f>AND('6to. Perito'!H25,"AAAAAG3dL0U=")</f>
        <v>#VALUE!</v>
      </c>
      <c r="BS78" t="e">
        <f>AND('6to. Perito'!I25,"AAAAAG3dL0Y=")</f>
        <v>#VALUE!</v>
      </c>
      <c r="BT78" t="e">
        <f>AND('6to. Perito'!J25,"AAAAAG3dL0c=")</f>
        <v>#VALUE!</v>
      </c>
      <c r="BU78" t="e">
        <f>AND('6to. Perito'!K25,"AAAAAG3dL0g=")</f>
        <v>#VALUE!</v>
      </c>
      <c r="BV78" t="e">
        <f>AND('6to. Perito'!L25,"AAAAAG3dL0k=")</f>
        <v>#VALUE!</v>
      </c>
      <c r="BW78" t="e">
        <f>AND('6to. Perito'!M25,"AAAAAG3dL0o=")</f>
        <v>#VALUE!</v>
      </c>
      <c r="BX78" t="e">
        <f>AND('6to. Perito'!N25,"AAAAAG3dL0s=")</f>
        <v>#VALUE!</v>
      </c>
      <c r="BY78" t="e">
        <f>AND('6to. Perito'!O25,"AAAAAG3dL0w=")</f>
        <v>#VALUE!</v>
      </c>
      <c r="BZ78" t="e">
        <f>AND('6to. Perito'!P25,"AAAAAG3dL00=")</f>
        <v>#VALUE!</v>
      </c>
      <c r="CA78" t="e">
        <f>AND('6to. Perito'!Q25,"AAAAAG3dL04=")</f>
        <v>#VALUE!</v>
      </c>
      <c r="CB78" t="e">
        <f>AND('6to. Perito'!R25,"AAAAAG3dL08=")</f>
        <v>#VALUE!</v>
      </c>
      <c r="CC78" t="e">
        <f>AND('6to. Perito'!S25,"AAAAAG3dL1A=")</f>
        <v>#VALUE!</v>
      </c>
      <c r="CD78" t="e">
        <f>AND('6to. Perito'!T25,"AAAAAG3dL1E=")</f>
        <v>#VALUE!</v>
      </c>
      <c r="CE78" t="e">
        <f>AND('6to. Perito'!#REF!,"AAAAAG3dL1I=")</f>
        <v>#REF!</v>
      </c>
      <c r="CF78" t="e">
        <f>AND('6to. Perito'!#REF!,"AAAAAG3dL1M=")</f>
        <v>#REF!</v>
      </c>
      <c r="CG78" t="e">
        <f>AND('6to. Perito'!#REF!,"AAAAAG3dL1Q=")</f>
        <v>#REF!</v>
      </c>
      <c r="CH78" t="e">
        <f>AND('6to. Perito'!#REF!,"AAAAAG3dL1U=")</f>
        <v>#REF!</v>
      </c>
      <c r="CI78" t="e">
        <f>AND('6to. Perito'!#REF!,"AAAAAG3dL1Y=")</f>
        <v>#REF!</v>
      </c>
      <c r="CJ78">
        <f>IF('6to. Perito'!26:26,"AAAAAG3dL1c=",0)</f>
        <v>0</v>
      </c>
      <c r="CK78" t="e">
        <f>AND('6to. Perito'!A26,"AAAAAG3dL1g=")</f>
        <v>#VALUE!</v>
      </c>
      <c r="CL78" t="e">
        <f>AND('6to. Perito'!B26,"AAAAAG3dL1k=")</f>
        <v>#VALUE!</v>
      </c>
      <c r="CM78" t="e">
        <f>AND('6to. Perito'!C26,"AAAAAG3dL1o=")</f>
        <v>#VALUE!</v>
      </c>
      <c r="CN78" t="e">
        <f>AND('6to. Perito'!D26,"AAAAAG3dL1s=")</f>
        <v>#VALUE!</v>
      </c>
      <c r="CO78" t="e">
        <f>AND('6to. Perito'!E26,"AAAAAG3dL1w=")</f>
        <v>#VALUE!</v>
      </c>
      <c r="CP78" t="e">
        <f>AND('6to. Perito'!F26,"AAAAAG3dL10=")</f>
        <v>#VALUE!</v>
      </c>
      <c r="CQ78" t="e">
        <f>AND('6to. Perito'!G26,"AAAAAG3dL14=")</f>
        <v>#VALUE!</v>
      </c>
      <c r="CR78" t="e">
        <f>AND('6to. Perito'!H26,"AAAAAG3dL18=")</f>
        <v>#VALUE!</v>
      </c>
      <c r="CS78" t="e">
        <f>AND('6to. Perito'!I26,"AAAAAG3dL2A=")</f>
        <v>#VALUE!</v>
      </c>
      <c r="CT78" t="e">
        <f>AND('6to. Perito'!J26,"AAAAAG3dL2E=")</f>
        <v>#VALUE!</v>
      </c>
      <c r="CU78" t="e">
        <f>AND('6to. Perito'!K26,"AAAAAG3dL2I=")</f>
        <v>#VALUE!</v>
      </c>
      <c r="CV78" t="e">
        <f>AND('6to. Perito'!L26,"AAAAAG3dL2M=")</f>
        <v>#VALUE!</v>
      </c>
      <c r="CW78" t="e">
        <f>AND('6to. Perito'!M26,"AAAAAG3dL2Q=")</f>
        <v>#VALUE!</v>
      </c>
      <c r="CX78" t="e">
        <f>AND('6to. Perito'!N26,"AAAAAG3dL2U=")</f>
        <v>#VALUE!</v>
      </c>
      <c r="CY78" t="e">
        <f>AND('6to. Perito'!O26,"AAAAAG3dL2Y=")</f>
        <v>#VALUE!</v>
      </c>
      <c r="CZ78" t="e">
        <f>AND('6to. Perito'!P26,"AAAAAG3dL2c=")</f>
        <v>#VALUE!</v>
      </c>
      <c r="DA78" t="e">
        <f>AND('6to. Perito'!Q26,"AAAAAG3dL2g=")</f>
        <v>#VALUE!</v>
      </c>
      <c r="DB78" t="e">
        <f>AND('6to. Perito'!R26,"AAAAAG3dL2k=")</f>
        <v>#VALUE!</v>
      </c>
      <c r="DC78" t="e">
        <f>AND('6to. Perito'!S26,"AAAAAG3dL2o=")</f>
        <v>#VALUE!</v>
      </c>
      <c r="DD78" t="e">
        <f>AND('6to. Perito'!T26,"AAAAAG3dL2s=")</f>
        <v>#VALUE!</v>
      </c>
      <c r="DE78" t="e">
        <f>AND('6to. Perito'!#REF!,"AAAAAG3dL2w=")</f>
        <v>#REF!</v>
      </c>
      <c r="DF78" t="e">
        <f>AND('6to. Perito'!#REF!,"AAAAAG3dL20=")</f>
        <v>#REF!</v>
      </c>
      <c r="DG78" t="e">
        <f>AND('6to. Perito'!#REF!,"AAAAAG3dL24=")</f>
        <v>#REF!</v>
      </c>
      <c r="DH78" t="e">
        <f>AND('6to. Perito'!#REF!,"AAAAAG3dL28=")</f>
        <v>#REF!</v>
      </c>
      <c r="DI78" t="e">
        <f>AND('6to. Perito'!#REF!,"AAAAAG3dL3A=")</f>
        <v>#REF!</v>
      </c>
      <c r="DJ78">
        <f>IF('6to. Perito'!27:27,"AAAAAG3dL3E=",0)</f>
        <v>0</v>
      </c>
      <c r="DK78" t="e">
        <f>AND('6to. Perito'!A27,"AAAAAG3dL3I=")</f>
        <v>#VALUE!</v>
      </c>
      <c r="DL78" t="e">
        <f>AND('6to. Perito'!B27,"AAAAAG3dL3M=")</f>
        <v>#VALUE!</v>
      </c>
      <c r="DM78" t="e">
        <f>AND('6to. Perito'!C27,"AAAAAG3dL3Q=")</f>
        <v>#VALUE!</v>
      </c>
      <c r="DN78" t="e">
        <f>AND('6to. Perito'!D27,"AAAAAG3dL3U=")</f>
        <v>#VALUE!</v>
      </c>
      <c r="DO78" t="e">
        <f>AND('6to. Perito'!E27,"AAAAAG3dL3Y=")</f>
        <v>#VALUE!</v>
      </c>
      <c r="DP78" t="e">
        <f>AND('6to. Perito'!F27,"AAAAAG3dL3c=")</f>
        <v>#VALUE!</v>
      </c>
      <c r="DQ78" t="e">
        <f>AND('6to. Perito'!G27,"AAAAAG3dL3g=")</f>
        <v>#VALUE!</v>
      </c>
      <c r="DR78" t="e">
        <f>AND('6to. Perito'!H27,"AAAAAG3dL3k=")</f>
        <v>#VALUE!</v>
      </c>
      <c r="DS78" t="e">
        <f>AND('6to. Perito'!I27,"AAAAAG3dL3o=")</f>
        <v>#VALUE!</v>
      </c>
      <c r="DT78" t="e">
        <f>AND('6to. Perito'!J27,"AAAAAG3dL3s=")</f>
        <v>#VALUE!</v>
      </c>
      <c r="DU78" t="e">
        <f>AND('6to. Perito'!K27,"AAAAAG3dL3w=")</f>
        <v>#VALUE!</v>
      </c>
      <c r="DV78" t="e">
        <f>AND('6to. Perito'!L27,"AAAAAG3dL30=")</f>
        <v>#VALUE!</v>
      </c>
      <c r="DW78" t="e">
        <f>AND('6to. Perito'!M27,"AAAAAG3dL34=")</f>
        <v>#VALUE!</v>
      </c>
      <c r="DX78" t="e">
        <f>AND('6to. Perito'!N27,"AAAAAG3dL38=")</f>
        <v>#VALUE!</v>
      </c>
      <c r="DY78" t="e">
        <f>AND('6to. Perito'!O27,"AAAAAG3dL4A=")</f>
        <v>#VALUE!</v>
      </c>
      <c r="DZ78" t="e">
        <f>AND('6to. Perito'!P27,"AAAAAG3dL4E=")</f>
        <v>#VALUE!</v>
      </c>
      <c r="EA78" t="e">
        <f>AND('6to. Perito'!Q27,"AAAAAG3dL4I=")</f>
        <v>#VALUE!</v>
      </c>
      <c r="EB78" t="e">
        <f>AND('6to. Perito'!R27,"AAAAAG3dL4M=")</f>
        <v>#VALUE!</v>
      </c>
      <c r="EC78" t="e">
        <f>AND('6to. Perito'!S27,"AAAAAG3dL4Q=")</f>
        <v>#VALUE!</v>
      </c>
      <c r="ED78" t="e">
        <f>AND('6to. Perito'!T27,"AAAAAG3dL4U=")</f>
        <v>#VALUE!</v>
      </c>
      <c r="EE78" t="e">
        <f>AND('6to. Perito'!#REF!,"AAAAAG3dL4Y=")</f>
        <v>#REF!</v>
      </c>
      <c r="EF78" t="e">
        <f>AND('6to. Perito'!#REF!,"AAAAAG3dL4c=")</f>
        <v>#REF!</v>
      </c>
      <c r="EG78" t="e">
        <f>AND('6to. Perito'!#REF!,"AAAAAG3dL4g=")</f>
        <v>#REF!</v>
      </c>
      <c r="EH78" t="e">
        <f>AND('6to. Perito'!#REF!,"AAAAAG3dL4k=")</f>
        <v>#REF!</v>
      </c>
      <c r="EI78" t="e">
        <f>AND('6to. Perito'!#REF!,"AAAAAG3dL4o=")</f>
        <v>#REF!</v>
      </c>
      <c r="EJ78">
        <f>IF('6to. Perito'!28:28,"AAAAAG3dL4s=",0)</f>
        <v>0</v>
      </c>
      <c r="EK78" t="e">
        <f>AND('6to. Perito'!A28,"AAAAAG3dL4w=")</f>
        <v>#VALUE!</v>
      </c>
      <c r="EL78" t="e">
        <f>AND('6to. Perito'!B28,"AAAAAG3dL40=")</f>
        <v>#VALUE!</v>
      </c>
      <c r="EM78" t="e">
        <f>AND('6to. Perito'!C28,"AAAAAG3dL44=")</f>
        <v>#VALUE!</v>
      </c>
      <c r="EN78" t="e">
        <f>AND('6to. Perito'!D28,"AAAAAG3dL48=")</f>
        <v>#VALUE!</v>
      </c>
      <c r="EO78" t="e">
        <f>AND('6to. Perito'!E28,"AAAAAG3dL5A=")</f>
        <v>#VALUE!</v>
      </c>
      <c r="EP78" t="e">
        <f>AND('6to. Perito'!F28,"AAAAAG3dL5E=")</f>
        <v>#VALUE!</v>
      </c>
      <c r="EQ78" t="e">
        <f>AND('6to. Perito'!G28,"AAAAAG3dL5I=")</f>
        <v>#VALUE!</v>
      </c>
      <c r="ER78" t="e">
        <f>AND('6to. Perito'!H28,"AAAAAG3dL5M=")</f>
        <v>#VALUE!</v>
      </c>
      <c r="ES78" t="e">
        <f>AND('6to. Perito'!I28,"AAAAAG3dL5Q=")</f>
        <v>#VALUE!</v>
      </c>
      <c r="ET78" t="e">
        <f>AND('6to. Perito'!J28,"AAAAAG3dL5U=")</f>
        <v>#VALUE!</v>
      </c>
      <c r="EU78" t="e">
        <f>AND('6to. Perito'!K28,"AAAAAG3dL5Y=")</f>
        <v>#VALUE!</v>
      </c>
      <c r="EV78" t="e">
        <f>AND('6to. Perito'!L28,"AAAAAG3dL5c=")</f>
        <v>#VALUE!</v>
      </c>
      <c r="EW78" t="e">
        <f>AND('6to. Perito'!M28,"AAAAAG3dL5g=")</f>
        <v>#VALUE!</v>
      </c>
      <c r="EX78" t="e">
        <f>AND('6to. Perito'!N28,"AAAAAG3dL5k=")</f>
        <v>#VALUE!</v>
      </c>
      <c r="EY78" t="e">
        <f>AND('6to. Perito'!O28,"AAAAAG3dL5o=")</f>
        <v>#VALUE!</v>
      </c>
      <c r="EZ78" t="e">
        <f>AND('6to. Perito'!P28,"AAAAAG3dL5s=")</f>
        <v>#VALUE!</v>
      </c>
      <c r="FA78" t="e">
        <f>AND('6to. Perito'!Q28,"AAAAAG3dL5w=")</f>
        <v>#VALUE!</v>
      </c>
      <c r="FB78" t="e">
        <f>AND('6to. Perito'!R28,"AAAAAG3dL50=")</f>
        <v>#VALUE!</v>
      </c>
      <c r="FC78" t="e">
        <f>AND('6to. Perito'!S28,"AAAAAG3dL54=")</f>
        <v>#VALUE!</v>
      </c>
      <c r="FD78" t="e">
        <f>AND('6to. Perito'!T28,"AAAAAG3dL58=")</f>
        <v>#VALUE!</v>
      </c>
      <c r="FE78" t="e">
        <f>AND('6to. Perito'!#REF!,"AAAAAG3dL6A=")</f>
        <v>#REF!</v>
      </c>
      <c r="FF78" t="e">
        <f>AND('6to. Perito'!#REF!,"AAAAAG3dL6E=")</f>
        <v>#REF!</v>
      </c>
      <c r="FG78" t="e">
        <f>AND('6to. Perito'!#REF!,"AAAAAG3dL6I=")</f>
        <v>#REF!</v>
      </c>
      <c r="FH78" t="e">
        <f>AND('6to. Perito'!#REF!,"AAAAAG3dL6M=")</f>
        <v>#REF!</v>
      </c>
      <c r="FI78" t="e">
        <f>AND('6to. Perito'!#REF!,"AAAAAG3dL6Q=")</f>
        <v>#REF!</v>
      </c>
      <c r="FJ78">
        <f>IF('6to. Perito'!29:29,"AAAAAG3dL6U=",0)</f>
        <v>0</v>
      </c>
      <c r="FK78" t="e">
        <f>AND('6to. Perito'!A29,"AAAAAG3dL6Y=")</f>
        <v>#VALUE!</v>
      </c>
      <c r="FL78" t="e">
        <f>AND('6to. Perito'!B29,"AAAAAG3dL6c=")</f>
        <v>#VALUE!</v>
      </c>
      <c r="FM78" t="e">
        <f>AND('6to. Perito'!C29,"AAAAAG3dL6g=")</f>
        <v>#VALUE!</v>
      </c>
      <c r="FN78" t="e">
        <f>AND('6to. Perito'!D29,"AAAAAG3dL6k=")</f>
        <v>#VALUE!</v>
      </c>
      <c r="FO78" t="e">
        <f>AND('6to. Perito'!E29,"AAAAAG3dL6o=")</f>
        <v>#VALUE!</v>
      </c>
      <c r="FP78" t="e">
        <f>AND('6to. Perito'!F29,"AAAAAG3dL6s=")</f>
        <v>#VALUE!</v>
      </c>
      <c r="FQ78" t="e">
        <f>AND('6to. Perito'!G29,"AAAAAG3dL6w=")</f>
        <v>#VALUE!</v>
      </c>
      <c r="FR78" t="e">
        <f>AND('6to. Perito'!H29,"AAAAAG3dL60=")</f>
        <v>#VALUE!</v>
      </c>
      <c r="FS78" t="e">
        <f>AND('6to. Perito'!I29,"AAAAAG3dL64=")</f>
        <v>#VALUE!</v>
      </c>
      <c r="FT78" t="e">
        <f>AND('6to. Perito'!J29,"AAAAAG3dL68=")</f>
        <v>#VALUE!</v>
      </c>
      <c r="FU78" t="e">
        <f>AND('6to. Perito'!K29,"AAAAAG3dL7A=")</f>
        <v>#VALUE!</v>
      </c>
      <c r="FV78" t="e">
        <f>AND('6to. Perito'!L29,"AAAAAG3dL7E=")</f>
        <v>#VALUE!</v>
      </c>
      <c r="FW78" t="e">
        <f>AND('6to. Perito'!M29,"AAAAAG3dL7I=")</f>
        <v>#VALUE!</v>
      </c>
      <c r="FX78" t="e">
        <f>AND('6to. Perito'!N29,"AAAAAG3dL7M=")</f>
        <v>#VALUE!</v>
      </c>
      <c r="FY78" t="e">
        <f>AND('6to. Perito'!O29,"AAAAAG3dL7Q=")</f>
        <v>#VALUE!</v>
      </c>
      <c r="FZ78" t="e">
        <f>AND('6to. Perito'!P29,"AAAAAG3dL7U=")</f>
        <v>#VALUE!</v>
      </c>
      <c r="GA78" t="e">
        <f>AND('6to. Perito'!Q29,"AAAAAG3dL7Y=")</f>
        <v>#VALUE!</v>
      </c>
      <c r="GB78" t="e">
        <f>AND('6to. Perito'!R29,"AAAAAG3dL7c=")</f>
        <v>#VALUE!</v>
      </c>
      <c r="GC78" t="e">
        <f>AND('6to. Perito'!S29,"AAAAAG3dL7g=")</f>
        <v>#VALUE!</v>
      </c>
      <c r="GD78" t="e">
        <f>AND('6to. Perito'!T29,"AAAAAG3dL7k=")</f>
        <v>#VALUE!</v>
      </c>
      <c r="GE78" t="e">
        <f>AND('6to. Perito'!#REF!,"AAAAAG3dL7o=")</f>
        <v>#REF!</v>
      </c>
      <c r="GF78" t="e">
        <f>AND('6to. Perito'!#REF!,"AAAAAG3dL7s=")</f>
        <v>#REF!</v>
      </c>
      <c r="GG78" t="e">
        <f>AND('6to. Perito'!#REF!,"AAAAAG3dL7w=")</f>
        <v>#REF!</v>
      </c>
      <c r="GH78" t="e">
        <f>AND('6to. Perito'!#REF!,"AAAAAG3dL70=")</f>
        <v>#REF!</v>
      </c>
      <c r="GI78" t="e">
        <f>AND('6to. Perito'!#REF!,"AAAAAG3dL74=")</f>
        <v>#REF!</v>
      </c>
      <c r="GJ78">
        <f>IF('6to. Perito'!30:30,"AAAAAG3dL78=",0)</f>
        <v>0</v>
      </c>
      <c r="GK78" t="e">
        <f>AND('6to. Perito'!A30,"AAAAAG3dL8A=")</f>
        <v>#VALUE!</v>
      </c>
      <c r="GL78" t="e">
        <f>AND('6to. Perito'!B30,"AAAAAG3dL8E=")</f>
        <v>#VALUE!</v>
      </c>
      <c r="GM78" t="e">
        <f>AND('6to. Perito'!C30,"AAAAAG3dL8I=")</f>
        <v>#VALUE!</v>
      </c>
      <c r="GN78" t="e">
        <f>AND('6to. Perito'!D30,"AAAAAG3dL8M=")</f>
        <v>#VALUE!</v>
      </c>
      <c r="GO78" t="e">
        <f>AND('6to. Perito'!E30,"AAAAAG3dL8Q=")</f>
        <v>#VALUE!</v>
      </c>
      <c r="GP78" t="e">
        <f>AND('6to. Perito'!F30,"AAAAAG3dL8U=")</f>
        <v>#VALUE!</v>
      </c>
      <c r="GQ78" t="e">
        <f>AND('6to. Perito'!G30,"AAAAAG3dL8Y=")</f>
        <v>#VALUE!</v>
      </c>
      <c r="GR78" t="e">
        <f>AND('6to. Perito'!H30,"AAAAAG3dL8c=")</f>
        <v>#VALUE!</v>
      </c>
      <c r="GS78" t="e">
        <f>AND('6to. Perito'!I30,"AAAAAG3dL8g=")</f>
        <v>#VALUE!</v>
      </c>
      <c r="GT78" t="e">
        <f>AND('6to. Perito'!J30,"AAAAAG3dL8k=")</f>
        <v>#VALUE!</v>
      </c>
      <c r="GU78" t="e">
        <f>AND('6to. Perito'!K30,"AAAAAG3dL8o=")</f>
        <v>#VALUE!</v>
      </c>
      <c r="GV78" t="e">
        <f>AND('6to. Perito'!L30,"AAAAAG3dL8s=")</f>
        <v>#VALUE!</v>
      </c>
      <c r="GW78" t="e">
        <f>AND('6to. Perito'!M30,"AAAAAG3dL8w=")</f>
        <v>#VALUE!</v>
      </c>
      <c r="GX78" t="e">
        <f>AND('6to. Perito'!N30,"AAAAAG3dL80=")</f>
        <v>#VALUE!</v>
      </c>
      <c r="GY78" t="e">
        <f>AND('6to. Perito'!O30,"AAAAAG3dL84=")</f>
        <v>#VALUE!</v>
      </c>
      <c r="GZ78" t="e">
        <f>AND('6to. Perito'!P30,"AAAAAG3dL88=")</f>
        <v>#VALUE!</v>
      </c>
      <c r="HA78" t="e">
        <f>AND('6to. Perito'!Q30,"AAAAAG3dL9A=")</f>
        <v>#VALUE!</v>
      </c>
      <c r="HB78" t="e">
        <f>AND('6to. Perito'!R30,"AAAAAG3dL9E=")</f>
        <v>#VALUE!</v>
      </c>
      <c r="HC78" t="e">
        <f>AND('6to. Perito'!S30,"AAAAAG3dL9I=")</f>
        <v>#VALUE!</v>
      </c>
      <c r="HD78" t="e">
        <f>AND('6to. Perito'!T30,"AAAAAG3dL9M=")</f>
        <v>#VALUE!</v>
      </c>
      <c r="HE78" t="e">
        <f>AND('6to. Perito'!#REF!,"AAAAAG3dL9Q=")</f>
        <v>#REF!</v>
      </c>
      <c r="HF78" t="e">
        <f>AND('6to. Perito'!#REF!,"AAAAAG3dL9U=")</f>
        <v>#REF!</v>
      </c>
      <c r="HG78" t="e">
        <f>AND('6to. Perito'!#REF!,"AAAAAG3dL9Y=")</f>
        <v>#REF!</v>
      </c>
      <c r="HH78" t="e">
        <f>AND('6to. Perito'!#REF!,"AAAAAG3dL9c=")</f>
        <v>#REF!</v>
      </c>
      <c r="HI78" t="e">
        <f>AND('6to. Perito'!#REF!,"AAAAAG3dL9g=")</f>
        <v>#REF!</v>
      </c>
      <c r="HJ78">
        <f>IF('6to. Perito'!31:31,"AAAAAG3dL9k=",0)</f>
        <v>0</v>
      </c>
      <c r="HK78" t="e">
        <f>AND('6to. Perito'!A31,"AAAAAG3dL9o=")</f>
        <v>#VALUE!</v>
      </c>
      <c r="HL78" t="e">
        <f>AND('6to. Perito'!B31,"AAAAAG3dL9s=")</f>
        <v>#VALUE!</v>
      </c>
      <c r="HM78" t="e">
        <f>AND('6to. Perito'!C31,"AAAAAG3dL9w=")</f>
        <v>#VALUE!</v>
      </c>
      <c r="HN78" t="e">
        <f>AND('6to. Perito'!D31,"AAAAAG3dL90=")</f>
        <v>#VALUE!</v>
      </c>
      <c r="HO78" t="e">
        <f>AND('6to. Perito'!E31,"AAAAAG3dL94=")</f>
        <v>#VALUE!</v>
      </c>
      <c r="HP78" t="e">
        <f>AND('6to. Perito'!F31,"AAAAAG3dL98=")</f>
        <v>#VALUE!</v>
      </c>
      <c r="HQ78" t="e">
        <f>AND('6to. Perito'!G31,"AAAAAG3dL+A=")</f>
        <v>#VALUE!</v>
      </c>
      <c r="HR78" t="e">
        <f>AND('6to. Perito'!H31,"AAAAAG3dL+E=")</f>
        <v>#VALUE!</v>
      </c>
      <c r="HS78" t="e">
        <f>AND('6to. Perito'!I31,"AAAAAG3dL+I=")</f>
        <v>#VALUE!</v>
      </c>
      <c r="HT78" t="e">
        <f>AND('6to. Perito'!J31,"AAAAAG3dL+M=")</f>
        <v>#VALUE!</v>
      </c>
      <c r="HU78" t="e">
        <f>AND('6to. Perito'!K31,"AAAAAG3dL+Q=")</f>
        <v>#VALUE!</v>
      </c>
      <c r="HV78" t="e">
        <f>AND('6to. Perito'!L31,"AAAAAG3dL+U=")</f>
        <v>#VALUE!</v>
      </c>
      <c r="HW78" t="e">
        <f>AND('6to. Perito'!M31,"AAAAAG3dL+Y=")</f>
        <v>#VALUE!</v>
      </c>
      <c r="HX78" t="e">
        <f>AND('6to. Perito'!N31,"AAAAAG3dL+c=")</f>
        <v>#VALUE!</v>
      </c>
      <c r="HY78" t="e">
        <f>AND('6to. Perito'!O31,"AAAAAG3dL+g=")</f>
        <v>#VALUE!</v>
      </c>
      <c r="HZ78" t="e">
        <f>AND('6to. Perito'!P31,"AAAAAG3dL+k=")</f>
        <v>#VALUE!</v>
      </c>
      <c r="IA78" t="e">
        <f>AND('6to. Perito'!Q31,"AAAAAG3dL+o=")</f>
        <v>#VALUE!</v>
      </c>
      <c r="IB78" t="e">
        <f>AND('6to. Perito'!R31,"AAAAAG3dL+s=")</f>
        <v>#VALUE!</v>
      </c>
      <c r="IC78" t="e">
        <f>AND('6to. Perito'!S31,"AAAAAG3dL+w=")</f>
        <v>#VALUE!</v>
      </c>
      <c r="ID78" t="e">
        <f>AND('6to. Perito'!T31,"AAAAAG3dL+0=")</f>
        <v>#VALUE!</v>
      </c>
      <c r="IE78" t="e">
        <f>AND('6to. Perito'!#REF!,"AAAAAG3dL+4=")</f>
        <v>#REF!</v>
      </c>
      <c r="IF78" t="e">
        <f>AND('6to. Perito'!#REF!,"AAAAAG3dL+8=")</f>
        <v>#REF!</v>
      </c>
      <c r="IG78" t="e">
        <f>AND('6to. Perito'!#REF!,"AAAAAG3dL/A=")</f>
        <v>#REF!</v>
      </c>
      <c r="IH78" t="e">
        <f>AND('6to. Perito'!#REF!,"AAAAAG3dL/E=")</f>
        <v>#REF!</v>
      </c>
      <c r="II78" t="e">
        <f>AND('6to. Perito'!#REF!,"AAAAAG3dL/I=")</f>
        <v>#REF!</v>
      </c>
      <c r="IJ78">
        <f>IF('6to. Perito'!32:32,"AAAAAG3dL/M=",0)</f>
        <v>0</v>
      </c>
      <c r="IK78" t="e">
        <f>AND('6to. Perito'!A32,"AAAAAG3dL/Q=")</f>
        <v>#VALUE!</v>
      </c>
      <c r="IL78" t="e">
        <f>AND('6to. Perito'!B32,"AAAAAG3dL/U=")</f>
        <v>#VALUE!</v>
      </c>
      <c r="IM78" t="e">
        <f>AND('6to. Perito'!C32,"AAAAAG3dL/Y=")</f>
        <v>#VALUE!</v>
      </c>
      <c r="IN78" t="e">
        <f>AND('6to. Perito'!D32,"AAAAAG3dL/c=")</f>
        <v>#VALUE!</v>
      </c>
      <c r="IO78" t="e">
        <f>AND('6to. Perito'!E32,"AAAAAG3dL/g=")</f>
        <v>#VALUE!</v>
      </c>
      <c r="IP78" t="e">
        <f>AND('6to. Perito'!F32,"AAAAAG3dL/k=")</f>
        <v>#VALUE!</v>
      </c>
      <c r="IQ78" t="e">
        <f>AND('6to. Perito'!G32,"AAAAAG3dL/o=")</f>
        <v>#VALUE!</v>
      </c>
      <c r="IR78" t="e">
        <f>AND('6to. Perito'!H32,"AAAAAG3dL/s=")</f>
        <v>#VALUE!</v>
      </c>
      <c r="IS78" t="e">
        <f>AND('6to. Perito'!I32,"AAAAAG3dL/w=")</f>
        <v>#VALUE!</v>
      </c>
      <c r="IT78" t="e">
        <f>AND('6to. Perito'!J32,"AAAAAG3dL/0=")</f>
        <v>#VALUE!</v>
      </c>
      <c r="IU78" t="e">
        <f>AND('6to. Perito'!K32,"AAAAAG3dL/4=")</f>
        <v>#VALUE!</v>
      </c>
      <c r="IV78" t="e">
        <f>AND('6to. Perito'!L32,"AAAAAG3dL/8=")</f>
        <v>#VALUE!</v>
      </c>
    </row>
    <row r="79" spans="1:256">
      <c r="A79" t="e">
        <f>AND('6to. Perito'!M32,"AAAAAG5W5gA=")</f>
        <v>#VALUE!</v>
      </c>
      <c r="B79" t="e">
        <f>AND('6to. Perito'!N32,"AAAAAG5W5gE=")</f>
        <v>#VALUE!</v>
      </c>
      <c r="C79" t="e">
        <f>AND('6to. Perito'!O32,"AAAAAG5W5gI=")</f>
        <v>#VALUE!</v>
      </c>
      <c r="D79" t="e">
        <f>AND('6to. Perito'!P32,"AAAAAG5W5gM=")</f>
        <v>#VALUE!</v>
      </c>
      <c r="E79" t="e">
        <f>AND('6to. Perito'!Q32,"AAAAAG5W5gQ=")</f>
        <v>#VALUE!</v>
      </c>
      <c r="F79" t="e">
        <f>AND('6to. Perito'!R32,"AAAAAG5W5gU=")</f>
        <v>#VALUE!</v>
      </c>
      <c r="G79" t="e">
        <f>AND('6to. Perito'!S32,"AAAAAG5W5gY=")</f>
        <v>#VALUE!</v>
      </c>
      <c r="H79" t="e">
        <f>AND('6to. Perito'!T32,"AAAAAG5W5gc=")</f>
        <v>#VALUE!</v>
      </c>
      <c r="I79" t="e">
        <f>AND('6to. Perito'!#REF!,"AAAAAG5W5gg=")</f>
        <v>#REF!</v>
      </c>
      <c r="J79" t="e">
        <f>AND('6to. Perito'!#REF!,"AAAAAG5W5gk=")</f>
        <v>#REF!</v>
      </c>
      <c r="K79" t="e">
        <f>AND('6to. Perito'!#REF!,"AAAAAG5W5go=")</f>
        <v>#REF!</v>
      </c>
      <c r="L79" t="e">
        <f>AND('6to. Perito'!#REF!,"AAAAAG5W5gs=")</f>
        <v>#REF!</v>
      </c>
      <c r="M79" t="e">
        <f>AND('6to. Perito'!#REF!,"AAAAAG5W5gw=")</f>
        <v>#REF!</v>
      </c>
      <c r="N79">
        <f>IF('6to. Perito'!33:33,"AAAAAG5W5g0=",0)</f>
        <v>0</v>
      </c>
      <c r="O79" t="e">
        <f>AND('6to. Perito'!A33,"AAAAAG5W5g4=")</f>
        <v>#VALUE!</v>
      </c>
      <c r="P79" t="e">
        <f>AND('6to. Perito'!B33,"AAAAAG5W5g8=")</f>
        <v>#VALUE!</v>
      </c>
      <c r="Q79" t="e">
        <f>AND('6to. Perito'!C33,"AAAAAG5W5hA=")</f>
        <v>#VALUE!</v>
      </c>
      <c r="R79" t="e">
        <f>AND('6to. Perito'!D33,"AAAAAG5W5hE=")</f>
        <v>#VALUE!</v>
      </c>
      <c r="S79" t="e">
        <f>AND('6to. Perito'!E33,"AAAAAG5W5hI=")</f>
        <v>#VALUE!</v>
      </c>
      <c r="T79" t="e">
        <f>AND('6to. Perito'!F33,"AAAAAG5W5hM=")</f>
        <v>#VALUE!</v>
      </c>
      <c r="U79" t="e">
        <f>AND('6to. Perito'!G33,"AAAAAG5W5hQ=")</f>
        <v>#VALUE!</v>
      </c>
      <c r="V79" t="e">
        <f>AND('6to. Perito'!H33,"AAAAAG5W5hU=")</f>
        <v>#VALUE!</v>
      </c>
      <c r="W79" t="e">
        <f>AND('6to. Perito'!I33,"AAAAAG5W5hY=")</f>
        <v>#VALUE!</v>
      </c>
      <c r="X79" t="e">
        <f>AND('6to. Perito'!J33,"AAAAAG5W5hc=")</f>
        <v>#VALUE!</v>
      </c>
      <c r="Y79" t="e">
        <f>AND('6to. Perito'!K33,"AAAAAG5W5hg=")</f>
        <v>#VALUE!</v>
      </c>
      <c r="Z79" t="e">
        <f>AND('6to. Perito'!L33,"AAAAAG5W5hk=")</f>
        <v>#VALUE!</v>
      </c>
      <c r="AA79" t="e">
        <f>AND('6to. Perito'!M33,"AAAAAG5W5ho=")</f>
        <v>#VALUE!</v>
      </c>
      <c r="AB79" t="e">
        <f>AND('6to. Perito'!N33,"AAAAAG5W5hs=")</f>
        <v>#VALUE!</v>
      </c>
      <c r="AC79" t="e">
        <f>AND('6to. Perito'!O33,"AAAAAG5W5hw=")</f>
        <v>#VALUE!</v>
      </c>
      <c r="AD79" t="e">
        <f>AND('6to. Perito'!P33,"AAAAAG5W5h0=")</f>
        <v>#VALUE!</v>
      </c>
      <c r="AE79" t="e">
        <f>AND('6to. Perito'!Q33,"AAAAAG5W5h4=")</f>
        <v>#VALUE!</v>
      </c>
      <c r="AF79" t="e">
        <f>AND('6to. Perito'!R33,"AAAAAG5W5h8=")</f>
        <v>#VALUE!</v>
      </c>
      <c r="AG79" t="e">
        <f>AND('6to. Perito'!S33,"AAAAAG5W5iA=")</f>
        <v>#VALUE!</v>
      </c>
      <c r="AH79" t="e">
        <f>AND('6to. Perito'!T33,"AAAAAG5W5iE=")</f>
        <v>#VALUE!</v>
      </c>
      <c r="AI79" t="e">
        <f>AND('6to. Perito'!#REF!,"AAAAAG5W5iI=")</f>
        <v>#REF!</v>
      </c>
      <c r="AJ79" t="e">
        <f>AND('6to. Perito'!#REF!,"AAAAAG5W5iM=")</f>
        <v>#REF!</v>
      </c>
      <c r="AK79" t="e">
        <f>AND('6to. Perito'!#REF!,"AAAAAG5W5iQ=")</f>
        <v>#REF!</v>
      </c>
      <c r="AL79" t="e">
        <f>AND('6to. Perito'!#REF!,"AAAAAG5W5iU=")</f>
        <v>#REF!</v>
      </c>
      <c r="AM79" t="e">
        <f>AND('6to. Perito'!#REF!,"AAAAAG5W5iY=")</f>
        <v>#REF!</v>
      </c>
      <c r="AN79">
        <f>IF('6to. Perito'!34:34,"AAAAAG5W5ic=",0)</f>
        <v>0</v>
      </c>
      <c r="AO79" t="e">
        <f>AND('6to. Perito'!A34,"AAAAAG5W5ig=")</f>
        <v>#VALUE!</v>
      </c>
      <c r="AP79" t="e">
        <f>AND('6to. Perito'!B34,"AAAAAG5W5ik=")</f>
        <v>#VALUE!</v>
      </c>
      <c r="AQ79" t="e">
        <f>AND('6to. Perito'!C34,"AAAAAG5W5io=")</f>
        <v>#VALUE!</v>
      </c>
      <c r="AR79" t="e">
        <f>AND('6to. Perito'!D34,"AAAAAG5W5is=")</f>
        <v>#VALUE!</v>
      </c>
      <c r="AS79" t="e">
        <f>AND('6to. Perito'!E34,"AAAAAG5W5iw=")</f>
        <v>#VALUE!</v>
      </c>
      <c r="AT79" t="e">
        <f>AND('6to. Perito'!F34,"AAAAAG5W5i0=")</f>
        <v>#VALUE!</v>
      </c>
      <c r="AU79" t="e">
        <f>AND('6to. Perito'!G34,"AAAAAG5W5i4=")</f>
        <v>#VALUE!</v>
      </c>
      <c r="AV79" t="e">
        <f>AND('6to. Perito'!H34,"AAAAAG5W5i8=")</f>
        <v>#VALUE!</v>
      </c>
      <c r="AW79" t="e">
        <f>AND('6to. Perito'!I34,"AAAAAG5W5jA=")</f>
        <v>#VALUE!</v>
      </c>
      <c r="AX79" t="e">
        <f>AND('6to. Perito'!J34,"AAAAAG5W5jE=")</f>
        <v>#VALUE!</v>
      </c>
      <c r="AY79" t="e">
        <f>AND('6to. Perito'!K34,"AAAAAG5W5jI=")</f>
        <v>#VALUE!</v>
      </c>
      <c r="AZ79" t="e">
        <f>AND('6to. Perito'!L34,"AAAAAG5W5jM=")</f>
        <v>#VALUE!</v>
      </c>
      <c r="BA79" t="e">
        <f>AND('6to. Perito'!M34,"AAAAAG5W5jQ=")</f>
        <v>#VALUE!</v>
      </c>
      <c r="BB79" t="e">
        <f>AND('6to. Perito'!N34,"AAAAAG5W5jU=")</f>
        <v>#VALUE!</v>
      </c>
      <c r="BC79" t="e">
        <f>AND('6to. Perito'!O34,"AAAAAG5W5jY=")</f>
        <v>#VALUE!</v>
      </c>
      <c r="BD79" t="e">
        <f>AND('6to. Perito'!P34,"AAAAAG5W5jc=")</f>
        <v>#VALUE!</v>
      </c>
      <c r="BE79" t="e">
        <f>AND('6to. Perito'!Q34,"AAAAAG5W5jg=")</f>
        <v>#VALUE!</v>
      </c>
      <c r="BF79" t="e">
        <f>AND('6to. Perito'!R34,"AAAAAG5W5jk=")</f>
        <v>#VALUE!</v>
      </c>
      <c r="BG79" t="e">
        <f>AND('6to. Perito'!S34,"AAAAAG5W5jo=")</f>
        <v>#VALUE!</v>
      </c>
      <c r="BH79" t="e">
        <f>AND('6to. Perito'!T34,"AAAAAG5W5js=")</f>
        <v>#VALUE!</v>
      </c>
      <c r="BI79" t="e">
        <f>AND('6to. Perito'!#REF!,"AAAAAG5W5jw=")</f>
        <v>#REF!</v>
      </c>
      <c r="BJ79" t="e">
        <f>AND('6to. Perito'!#REF!,"AAAAAG5W5j0=")</f>
        <v>#REF!</v>
      </c>
      <c r="BK79" t="e">
        <f>AND('6to. Perito'!#REF!,"AAAAAG5W5j4=")</f>
        <v>#REF!</v>
      </c>
      <c r="BL79" t="e">
        <f>AND('6to. Perito'!#REF!,"AAAAAG5W5j8=")</f>
        <v>#REF!</v>
      </c>
      <c r="BM79" t="e">
        <f>AND('6to. Perito'!#REF!,"AAAAAG5W5kA=")</f>
        <v>#REF!</v>
      </c>
      <c r="BN79">
        <f>IF('6to. Perito'!35:35,"AAAAAG5W5kE=",0)</f>
        <v>0</v>
      </c>
      <c r="BO79" t="e">
        <f>AND('6to. Perito'!A35,"AAAAAG5W5kI=")</f>
        <v>#VALUE!</v>
      </c>
      <c r="BP79" t="e">
        <f>AND('6to. Perito'!B35,"AAAAAG5W5kM=")</f>
        <v>#VALUE!</v>
      </c>
      <c r="BQ79" t="e">
        <f>AND('6to. Perito'!C35,"AAAAAG5W5kQ=")</f>
        <v>#VALUE!</v>
      </c>
      <c r="BR79" t="e">
        <f>AND('6to. Perito'!D35,"AAAAAG5W5kU=")</f>
        <v>#VALUE!</v>
      </c>
      <c r="BS79" t="e">
        <f>AND('6to. Perito'!E35,"AAAAAG5W5kY=")</f>
        <v>#VALUE!</v>
      </c>
      <c r="BT79" t="e">
        <f>AND('6to. Perito'!F35,"AAAAAG5W5kc=")</f>
        <v>#VALUE!</v>
      </c>
      <c r="BU79" t="e">
        <f>AND('6to. Perito'!G35,"AAAAAG5W5kg=")</f>
        <v>#VALUE!</v>
      </c>
      <c r="BV79" t="e">
        <f>AND('6to. Perito'!H35,"AAAAAG5W5kk=")</f>
        <v>#VALUE!</v>
      </c>
      <c r="BW79" t="e">
        <f>AND('6to. Perito'!I35,"AAAAAG5W5ko=")</f>
        <v>#VALUE!</v>
      </c>
      <c r="BX79" t="e">
        <f>AND('6to. Perito'!J35,"AAAAAG5W5ks=")</f>
        <v>#VALUE!</v>
      </c>
      <c r="BY79" t="e">
        <f>AND('6to. Perito'!K35,"AAAAAG5W5kw=")</f>
        <v>#VALUE!</v>
      </c>
      <c r="BZ79" t="e">
        <f>AND('6to. Perito'!L35,"AAAAAG5W5k0=")</f>
        <v>#VALUE!</v>
      </c>
      <c r="CA79" t="e">
        <f>AND('6to. Perito'!M35,"AAAAAG5W5k4=")</f>
        <v>#VALUE!</v>
      </c>
      <c r="CB79" t="e">
        <f>AND('6to. Perito'!N35,"AAAAAG5W5k8=")</f>
        <v>#VALUE!</v>
      </c>
      <c r="CC79" t="e">
        <f>AND('6to. Perito'!O35,"AAAAAG5W5lA=")</f>
        <v>#VALUE!</v>
      </c>
      <c r="CD79" t="e">
        <f>AND('6to. Perito'!P35,"AAAAAG5W5lE=")</f>
        <v>#VALUE!</v>
      </c>
      <c r="CE79" t="e">
        <f>AND('6to. Perito'!Q35,"AAAAAG5W5lI=")</f>
        <v>#VALUE!</v>
      </c>
      <c r="CF79" t="e">
        <f>AND('6to. Perito'!R35,"AAAAAG5W5lM=")</f>
        <v>#VALUE!</v>
      </c>
      <c r="CG79" t="e">
        <f>AND('6to. Perito'!S35,"AAAAAG5W5lQ=")</f>
        <v>#VALUE!</v>
      </c>
      <c r="CH79" t="e">
        <f>AND('6to. Perito'!T35,"AAAAAG5W5lU=")</f>
        <v>#VALUE!</v>
      </c>
      <c r="CI79" t="e">
        <f>AND('6to. Perito'!#REF!,"AAAAAG5W5lY=")</f>
        <v>#REF!</v>
      </c>
      <c r="CJ79" t="e">
        <f>AND('6to. Perito'!#REF!,"AAAAAG5W5lc=")</f>
        <v>#REF!</v>
      </c>
      <c r="CK79" t="e">
        <f>AND('6to. Perito'!#REF!,"AAAAAG5W5lg=")</f>
        <v>#REF!</v>
      </c>
      <c r="CL79" t="e">
        <f>AND('6to. Perito'!#REF!,"AAAAAG5W5lk=")</f>
        <v>#REF!</v>
      </c>
      <c r="CM79" t="e">
        <f>AND('6to. Perito'!#REF!,"AAAAAG5W5lo=")</f>
        <v>#REF!</v>
      </c>
      <c r="CN79">
        <f>IF('6to. Perito'!36:36,"AAAAAG5W5ls=",0)</f>
        <v>0</v>
      </c>
      <c r="CO79" t="e">
        <f>AND('6to. Perito'!A36,"AAAAAG5W5lw=")</f>
        <v>#VALUE!</v>
      </c>
      <c r="CP79" t="e">
        <f>AND('6to. Perito'!B36,"AAAAAG5W5l0=")</f>
        <v>#VALUE!</v>
      </c>
      <c r="CQ79" t="e">
        <f>AND('6to. Perito'!C36,"AAAAAG5W5l4=")</f>
        <v>#VALUE!</v>
      </c>
      <c r="CR79" t="e">
        <f>AND('6to. Perito'!D36,"AAAAAG5W5l8=")</f>
        <v>#VALUE!</v>
      </c>
      <c r="CS79" t="e">
        <f>AND('6to. Perito'!E36,"AAAAAG5W5mA=")</f>
        <v>#VALUE!</v>
      </c>
      <c r="CT79" t="e">
        <f>AND('6to. Perito'!F36,"AAAAAG5W5mE=")</f>
        <v>#VALUE!</v>
      </c>
      <c r="CU79" t="e">
        <f>AND('6to. Perito'!G36,"AAAAAG5W5mI=")</f>
        <v>#VALUE!</v>
      </c>
      <c r="CV79" t="e">
        <f>AND('6to. Perito'!H36,"AAAAAG5W5mM=")</f>
        <v>#VALUE!</v>
      </c>
      <c r="CW79" t="e">
        <f>AND('6to. Perito'!I36,"AAAAAG5W5mQ=")</f>
        <v>#VALUE!</v>
      </c>
      <c r="CX79" t="e">
        <f>AND('6to. Perito'!J36,"AAAAAG5W5mU=")</f>
        <v>#VALUE!</v>
      </c>
      <c r="CY79" t="e">
        <f>AND('6to. Perito'!K36,"AAAAAG5W5mY=")</f>
        <v>#VALUE!</v>
      </c>
      <c r="CZ79" t="e">
        <f>AND('6to. Perito'!L36,"AAAAAG5W5mc=")</f>
        <v>#VALUE!</v>
      </c>
      <c r="DA79" t="e">
        <f>AND('6to. Perito'!M36,"AAAAAG5W5mg=")</f>
        <v>#VALUE!</v>
      </c>
      <c r="DB79" t="e">
        <f>AND('6to. Perito'!N36,"AAAAAG5W5mk=")</f>
        <v>#VALUE!</v>
      </c>
      <c r="DC79" t="e">
        <f>AND('6to. Perito'!O36,"AAAAAG5W5mo=")</f>
        <v>#VALUE!</v>
      </c>
      <c r="DD79" t="e">
        <f>AND('6to. Perito'!P36,"AAAAAG5W5ms=")</f>
        <v>#VALUE!</v>
      </c>
      <c r="DE79" t="e">
        <f>AND('6to. Perito'!Q36,"AAAAAG5W5mw=")</f>
        <v>#VALUE!</v>
      </c>
      <c r="DF79" t="e">
        <f>AND('6to. Perito'!R36,"AAAAAG5W5m0=")</f>
        <v>#VALUE!</v>
      </c>
      <c r="DG79" t="e">
        <f>AND('6to. Perito'!S36,"AAAAAG5W5m4=")</f>
        <v>#VALUE!</v>
      </c>
      <c r="DH79" t="e">
        <f>AND('6to. Perito'!T36,"AAAAAG5W5m8=")</f>
        <v>#VALUE!</v>
      </c>
      <c r="DI79" t="e">
        <f>AND('6to. Perito'!#REF!,"AAAAAG5W5nA=")</f>
        <v>#REF!</v>
      </c>
      <c r="DJ79" t="e">
        <f>AND('6to. Perito'!#REF!,"AAAAAG5W5nE=")</f>
        <v>#REF!</v>
      </c>
      <c r="DK79" t="e">
        <f>AND('6to. Perito'!#REF!,"AAAAAG5W5nI=")</f>
        <v>#REF!</v>
      </c>
      <c r="DL79" t="e">
        <f>AND('6to. Perito'!#REF!,"AAAAAG5W5nM=")</f>
        <v>#REF!</v>
      </c>
      <c r="DM79" t="e">
        <f>AND('6to. Perito'!#REF!,"AAAAAG5W5nQ=")</f>
        <v>#REF!</v>
      </c>
      <c r="DN79">
        <f>IF('6to. Perito'!37:37,"AAAAAG5W5nU=",0)</f>
        <v>0</v>
      </c>
      <c r="DO79" t="e">
        <f>AND('6to. Perito'!A37,"AAAAAG5W5nY=")</f>
        <v>#VALUE!</v>
      </c>
      <c r="DP79" t="e">
        <f>AND('6to. Perito'!B37,"AAAAAG5W5nc=")</f>
        <v>#VALUE!</v>
      </c>
      <c r="DQ79" t="e">
        <f>AND('6to. Perito'!C37,"AAAAAG5W5ng=")</f>
        <v>#VALUE!</v>
      </c>
      <c r="DR79" t="e">
        <f>AND('6to. Perito'!D37,"AAAAAG5W5nk=")</f>
        <v>#VALUE!</v>
      </c>
      <c r="DS79" t="e">
        <f>AND('6to. Perito'!E37,"AAAAAG5W5no=")</f>
        <v>#VALUE!</v>
      </c>
      <c r="DT79" t="e">
        <f>AND('6to. Perito'!F37,"AAAAAG5W5ns=")</f>
        <v>#VALUE!</v>
      </c>
      <c r="DU79" t="e">
        <f>AND('6to. Perito'!G37,"AAAAAG5W5nw=")</f>
        <v>#VALUE!</v>
      </c>
      <c r="DV79" t="e">
        <f>AND('6to. Perito'!H37,"AAAAAG5W5n0=")</f>
        <v>#VALUE!</v>
      </c>
      <c r="DW79" t="e">
        <f>AND('6to. Perito'!I37,"AAAAAG5W5n4=")</f>
        <v>#VALUE!</v>
      </c>
      <c r="DX79" t="e">
        <f>AND('6to. Perito'!J37,"AAAAAG5W5n8=")</f>
        <v>#VALUE!</v>
      </c>
      <c r="DY79" t="e">
        <f>AND('6to. Perito'!K37,"AAAAAG5W5oA=")</f>
        <v>#VALUE!</v>
      </c>
      <c r="DZ79" t="e">
        <f>AND('6to. Perito'!L37,"AAAAAG5W5oE=")</f>
        <v>#VALUE!</v>
      </c>
      <c r="EA79" t="e">
        <f>AND('6to. Perito'!M37,"AAAAAG5W5oI=")</f>
        <v>#VALUE!</v>
      </c>
      <c r="EB79" t="e">
        <f>AND('6to. Perito'!N37,"AAAAAG5W5oM=")</f>
        <v>#VALUE!</v>
      </c>
      <c r="EC79" t="e">
        <f>AND('6to. Perito'!O37,"AAAAAG5W5oQ=")</f>
        <v>#VALUE!</v>
      </c>
      <c r="ED79" t="e">
        <f>AND('6to. Perito'!P37,"AAAAAG5W5oU=")</f>
        <v>#VALUE!</v>
      </c>
      <c r="EE79" t="e">
        <f>AND('6to. Perito'!Q37,"AAAAAG5W5oY=")</f>
        <v>#VALUE!</v>
      </c>
      <c r="EF79" t="e">
        <f>AND('6to. Perito'!R37,"AAAAAG5W5oc=")</f>
        <v>#VALUE!</v>
      </c>
      <c r="EG79" t="e">
        <f>AND('6to. Perito'!S37,"AAAAAG5W5og=")</f>
        <v>#VALUE!</v>
      </c>
      <c r="EH79" t="e">
        <f>AND('6to. Perito'!T37,"AAAAAG5W5ok=")</f>
        <v>#VALUE!</v>
      </c>
      <c r="EI79" t="e">
        <f>AND('6to. Perito'!#REF!,"AAAAAG5W5oo=")</f>
        <v>#REF!</v>
      </c>
      <c r="EJ79" t="e">
        <f>AND('6to. Perito'!#REF!,"AAAAAG5W5os=")</f>
        <v>#REF!</v>
      </c>
      <c r="EK79" t="e">
        <f>AND('6to. Perito'!#REF!,"AAAAAG5W5ow=")</f>
        <v>#REF!</v>
      </c>
      <c r="EL79" t="e">
        <f>AND('6to. Perito'!#REF!,"AAAAAG5W5o0=")</f>
        <v>#REF!</v>
      </c>
      <c r="EM79" t="e">
        <f>AND('6to. Perito'!#REF!,"AAAAAG5W5o4=")</f>
        <v>#REF!</v>
      </c>
      <c r="EN79">
        <f>IF('6to. Perito'!38:38,"AAAAAG5W5o8=",0)</f>
        <v>0</v>
      </c>
      <c r="EO79" t="e">
        <f>AND('6to. Perito'!A38,"AAAAAG5W5pA=")</f>
        <v>#VALUE!</v>
      </c>
      <c r="EP79" t="e">
        <f>AND('6to. Perito'!B38,"AAAAAG5W5pE=")</f>
        <v>#VALUE!</v>
      </c>
      <c r="EQ79" t="e">
        <f>AND('6to. Perito'!C38,"AAAAAG5W5pI=")</f>
        <v>#VALUE!</v>
      </c>
      <c r="ER79" t="e">
        <f>AND('6to. Perito'!D38,"AAAAAG5W5pM=")</f>
        <v>#VALUE!</v>
      </c>
      <c r="ES79" t="e">
        <f>AND('6to. Perito'!E38,"AAAAAG5W5pQ=")</f>
        <v>#VALUE!</v>
      </c>
      <c r="ET79" t="e">
        <f>AND('6to. Perito'!F38,"AAAAAG5W5pU=")</f>
        <v>#VALUE!</v>
      </c>
      <c r="EU79" t="e">
        <f>AND('6to. Perito'!G38,"AAAAAG5W5pY=")</f>
        <v>#VALUE!</v>
      </c>
      <c r="EV79" t="e">
        <f>AND('6to. Perito'!H38,"AAAAAG5W5pc=")</f>
        <v>#VALUE!</v>
      </c>
      <c r="EW79" t="e">
        <f>AND('6to. Perito'!I38,"AAAAAG5W5pg=")</f>
        <v>#VALUE!</v>
      </c>
      <c r="EX79" t="e">
        <f>AND('6to. Perito'!J38,"AAAAAG5W5pk=")</f>
        <v>#VALUE!</v>
      </c>
      <c r="EY79" t="e">
        <f>AND('6to. Perito'!K38,"AAAAAG5W5po=")</f>
        <v>#VALUE!</v>
      </c>
      <c r="EZ79" t="e">
        <f>AND('6to. Perito'!L38,"AAAAAG5W5ps=")</f>
        <v>#VALUE!</v>
      </c>
      <c r="FA79" t="e">
        <f>AND('6to. Perito'!M38,"AAAAAG5W5pw=")</f>
        <v>#VALUE!</v>
      </c>
      <c r="FB79" t="e">
        <f>AND('6to. Perito'!N38,"AAAAAG5W5p0=")</f>
        <v>#VALUE!</v>
      </c>
      <c r="FC79" t="e">
        <f>AND('6to. Perito'!O38,"AAAAAG5W5p4=")</f>
        <v>#VALUE!</v>
      </c>
      <c r="FD79" t="e">
        <f>AND('6to. Perito'!P38,"AAAAAG5W5p8=")</f>
        <v>#VALUE!</v>
      </c>
      <c r="FE79" t="e">
        <f>AND('6to. Perito'!Q38,"AAAAAG5W5qA=")</f>
        <v>#VALUE!</v>
      </c>
      <c r="FF79" t="e">
        <f>AND('6to. Perito'!R38,"AAAAAG5W5qE=")</f>
        <v>#VALUE!</v>
      </c>
      <c r="FG79" t="e">
        <f>AND('6to. Perito'!S38,"AAAAAG5W5qI=")</f>
        <v>#VALUE!</v>
      </c>
      <c r="FH79" t="e">
        <f>AND('6to. Perito'!T38,"AAAAAG5W5qM=")</f>
        <v>#VALUE!</v>
      </c>
      <c r="FI79" t="e">
        <f>AND('6to. Perito'!#REF!,"AAAAAG5W5qQ=")</f>
        <v>#REF!</v>
      </c>
      <c r="FJ79" t="e">
        <f>AND('6to. Perito'!#REF!,"AAAAAG5W5qU=")</f>
        <v>#REF!</v>
      </c>
      <c r="FK79" t="e">
        <f>AND('6to. Perito'!#REF!,"AAAAAG5W5qY=")</f>
        <v>#REF!</v>
      </c>
      <c r="FL79" t="e">
        <f>AND('6to. Perito'!#REF!,"AAAAAG5W5qc=")</f>
        <v>#REF!</v>
      </c>
      <c r="FM79" t="e">
        <f>AND('6to. Perito'!#REF!,"AAAAAG5W5qg=")</f>
        <v>#REF!</v>
      </c>
      <c r="FN79">
        <f>IF('6to. Perito'!39:39,"AAAAAG5W5qk=",0)</f>
        <v>0</v>
      </c>
      <c r="FO79" t="e">
        <f>AND('6to. Perito'!A39,"AAAAAG5W5qo=")</f>
        <v>#VALUE!</v>
      </c>
      <c r="FP79" t="e">
        <f>AND('6to. Perito'!B39,"AAAAAG5W5qs=")</f>
        <v>#VALUE!</v>
      </c>
      <c r="FQ79" t="e">
        <f>AND('6to. Perito'!C39,"AAAAAG5W5qw=")</f>
        <v>#VALUE!</v>
      </c>
      <c r="FR79" t="e">
        <f>AND('6to. Perito'!D39,"AAAAAG5W5q0=")</f>
        <v>#VALUE!</v>
      </c>
      <c r="FS79" t="e">
        <f>AND('6to. Perito'!E39,"AAAAAG5W5q4=")</f>
        <v>#VALUE!</v>
      </c>
      <c r="FT79" t="e">
        <f>AND('6to. Perito'!F39,"AAAAAG5W5q8=")</f>
        <v>#VALUE!</v>
      </c>
      <c r="FU79" t="e">
        <f>AND('6to. Perito'!G39,"AAAAAG5W5rA=")</f>
        <v>#VALUE!</v>
      </c>
      <c r="FV79" t="e">
        <f>AND('6to. Perito'!H39,"AAAAAG5W5rE=")</f>
        <v>#VALUE!</v>
      </c>
      <c r="FW79" t="e">
        <f>AND('6to. Perito'!I39,"AAAAAG5W5rI=")</f>
        <v>#VALUE!</v>
      </c>
      <c r="FX79" t="e">
        <f>AND('6to. Perito'!J39,"AAAAAG5W5rM=")</f>
        <v>#VALUE!</v>
      </c>
      <c r="FY79" t="e">
        <f>AND('6to. Perito'!K39,"AAAAAG5W5rQ=")</f>
        <v>#VALUE!</v>
      </c>
      <c r="FZ79" t="e">
        <f>AND('6to. Perito'!L39,"AAAAAG5W5rU=")</f>
        <v>#VALUE!</v>
      </c>
      <c r="GA79" t="e">
        <f>AND('6to. Perito'!M39,"AAAAAG5W5rY=")</f>
        <v>#VALUE!</v>
      </c>
      <c r="GB79" t="e">
        <f>AND('6to. Perito'!N39,"AAAAAG5W5rc=")</f>
        <v>#VALUE!</v>
      </c>
      <c r="GC79" t="e">
        <f>AND('6to. Perito'!O39,"AAAAAG5W5rg=")</f>
        <v>#VALUE!</v>
      </c>
      <c r="GD79" t="e">
        <f>AND('6to. Perito'!P39,"AAAAAG5W5rk=")</f>
        <v>#VALUE!</v>
      </c>
      <c r="GE79" t="e">
        <f>AND('6to. Perito'!Q39,"AAAAAG5W5ro=")</f>
        <v>#VALUE!</v>
      </c>
      <c r="GF79" t="e">
        <f>AND('6to. Perito'!R39,"AAAAAG5W5rs=")</f>
        <v>#VALUE!</v>
      </c>
      <c r="GG79" t="e">
        <f>AND('6to. Perito'!S39,"AAAAAG5W5rw=")</f>
        <v>#VALUE!</v>
      </c>
      <c r="GH79" t="e">
        <f>AND('6to. Perito'!T39,"AAAAAG5W5r0=")</f>
        <v>#VALUE!</v>
      </c>
      <c r="GI79" t="e">
        <f>AND('6to. Perito'!#REF!,"AAAAAG5W5r4=")</f>
        <v>#REF!</v>
      </c>
      <c r="GJ79" t="e">
        <f>AND('6to. Perito'!#REF!,"AAAAAG5W5r8=")</f>
        <v>#REF!</v>
      </c>
      <c r="GK79" t="e">
        <f>AND('6to. Perito'!#REF!,"AAAAAG5W5sA=")</f>
        <v>#REF!</v>
      </c>
      <c r="GL79" t="e">
        <f>AND('6to. Perito'!#REF!,"AAAAAG5W5sE=")</f>
        <v>#REF!</v>
      </c>
      <c r="GM79" t="e">
        <f>AND('6to. Perito'!#REF!,"AAAAAG5W5sI=")</f>
        <v>#REF!</v>
      </c>
      <c r="GN79">
        <f>IF('6to. Perito'!40:40,"AAAAAG5W5sM=",0)</f>
        <v>0</v>
      </c>
      <c r="GO79" t="e">
        <f>AND('6to. Perito'!A40,"AAAAAG5W5sQ=")</f>
        <v>#VALUE!</v>
      </c>
      <c r="GP79" t="e">
        <f>AND('6to. Perito'!B40,"AAAAAG5W5sU=")</f>
        <v>#VALUE!</v>
      </c>
      <c r="GQ79" t="e">
        <f>AND('6to. Perito'!C40,"AAAAAG5W5sY=")</f>
        <v>#VALUE!</v>
      </c>
      <c r="GR79" t="e">
        <f>AND('6to. Perito'!D40,"AAAAAG5W5sc=")</f>
        <v>#VALUE!</v>
      </c>
      <c r="GS79" t="e">
        <f>AND('6to. Perito'!E40,"AAAAAG5W5sg=")</f>
        <v>#VALUE!</v>
      </c>
      <c r="GT79" t="e">
        <f>AND('6to. Perito'!F40,"AAAAAG5W5sk=")</f>
        <v>#VALUE!</v>
      </c>
      <c r="GU79" t="e">
        <f>AND('6to. Perito'!G40,"AAAAAG5W5so=")</f>
        <v>#VALUE!</v>
      </c>
      <c r="GV79" t="e">
        <f>AND('6to. Perito'!H40,"AAAAAG5W5ss=")</f>
        <v>#VALUE!</v>
      </c>
      <c r="GW79" t="e">
        <f>AND('6to. Perito'!I40,"AAAAAG5W5sw=")</f>
        <v>#VALUE!</v>
      </c>
      <c r="GX79" t="e">
        <f>AND('6to. Perito'!J40,"AAAAAG5W5s0=")</f>
        <v>#VALUE!</v>
      </c>
      <c r="GY79" t="e">
        <f>AND('6to. Perito'!K40,"AAAAAG5W5s4=")</f>
        <v>#VALUE!</v>
      </c>
      <c r="GZ79" t="e">
        <f>AND('6to. Perito'!L40,"AAAAAG5W5s8=")</f>
        <v>#VALUE!</v>
      </c>
      <c r="HA79" t="e">
        <f>AND('6to. Perito'!M40,"AAAAAG5W5tA=")</f>
        <v>#VALUE!</v>
      </c>
      <c r="HB79" t="e">
        <f>AND('6to. Perito'!N40,"AAAAAG5W5tE=")</f>
        <v>#VALUE!</v>
      </c>
      <c r="HC79" t="e">
        <f>AND('6to. Perito'!O40,"AAAAAG5W5tI=")</f>
        <v>#VALUE!</v>
      </c>
      <c r="HD79" t="e">
        <f>AND('6to. Perito'!P40,"AAAAAG5W5tM=")</f>
        <v>#VALUE!</v>
      </c>
      <c r="HE79" t="e">
        <f>AND('6to. Perito'!Q40,"AAAAAG5W5tQ=")</f>
        <v>#VALUE!</v>
      </c>
      <c r="HF79" t="e">
        <f>AND('6to. Perito'!R40,"AAAAAG5W5tU=")</f>
        <v>#VALUE!</v>
      </c>
      <c r="HG79" t="e">
        <f>AND('6to. Perito'!S40,"AAAAAG5W5tY=")</f>
        <v>#VALUE!</v>
      </c>
      <c r="HH79" t="e">
        <f>AND('6to. Perito'!T40,"AAAAAG5W5tc=")</f>
        <v>#VALUE!</v>
      </c>
      <c r="HI79" t="e">
        <f>AND('6to. Perito'!#REF!,"AAAAAG5W5tg=")</f>
        <v>#REF!</v>
      </c>
      <c r="HJ79" t="e">
        <f>AND('6to. Perito'!#REF!,"AAAAAG5W5tk=")</f>
        <v>#REF!</v>
      </c>
      <c r="HK79" t="e">
        <f>AND('6to. Perito'!#REF!,"AAAAAG5W5to=")</f>
        <v>#REF!</v>
      </c>
      <c r="HL79" t="e">
        <f>AND('6to. Perito'!#REF!,"AAAAAG5W5ts=")</f>
        <v>#REF!</v>
      </c>
      <c r="HM79" t="e">
        <f>AND('6to. Perito'!#REF!,"AAAAAG5W5tw=")</f>
        <v>#REF!</v>
      </c>
      <c r="HN79">
        <f>IF('6to. Perito'!41:41,"AAAAAG5W5t0=",0)</f>
        <v>0</v>
      </c>
      <c r="HO79" t="e">
        <f>AND('6to. Perito'!A41,"AAAAAG5W5t4=")</f>
        <v>#VALUE!</v>
      </c>
      <c r="HP79" t="e">
        <f>AND('6to. Perito'!B41,"AAAAAG5W5t8=")</f>
        <v>#VALUE!</v>
      </c>
      <c r="HQ79" t="e">
        <f>AND('6to. Perito'!C41,"AAAAAG5W5uA=")</f>
        <v>#VALUE!</v>
      </c>
      <c r="HR79" t="e">
        <f>AND('6to. Perito'!D41,"AAAAAG5W5uE=")</f>
        <v>#VALUE!</v>
      </c>
      <c r="HS79" t="e">
        <f>AND('6to. Perito'!E41,"AAAAAG5W5uI=")</f>
        <v>#VALUE!</v>
      </c>
      <c r="HT79" t="e">
        <f>AND('6to. Perito'!F41,"AAAAAG5W5uM=")</f>
        <v>#VALUE!</v>
      </c>
      <c r="HU79" t="e">
        <f>AND('6to. Perito'!G41,"AAAAAG5W5uQ=")</f>
        <v>#VALUE!</v>
      </c>
      <c r="HV79" t="e">
        <f>AND('6to. Perito'!H41,"AAAAAG5W5uU=")</f>
        <v>#VALUE!</v>
      </c>
      <c r="HW79" t="e">
        <f>AND('6to. Perito'!I41,"AAAAAG5W5uY=")</f>
        <v>#VALUE!</v>
      </c>
      <c r="HX79" t="e">
        <f>AND('6to. Perito'!J41,"AAAAAG5W5uc=")</f>
        <v>#VALUE!</v>
      </c>
      <c r="HY79" t="e">
        <f>AND('6to. Perito'!K41,"AAAAAG5W5ug=")</f>
        <v>#VALUE!</v>
      </c>
      <c r="HZ79" t="e">
        <f>AND('6to. Perito'!L41,"AAAAAG5W5uk=")</f>
        <v>#VALUE!</v>
      </c>
      <c r="IA79" t="e">
        <f>AND('6to. Perito'!M41,"AAAAAG5W5uo=")</f>
        <v>#VALUE!</v>
      </c>
      <c r="IB79" t="e">
        <f>AND('6to. Perito'!N41,"AAAAAG5W5us=")</f>
        <v>#VALUE!</v>
      </c>
      <c r="IC79" t="e">
        <f>AND('6to. Perito'!O41,"AAAAAG5W5uw=")</f>
        <v>#VALUE!</v>
      </c>
      <c r="ID79" t="e">
        <f>AND('6to. Perito'!P41,"AAAAAG5W5u0=")</f>
        <v>#VALUE!</v>
      </c>
      <c r="IE79" t="e">
        <f>AND('6to. Perito'!Q41,"AAAAAG5W5u4=")</f>
        <v>#VALUE!</v>
      </c>
      <c r="IF79" t="e">
        <f>AND('6to. Perito'!R41,"AAAAAG5W5u8=")</f>
        <v>#VALUE!</v>
      </c>
      <c r="IG79" t="e">
        <f>AND('6to. Perito'!S41,"AAAAAG5W5vA=")</f>
        <v>#VALUE!</v>
      </c>
      <c r="IH79" t="e">
        <f>AND('6to. Perito'!T41,"AAAAAG5W5vE=")</f>
        <v>#VALUE!</v>
      </c>
      <c r="II79" t="e">
        <f>AND('6to. Perito'!#REF!,"AAAAAG5W5vI=")</f>
        <v>#REF!</v>
      </c>
      <c r="IJ79" t="e">
        <f>AND('6to. Perito'!#REF!,"AAAAAG5W5vM=")</f>
        <v>#REF!</v>
      </c>
      <c r="IK79" t="e">
        <f>AND('6to. Perito'!#REF!,"AAAAAG5W5vQ=")</f>
        <v>#REF!</v>
      </c>
      <c r="IL79" t="e">
        <f>AND('6to. Perito'!#REF!,"AAAAAG5W5vU=")</f>
        <v>#REF!</v>
      </c>
      <c r="IM79" t="e">
        <f>AND('6to. Perito'!#REF!,"AAAAAG5W5vY=")</f>
        <v>#REF!</v>
      </c>
      <c r="IN79">
        <f>IF('6to. Perito'!42:42,"AAAAAG5W5vc=",0)</f>
        <v>0</v>
      </c>
      <c r="IO79" t="e">
        <f>AND('6to. Perito'!A42,"AAAAAG5W5vg=")</f>
        <v>#VALUE!</v>
      </c>
      <c r="IP79" t="e">
        <f>AND('6to. Perito'!B42,"AAAAAG5W5vk=")</f>
        <v>#VALUE!</v>
      </c>
      <c r="IQ79" t="e">
        <f>AND('6to. Perito'!C42,"AAAAAG5W5vo=")</f>
        <v>#VALUE!</v>
      </c>
      <c r="IR79" t="e">
        <f>AND('6to. Perito'!D42,"AAAAAG5W5vs=")</f>
        <v>#VALUE!</v>
      </c>
      <c r="IS79" t="e">
        <f>AND('6to. Perito'!E42,"AAAAAG5W5vw=")</f>
        <v>#VALUE!</v>
      </c>
      <c r="IT79" t="e">
        <f>AND('6to. Perito'!F42,"AAAAAG5W5v0=")</f>
        <v>#VALUE!</v>
      </c>
      <c r="IU79" t="e">
        <f>AND('6to. Perito'!G42,"AAAAAG5W5v4=")</f>
        <v>#VALUE!</v>
      </c>
      <c r="IV79" t="e">
        <f>AND('6to. Perito'!H42,"AAAAAG5W5v8=")</f>
        <v>#VALUE!</v>
      </c>
    </row>
    <row r="80" spans="1:256">
      <c r="A80" t="e">
        <f>AND('6to. Perito'!I42,"AAAAAHv7/wA=")</f>
        <v>#VALUE!</v>
      </c>
      <c r="B80" t="e">
        <f>AND('6to. Perito'!J42,"AAAAAHv7/wE=")</f>
        <v>#VALUE!</v>
      </c>
      <c r="C80" t="e">
        <f>AND('6to. Perito'!K42,"AAAAAHv7/wI=")</f>
        <v>#VALUE!</v>
      </c>
      <c r="D80" t="e">
        <f>AND('6to. Perito'!L42,"AAAAAHv7/wM=")</f>
        <v>#VALUE!</v>
      </c>
      <c r="E80" t="e">
        <f>AND('6to. Perito'!M42,"AAAAAHv7/wQ=")</f>
        <v>#VALUE!</v>
      </c>
      <c r="F80" t="e">
        <f>AND('6to. Perito'!N42,"AAAAAHv7/wU=")</f>
        <v>#VALUE!</v>
      </c>
      <c r="G80" t="e">
        <f>AND('6to. Perito'!O42,"AAAAAHv7/wY=")</f>
        <v>#VALUE!</v>
      </c>
      <c r="H80" t="e">
        <f>AND('6to. Perito'!P42,"AAAAAHv7/wc=")</f>
        <v>#VALUE!</v>
      </c>
      <c r="I80" t="e">
        <f>AND('6to. Perito'!Q42,"AAAAAHv7/wg=")</f>
        <v>#VALUE!</v>
      </c>
      <c r="J80" t="e">
        <f>AND('6to. Perito'!R42,"AAAAAHv7/wk=")</f>
        <v>#VALUE!</v>
      </c>
      <c r="K80" t="e">
        <f>AND('6to. Perito'!S42,"AAAAAHv7/wo=")</f>
        <v>#VALUE!</v>
      </c>
      <c r="L80" t="e">
        <f>AND('6to. Perito'!T42,"AAAAAHv7/ws=")</f>
        <v>#VALUE!</v>
      </c>
      <c r="M80" t="e">
        <f>AND('6to. Perito'!#REF!,"AAAAAHv7/ww=")</f>
        <v>#REF!</v>
      </c>
      <c r="N80" t="e">
        <f>AND('6to. Perito'!#REF!,"AAAAAHv7/w0=")</f>
        <v>#REF!</v>
      </c>
      <c r="O80" t="e">
        <f>AND('6to. Perito'!#REF!,"AAAAAHv7/w4=")</f>
        <v>#REF!</v>
      </c>
      <c r="P80" t="e">
        <f>AND('6to. Perito'!#REF!,"AAAAAHv7/w8=")</f>
        <v>#REF!</v>
      </c>
      <c r="Q80" t="e">
        <f>AND('6to. Perito'!#REF!,"AAAAAHv7/xA=")</f>
        <v>#REF!</v>
      </c>
      <c r="R80">
        <f>IF('6to. Perito'!43:43,"AAAAAHv7/xE=",0)</f>
        <v>0</v>
      </c>
      <c r="S80" t="e">
        <f>AND('6to. Perito'!A43,"AAAAAHv7/xI=")</f>
        <v>#VALUE!</v>
      </c>
      <c r="T80" t="e">
        <f>AND('6to. Perito'!B43,"AAAAAHv7/xM=")</f>
        <v>#VALUE!</v>
      </c>
      <c r="U80" t="e">
        <f>AND('6to. Perito'!C43,"AAAAAHv7/xQ=")</f>
        <v>#VALUE!</v>
      </c>
      <c r="V80" t="e">
        <f>AND('6to. Perito'!D43,"AAAAAHv7/xU=")</f>
        <v>#VALUE!</v>
      </c>
      <c r="W80" t="e">
        <f>AND('6to. Perito'!E43,"AAAAAHv7/xY=")</f>
        <v>#VALUE!</v>
      </c>
      <c r="X80" t="e">
        <f>AND('6to. Perito'!F43,"AAAAAHv7/xc=")</f>
        <v>#VALUE!</v>
      </c>
      <c r="Y80" t="e">
        <f>AND('6to. Perito'!G43,"AAAAAHv7/xg=")</f>
        <v>#VALUE!</v>
      </c>
      <c r="Z80" t="e">
        <f>AND('6to. Perito'!H43,"AAAAAHv7/xk=")</f>
        <v>#VALUE!</v>
      </c>
      <c r="AA80" t="e">
        <f>AND('6to. Perito'!I43,"AAAAAHv7/xo=")</f>
        <v>#VALUE!</v>
      </c>
      <c r="AB80" t="e">
        <f>AND('6to. Perito'!J43,"AAAAAHv7/xs=")</f>
        <v>#VALUE!</v>
      </c>
      <c r="AC80" t="e">
        <f>AND('6to. Perito'!K43,"AAAAAHv7/xw=")</f>
        <v>#VALUE!</v>
      </c>
      <c r="AD80" t="e">
        <f>AND('6to. Perito'!L43,"AAAAAHv7/x0=")</f>
        <v>#VALUE!</v>
      </c>
      <c r="AE80" t="e">
        <f>AND('6to. Perito'!M43,"AAAAAHv7/x4=")</f>
        <v>#VALUE!</v>
      </c>
      <c r="AF80" t="e">
        <f>AND('6to. Perito'!N43,"AAAAAHv7/x8=")</f>
        <v>#VALUE!</v>
      </c>
      <c r="AG80" t="e">
        <f>AND('6to. Perito'!O43,"AAAAAHv7/yA=")</f>
        <v>#VALUE!</v>
      </c>
      <c r="AH80" t="e">
        <f>AND('6to. Perito'!P43,"AAAAAHv7/yE=")</f>
        <v>#VALUE!</v>
      </c>
      <c r="AI80" t="e">
        <f>AND('6to. Perito'!Q43,"AAAAAHv7/yI=")</f>
        <v>#VALUE!</v>
      </c>
      <c r="AJ80" t="e">
        <f>AND('6to. Perito'!R43,"AAAAAHv7/yM=")</f>
        <v>#VALUE!</v>
      </c>
      <c r="AK80" t="e">
        <f>AND('6to. Perito'!S43,"AAAAAHv7/yQ=")</f>
        <v>#VALUE!</v>
      </c>
      <c r="AL80" t="e">
        <f>AND('6to. Perito'!T43,"AAAAAHv7/yU=")</f>
        <v>#VALUE!</v>
      </c>
      <c r="AM80" t="e">
        <f>AND('6to. Perito'!#REF!,"AAAAAHv7/yY=")</f>
        <v>#REF!</v>
      </c>
      <c r="AN80" t="e">
        <f>AND('6to. Perito'!#REF!,"AAAAAHv7/yc=")</f>
        <v>#REF!</v>
      </c>
      <c r="AO80" t="e">
        <f>AND('6to. Perito'!#REF!,"AAAAAHv7/yg=")</f>
        <v>#REF!</v>
      </c>
      <c r="AP80" t="e">
        <f>AND('6to. Perito'!#REF!,"AAAAAHv7/yk=")</f>
        <v>#REF!</v>
      </c>
      <c r="AQ80" t="e">
        <f>AND('6to. Perito'!#REF!,"AAAAAHv7/yo=")</f>
        <v>#REF!</v>
      </c>
      <c r="AR80">
        <f>IF('6to. Perito'!44:44,"AAAAAHv7/ys=",0)</f>
        <v>0</v>
      </c>
      <c r="AS80" t="e">
        <f>AND('6to. Perito'!A44,"AAAAAHv7/yw=")</f>
        <v>#VALUE!</v>
      </c>
      <c r="AT80" t="e">
        <f>AND('6to. Perito'!B44,"AAAAAHv7/y0=")</f>
        <v>#VALUE!</v>
      </c>
      <c r="AU80" t="e">
        <f>AND('6to. Perito'!C44,"AAAAAHv7/y4=")</f>
        <v>#VALUE!</v>
      </c>
      <c r="AV80" t="e">
        <f>AND('6to. Perito'!D44,"AAAAAHv7/y8=")</f>
        <v>#VALUE!</v>
      </c>
      <c r="AW80" t="e">
        <f>AND('6to. Perito'!E44,"AAAAAHv7/zA=")</f>
        <v>#VALUE!</v>
      </c>
      <c r="AX80" t="e">
        <f>AND('6to. Perito'!F44,"AAAAAHv7/zE=")</f>
        <v>#VALUE!</v>
      </c>
      <c r="AY80" t="e">
        <f>AND('6to. Perito'!G44,"AAAAAHv7/zI=")</f>
        <v>#VALUE!</v>
      </c>
      <c r="AZ80" t="e">
        <f>AND('6to. Perito'!H44,"AAAAAHv7/zM=")</f>
        <v>#VALUE!</v>
      </c>
      <c r="BA80" t="e">
        <f>AND('6to. Perito'!I44,"AAAAAHv7/zQ=")</f>
        <v>#VALUE!</v>
      </c>
      <c r="BB80" t="e">
        <f>AND('6to. Perito'!J44,"AAAAAHv7/zU=")</f>
        <v>#VALUE!</v>
      </c>
      <c r="BC80" t="e">
        <f>AND('6to. Perito'!K44,"AAAAAHv7/zY=")</f>
        <v>#VALUE!</v>
      </c>
      <c r="BD80" t="e">
        <f>AND('6to. Perito'!L44,"AAAAAHv7/zc=")</f>
        <v>#VALUE!</v>
      </c>
      <c r="BE80" t="e">
        <f>AND('6to. Perito'!M44,"AAAAAHv7/zg=")</f>
        <v>#VALUE!</v>
      </c>
      <c r="BF80" t="e">
        <f>AND('6to. Perito'!N44,"AAAAAHv7/zk=")</f>
        <v>#VALUE!</v>
      </c>
      <c r="BG80" t="e">
        <f>AND('6to. Perito'!O44,"AAAAAHv7/zo=")</f>
        <v>#VALUE!</v>
      </c>
      <c r="BH80" t="e">
        <f>AND('6to. Perito'!P44,"AAAAAHv7/zs=")</f>
        <v>#VALUE!</v>
      </c>
      <c r="BI80" t="e">
        <f>AND('6to. Perito'!Q44,"AAAAAHv7/zw=")</f>
        <v>#VALUE!</v>
      </c>
      <c r="BJ80" t="e">
        <f>AND('6to. Perito'!R44,"AAAAAHv7/z0=")</f>
        <v>#VALUE!</v>
      </c>
      <c r="BK80" t="e">
        <f>AND('6to. Perito'!S44,"AAAAAHv7/z4=")</f>
        <v>#VALUE!</v>
      </c>
      <c r="BL80" t="e">
        <f>AND('6to. Perito'!T44,"AAAAAHv7/z8=")</f>
        <v>#VALUE!</v>
      </c>
      <c r="BM80" t="e">
        <f>AND('6to. Perito'!#REF!,"AAAAAHv7/0A=")</f>
        <v>#REF!</v>
      </c>
      <c r="BN80" t="e">
        <f>AND('6to. Perito'!#REF!,"AAAAAHv7/0E=")</f>
        <v>#REF!</v>
      </c>
      <c r="BO80" t="e">
        <f>AND('6to. Perito'!#REF!,"AAAAAHv7/0I=")</f>
        <v>#REF!</v>
      </c>
      <c r="BP80" t="e">
        <f>AND('6to. Perito'!#REF!,"AAAAAHv7/0M=")</f>
        <v>#REF!</v>
      </c>
      <c r="BQ80" t="e">
        <f>AND('6to. Perito'!#REF!,"AAAAAHv7/0Q=")</f>
        <v>#REF!</v>
      </c>
      <c r="BR80">
        <f>IF('6to. Perito'!45:45,"AAAAAHv7/0U=",0)</f>
        <v>0</v>
      </c>
      <c r="BS80" t="e">
        <f>AND('6to. Perito'!A45,"AAAAAHv7/0Y=")</f>
        <v>#VALUE!</v>
      </c>
      <c r="BT80" t="e">
        <f>AND('6to. Perito'!B45,"AAAAAHv7/0c=")</f>
        <v>#VALUE!</v>
      </c>
      <c r="BU80" t="e">
        <f>AND('6to. Perito'!C45,"AAAAAHv7/0g=")</f>
        <v>#VALUE!</v>
      </c>
      <c r="BV80" t="e">
        <f>AND('6to. Perito'!D45,"AAAAAHv7/0k=")</f>
        <v>#VALUE!</v>
      </c>
      <c r="BW80" t="e">
        <f>AND('6to. Perito'!E45,"AAAAAHv7/0o=")</f>
        <v>#VALUE!</v>
      </c>
      <c r="BX80" t="e">
        <f>AND('6to. Perito'!F45,"AAAAAHv7/0s=")</f>
        <v>#VALUE!</v>
      </c>
      <c r="BY80" t="e">
        <f>AND('6to. Perito'!G45,"AAAAAHv7/0w=")</f>
        <v>#VALUE!</v>
      </c>
      <c r="BZ80" t="e">
        <f>AND('6to. Perito'!H45,"AAAAAHv7/00=")</f>
        <v>#VALUE!</v>
      </c>
      <c r="CA80" t="e">
        <f>AND('6to. Perito'!I45,"AAAAAHv7/04=")</f>
        <v>#VALUE!</v>
      </c>
      <c r="CB80" t="e">
        <f>AND('6to. Perito'!J45,"AAAAAHv7/08=")</f>
        <v>#VALUE!</v>
      </c>
      <c r="CC80" t="e">
        <f>AND('6to. Perito'!K45,"AAAAAHv7/1A=")</f>
        <v>#VALUE!</v>
      </c>
      <c r="CD80" t="e">
        <f>AND('6to. Perito'!L45,"AAAAAHv7/1E=")</f>
        <v>#VALUE!</v>
      </c>
      <c r="CE80" t="e">
        <f>AND('6to. Perito'!M45,"AAAAAHv7/1I=")</f>
        <v>#VALUE!</v>
      </c>
      <c r="CF80" t="e">
        <f>AND('6to. Perito'!N45,"AAAAAHv7/1M=")</f>
        <v>#VALUE!</v>
      </c>
      <c r="CG80" t="e">
        <f>AND('6to. Perito'!O45,"AAAAAHv7/1Q=")</f>
        <v>#VALUE!</v>
      </c>
      <c r="CH80" t="e">
        <f>AND('6to. Perito'!P45,"AAAAAHv7/1U=")</f>
        <v>#VALUE!</v>
      </c>
      <c r="CI80" t="e">
        <f>AND('6to. Perito'!Q45,"AAAAAHv7/1Y=")</f>
        <v>#VALUE!</v>
      </c>
      <c r="CJ80" t="e">
        <f>AND('6to. Perito'!R45,"AAAAAHv7/1c=")</f>
        <v>#VALUE!</v>
      </c>
      <c r="CK80" t="e">
        <f>AND('6to. Perito'!S45,"AAAAAHv7/1g=")</f>
        <v>#VALUE!</v>
      </c>
      <c r="CL80" t="e">
        <f>AND('6to. Perito'!T45,"AAAAAHv7/1k=")</f>
        <v>#VALUE!</v>
      </c>
      <c r="CM80" t="e">
        <f>AND('6to. Perito'!#REF!,"AAAAAHv7/1o=")</f>
        <v>#REF!</v>
      </c>
      <c r="CN80" t="e">
        <f>AND('6to. Perito'!#REF!,"AAAAAHv7/1s=")</f>
        <v>#REF!</v>
      </c>
      <c r="CO80" t="e">
        <f>AND('6to. Perito'!#REF!,"AAAAAHv7/1w=")</f>
        <v>#REF!</v>
      </c>
      <c r="CP80" t="e">
        <f>AND('6to. Perito'!#REF!,"AAAAAHv7/10=")</f>
        <v>#REF!</v>
      </c>
      <c r="CQ80" t="e">
        <f>AND('6to. Perito'!#REF!,"AAAAAHv7/14=")</f>
        <v>#REF!</v>
      </c>
      <c r="CR80">
        <f>IF('6to. Perito'!46:46,"AAAAAHv7/18=",0)</f>
        <v>0</v>
      </c>
      <c r="CS80" t="e">
        <f>AND('6to. Perito'!A46,"AAAAAHv7/2A=")</f>
        <v>#VALUE!</v>
      </c>
      <c r="CT80" t="e">
        <f>AND('6to. Perito'!B46,"AAAAAHv7/2E=")</f>
        <v>#VALUE!</v>
      </c>
      <c r="CU80" t="e">
        <f>AND('6to. Perito'!C46,"AAAAAHv7/2I=")</f>
        <v>#VALUE!</v>
      </c>
      <c r="CV80" t="e">
        <f>AND('6to. Perito'!D46,"AAAAAHv7/2M=")</f>
        <v>#VALUE!</v>
      </c>
      <c r="CW80" t="e">
        <f>AND('6to. Perito'!E46,"AAAAAHv7/2Q=")</f>
        <v>#VALUE!</v>
      </c>
      <c r="CX80" t="e">
        <f>AND('6to. Perito'!F46,"AAAAAHv7/2U=")</f>
        <v>#VALUE!</v>
      </c>
      <c r="CY80" t="e">
        <f>AND('6to. Perito'!G46,"AAAAAHv7/2Y=")</f>
        <v>#VALUE!</v>
      </c>
      <c r="CZ80" t="e">
        <f>AND('6to. Perito'!H46,"AAAAAHv7/2c=")</f>
        <v>#VALUE!</v>
      </c>
      <c r="DA80" t="e">
        <f>AND('6to. Perito'!I46,"AAAAAHv7/2g=")</f>
        <v>#VALUE!</v>
      </c>
      <c r="DB80" t="e">
        <f>AND('6to. Perito'!J46,"AAAAAHv7/2k=")</f>
        <v>#VALUE!</v>
      </c>
      <c r="DC80" t="e">
        <f>AND('6to. Perito'!K46,"AAAAAHv7/2o=")</f>
        <v>#VALUE!</v>
      </c>
      <c r="DD80" t="e">
        <f>AND('6to. Perito'!L46,"AAAAAHv7/2s=")</f>
        <v>#VALUE!</v>
      </c>
      <c r="DE80" t="e">
        <f>AND('6to. Perito'!M46,"AAAAAHv7/2w=")</f>
        <v>#VALUE!</v>
      </c>
      <c r="DF80" t="e">
        <f>AND('6to. Perito'!N46,"AAAAAHv7/20=")</f>
        <v>#VALUE!</v>
      </c>
      <c r="DG80" t="e">
        <f>AND('6to. Perito'!O46,"AAAAAHv7/24=")</f>
        <v>#VALUE!</v>
      </c>
      <c r="DH80" t="e">
        <f>AND('6to. Perito'!P46,"AAAAAHv7/28=")</f>
        <v>#VALUE!</v>
      </c>
      <c r="DI80" t="e">
        <f>AND('6to. Perito'!Q46,"AAAAAHv7/3A=")</f>
        <v>#VALUE!</v>
      </c>
      <c r="DJ80" t="e">
        <f>AND('6to. Perito'!R46,"AAAAAHv7/3E=")</f>
        <v>#VALUE!</v>
      </c>
      <c r="DK80" t="e">
        <f>AND('6to. Perito'!S46,"AAAAAHv7/3I=")</f>
        <v>#VALUE!</v>
      </c>
      <c r="DL80" t="e">
        <f>AND('6to. Perito'!T46,"AAAAAHv7/3M=")</f>
        <v>#VALUE!</v>
      </c>
      <c r="DM80" t="e">
        <f>AND('6to. Perito'!#REF!,"AAAAAHv7/3Q=")</f>
        <v>#REF!</v>
      </c>
      <c r="DN80" t="e">
        <f>AND('6to. Perito'!#REF!,"AAAAAHv7/3U=")</f>
        <v>#REF!</v>
      </c>
      <c r="DO80" t="e">
        <f>AND('6to. Perito'!#REF!,"AAAAAHv7/3Y=")</f>
        <v>#REF!</v>
      </c>
      <c r="DP80" t="e">
        <f>AND('6to. Perito'!#REF!,"AAAAAHv7/3c=")</f>
        <v>#REF!</v>
      </c>
      <c r="DQ80" t="e">
        <f>AND('6to. Perito'!#REF!,"AAAAAHv7/3g=")</f>
        <v>#REF!</v>
      </c>
      <c r="DR80">
        <f>IF('6to. Perito'!47:47,"AAAAAHv7/3k=",0)</f>
        <v>0</v>
      </c>
      <c r="DS80" t="e">
        <f>AND('6to. Perito'!A47,"AAAAAHv7/3o=")</f>
        <v>#VALUE!</v>
      </c>
      <c r="DT80" t="e">
        <f>AND('6to. Perito'!B47,"AAAAAHv7/3s=")</f>
        <v>#VALUE!</v>
      </c>
      <c r="DU80" t="e">
        <f>AND('6to. Perito'!C47,"AAAAAHv7/3w=")</f>
        <v>#VALUE!</v>
      </c>
      <c r="DV80" t="e">
        <f>AND('6to. Perito'!D47,"AAAAAHv7/30=")</f>
        <v>#VALUE!</v>
      </c>
      <c r="DW80" t="e">
        <f>AND('6to. Perito'!E47,"AAAAAHv7/34=")</f>
        <v>#VALUE!</v>
      </c>
      <c r="DX80" t="e">
        <f>AND('6to. Perito'!F47,"AAAAAHv7/38=")</f>
        <v>#VALUE!</v>
      </c>
      <c r="DY80" t="e">
        <f>AND('6to. Perito'!G47,"AAAAAHv7/4A=")</f>
        <v>#VALUE!</v>
      </c>
      <c r="DZ80" t="e">
        <f>AND('6to. Perito'!H47,"AAAAAHv7/4E=")</f>
        <v>#VALUE!</v>
      </c>
      <c r="EA80" t="e">
        <f>AND('6to. Perito'!I47,"AAAAAHv7/4I=")</f>
        <v>#VALUE!</v>
      </c>
      <c r="EB80" t="e">
        <f>AND('6to. Perito'!J47,"AAAAAHv7/4M=")</f>
        <v>#VALUE!</v>
      </c>
      <c r="EC80" t="e">
        <f>AND('6to. Perito'!K47,"AAAAAHv7/4Q=")</f>
        <v>#VALUE!</v>
      </c>
      <c r="ED80" t="e">
        <f>AND('6to. Perito'!L47,"AAAAAHv7/4U=")</f>
        <v>#VALUE!</v>
      </c>
      <c r="EE80" t="e">
        <f>AND('6to. Perito'!M47,"AAAAAHv7/4Y=")</f>
        <v>#VALUE!</v>
      </c>
      <c r="EF80" t="e">
        <f>AND('6to. Perito'!N47,"AAAAAHv7/4c=")</f>
        <v>#VALUE!</v>
      </c>
      <c r="EG80" t="e">
        <f>AND('6to. Perito'!O47,"AAAAAHv7/4g=")</f>
        <v>#VALUE!</v>
      </c>
      <c r="EH80" t="e">
        <f>AND('6to. Perito'!P47,"AAAAAHv7/4k=")</f>
        <v>#VALUE!</v>
      </c>
      <c r="EI80" t="e">
        <f>AND('6to. Perito'!Q47,"AAAAAHv7/4o=")</f>
        <v>#VALUE!</v>
      </c>
      <c r="EJ80" t="e">
        <f>AND('6to. Perito'!R47,"AAAAAHv7/4s=")</f>
        <v>#VALUE!</v>
      </c>
      <c r="EK80" t="e">
        <f>AND('6to. Perito'!S47,"AAAAAHv7/4w=")</f>
        <v>#VALUE!</v>
      </c>
      <c r="EL80" t="e">
        <f>AND('6to. Perito'!T47,"AAAAAHv7/40=")</f>
        <v>#VALUE!</v>
      </c>
      <c r="EM80" t="e">
        <f>AND('6to. Perito'!#REF!,"AAAAAHv7/44=")</f>
        <v>#REF!</v>
      </c>
      <c r="EN80" t="e">
        <f>AND('6to. Perito'!#REF!,"AAAAAHv7/48=")</f>
        <v>#REF!</v>
      </c>
      <c r="EO80" t="e">
        <f>AND('6to. Perito'!#REF!,"AAAAAHv7/5A=")</f>
        <v>#REF!</v>
      </c>
      <c r="EP80" t="e">
        <f>AND('6to. Perito'!#REF!,"AAAAAHv7/5E=")</f>
        <v>#REF!</v>
      </c>
      <c r="EQ80" t="e">
        <f>AND('6to. Perito'!#REF!,"AAAAAHv7/5I=")</f>
        <v>#REF!</v>
      </c>
      <c r="ER80">
        <f>IF('6to. Perito'!48:48,"AAAAAHv7/5M=",0)</f>
        <v>0</v>
      </c>
      <c r="ES80" t="e">
        <f>AND('6to. Perito'!A48,"AAAAAHv7/5Q=")</f>
        <v>#VALUE!</v>
      </c>
      <c r="ET80" t="e">
        <f>AND('6to. Perito'!B48,"AAAAAHv7/5U=")</f>
        <v>#VALUE!</v>
      </c>
      <c r="EU80" t="e">
        <f>AND('6to. Perito'!C48,"AAAAAHv7/5Y=")</f>
        <v>#VALUE!</v>
      </c>
      <c r="EV80" t="e">
        <f>AND('6to. Perito'!D48,"AAAAAHv7/5c=")</f>
        <v>#VALUE!</v>
      </c>
      <c r="EW80" t="e">
        <f>AND('6to. Perito'!E48,"AAAAAHv7/5g=")</f>
        <v>#VALUE!</v>
      </c>
      <c r="EX80" t="e">
        <f>AND('6to. Perito'!F48,"AAAAAHv7/5k=")</f>
        <v>#VALUE!</v>
      </c>
      <c r="EY80" t="e">
        <f>AND('6to. Perito'!G48,"AAAAAHv7/5o=")</f>
        <v>#VALUE!</v>
      </c>
      <c r="EZ80" t="e">
        <f>AND('6to. Perito'!H48,"AAAAAHv7/5s=")</f>
        <v>#VALUE!</v>
      </c>
      <c r="FA80" t="e">
        <f>AND('6to. Perito'!I48,"AAAAAHv7/5w=")</f>
        <v>#VALUE!</v>
      </c>
      <c r="FB80" t="e">
        <f>AND('6to. Perito'!J48,"AAAAAHv7/50=")</f>
        <v>#VALUE!</v>
      </c>
      <c r="FC80" t="e">
        <f>AND('6to. Perito'!K48,"AAAAAHv7/54=")</f>
        <v>#VALUE!</v>
      </c>
      <c r="FD80" t="e">
        <f>AND('6to. Perito'!L48,"AAAAAHv7/58=")</f>
        <v>#VALUE!</v>
      </c>
      <c r="FE80" t="e">
        <f>AND('6to. Perito'!M48,"AAAAAHv7/6A=")</f>
        <v>#VALUE!</v>
      </c>
      <c r="FF80" t="e">
        <f>AND('6to. Perito'!N48,"AAAAAHv7/6E=")</f>
        <v>#VALUE!</v>
      </c>
      <c r="FG80" t="e">
        <f>AND('6to. Perito'!O48,"AAAAAHv7/6I=")</f>
        <v>#VALUE!</v>
      </c>
      <c r="FH80" t="e">
        <f>AND('6to. Perito'!P48,"AAAAAHv7/6M=")</f>
        <v>#VALUE!</v>
      </c>
      <c r="FI80" t="e">
        <f>AND('6to. Perito'!Q48,"AAAAAHv7/6Q=")</f>
        <v>#VALUE!</v>
      </c>
      <c r="FJ80" t="e">
        <f>AND('6to. Perito'!R48,"AAAAAHv7/6U=")</f>
        <v>#VALUE!</v>
      </c>
      <c r="FK80" t="e">
        <f>AND('6to. Perito'!S48,"AAAAAHv7/6Y=")</f>
        <v>#VALUE!</v>
      </c>
      <c r="FL80" t="e">
        <f>AND('6to. Perito'!T48,"AAAAAHv7/6c=")</f>
        <v>#VALUE!</v>
      </c>
      <c r="FM80" t="e">
        <f>AND('6to. Perito'!#REF!,"AAAAAHv7/6g=")</f>
        <v>#REF!</v>
      </c>
      <c r="FN80" t="e">
        <f>AND('6to. Perito'!#REF!,"AAAAAHv7/6k=")</f>
        <v>#REF!</v>
      </c>
      <c r="FO80" t="e">
        <f>AND('6to. Perito'!#REF!,"AAAAAHv7/6o=")</f>
        <v>#REF!</v>
      </c>
      <c r="FP80" t="e">
        <f>AND('6to. Perito'!#REF!,"AAAAAHv7/6s=")</f>
        <v>#REF!</v>
      </c>
      <c r="FQ80" t="e">
        <f>AND('6to. Perito'!#REF!,"AAAAAHv7/6w=")</f>
        <v>#REF!</v>
      </c>
      <c r="FR80">
        <f>IF('6to. Perito'!49:49,"AAAAAHv7/60=",0)</f>
        <v>0</v>
      </c>
      <c r="FS80" t="e">
        <f>AND('6to. Perito'!A49,"AAAAAHv7/64=")</f>
        <v>#VALUE!</v>
      </c>
      <c r="FT80" t="e">
        <f>AND('6to. Perito'!B49,"AAAAAHv7/68=")</f>
        <v>#VALUE!</v>
      </c>
      <c r="FU80" t="e">
        <f>AND('6to. Perito'!C49,"AAAAAHv7/7A=")</f>
        <v>#VALUE!</v>
      </c>
      <c r="FV80" t="e">
        <f>AND('6to. Perito'!D49,"AAAAAHv7/7E=")</f>
        <v>#VALUE!</v>
      </c>
      <c r="FW80" t="e">
        <f>AND('6to. Perito'!E49,"AAAAAHv7/7I=")</f>
        <v>#VALUE!</v>
      </c>
      <c r="FX80" t="e">
        <f>AND('6to. Perito'!F49,"AAAAAHv7/7M=")</f>
        <v>#VALUE!</v>
      </c>
      <c r="FY80" t="e">
        <f>AND('6to. Perito'!G49,"AAAAAHv7/7Q=")</f>
        <v>#VALUE!</v>
      </c>
      <c r="FZ80" t="e">
        <f>AND('6to. Perito'!H49,"AAAAAHv7/7U=")</f>
        <v>#VALUE!</v>
      </c>
      <c r="GA80" t="e">
        <f>AND('6to. Perito'!I49,"AAAAAHv7/7Y=")</f>
        <v>#VALUE!</v>
      </c>
      <c r="GB80" t="e">
        <f>AND('6to. Perito'!J49,"AAAAAHv7/7c=")</f>
        <v>#VALUE!</v>
      </c>
      <c r="GC80" t="e">
        <f>AND('6to. Perito'!K49,"AAAAAHv7/7g=")</f>
        <v>#VALUE!</v>
      </c>
      <c r="GD80" t="e">
        <f>AND('6to. Perito'!L49,"AAAAAHv7/7k=")</f>
        <v>#VALUE!</v>
      </c>
      <c r="GE80" t="e">
        <f>AND('6to. Perito'!M49,"AAAAAHv7/7o=")</f>
        <v>#VALUE!</v>
      </c>
      <c r="GF80" t="e">
        <f>AND('6to. Perito'!N49,"AAAAAHv7/7s=")</f>
        <v>#VALUE!</v>
      </c>
      <c r="GG80" t="e">
        <f>AND('6to. Perito'!O49,"AAAAAHv7/7w=")</f>
        <v>#VALUE!</v>
      </c>
      <c r="GH80" t="e">
        <f>AND('6to. Perito'!P49,"AAAAAHv7/70=")</f>
        <v>#VALUE!</v>
      </c>
      <c r="GI80" t="e">
        <f>AND('6to. Perito'!Q49,"AAAAAHv7/74=")</f>
        <v>#VALUE!</v>
      </c>
      <c r="GJ80" t="e">
        <f>AND('6to. Perito'!R49,"AAAAAHv7/78=")</f>
        <v>#VALUE!</v>
      </c>
      <c r="GK80" t="e">
        <f>AND('6to. Perito'!S49,"AAAAAHv7/8A=")</f>
        <v>#VALUE!</v>
      </c>
      <c r="GL80" t="e">
        <f>AND('6to. Perito'!T49,"AAAAAHv7/8E=")</f>
        <v>#VALUE!</v>
      </c>
      <c r="GM80" t="e">
        <f>AND('6to. Perito'!#REF!,"AAAAAHv7/8I=")</f>
        <v>#REF!</v>
      </c>
      <c r="GN80" t="e">
        <f>AND('6to. Perito'!#REF!,"AAAAAHv7/8M=")</f>
        <v>#REF!</v>
      </c>
      <c r="GO80" t="e">
        <f>AND('6to. Perito'!#REF!,"AAAAAHv7/8Q=")</f>
        <v>#REF!</v>
      </c>
      <c r="GP80" t="e">
        <f>AND('6to. Perito'!#REF!,"AAAAAHv7/8U=")</f>
        <v>#REF!</v>
      </c>
      <c r="GQ80" t="e">
        <f>AND('6to. Perito'!#REF!,"AAAAAHv7/8Y=")</f>
        <v>#REF!</v>
      </c>
      <c r="GR80">
        <f>IF('6to. Perito'!50:50,"AAAAAHv7/8c=",0)</f>
        <v>0</v>
      </c>
      <c r="GS80" t="e">
        <f>AND('6to. Perito'!A50,"AAAAAHv7/8g=")</f>
        <v>#VALUE!</v>
      </c>
      <c r="GT80" t="e">
        <f>AND('6to. Perito'!B50,"AAAAAHv7/8k=")</f>
        <v>#VALUE!</v>
      </c>
      <c r="GU80" t="e">
        <f>AND('6to. Perito'!C50,"AAAAAHv7/8o=")</f>
        <v>#VALUE!</v>
      </c>
      <c r="GV80" t="e">
        <f>AND('6to. Perito'!D50,"AAAAAHv7/8s=")</f>
        <v>#VALUE!</v>
      </c>
      <c r="GW80" t="e">
        <f>AND('6to. Perito'!E50,"AAAAAHv7/8w=")</f>
        <v>#VALUE!</v>
      </c>
      <c r="GX80" t="e">
        <f>AND('6to. Perito'!F50,"AAAAAHv7/80=")</f>
        <v>#VALUE!</v>
      </c>
      <c r="GY80" t="e">
        <f>AND('6to. Perito'!G50,"AAAAAHv7/84=")</f>
        <v>#VALUE!</v>
      </c>
      <c r="GZ80" t="e">
        <f>AND('6to. Perito'!H50,"AAAAAHv7/88=")</f>
        <v>#VALUE!</v>
      </c>
      <c r="HA80" t="e">
        <f>AND('6to. Perito'!I50,"AAAAAHv7/9A=")</f>
        <v>#VALUE!</v>
      </c>
      <c r="HB80" t="e">
        <f>AND('6to. Perito'!J50,"AAAAAHv7/9E=")</f>
        <v>#VALUE!</v>
      </c>
      <c r="HC80" t="e">
        <f>AND('6to. Perito'!K50,"AAAAAHv7/9I=")</f>
        <v>#VALUE!</v>
      </c>
      <c r="HD80" t="e">
        <f>AND('6to. Perito'!L50,"AAAAAHv7/9M=")</f>
        <v>#VALUE!</v>
      </c>
      <c r="HE80" t="e">
        <f>AND('6to. Perito'!M50,"AAAAAHv7/9Q=")</f>
        <v>#VALUE!</v>
      </c>
      <c r="HF80" t="e">
        <f>AND('6to. Perito'!N50,"AAAAAHv7/9U=")</f>
        <v>#VALUE!</v>
      </c>
      <c r="HG80" t="e">
        <f>AND('6to. Perito'!O50,"AAAAAHv7/9Y=")</f>
        <v>#VALUE!</v>
      </c>
      <c r="HH80" t="e">
        <f>AND('6to. Perito'!P50,"AAAAAHv7/9c=")</f>
        <v>#VALUE!</v>
      </c>
      <c r="HI80" t="e">
        <f>AND('6to. Perito'!Q50,"AAAAAHv7/9g=")</f>
        <v>#VALUE!</v>
      </c>
      <c r="HJ80" t="e">
        <f>AND('6to. Perito'!R50,"AAAAAHv7/9k=")</f>
        <v>#VALUE!</v>
      </c>
      <c r="HK80" t="e">
        <f>AND('6to. Perito'!S50,"AAAAAHv7/9o=")</f>
        <v>#VALUE!</v>
      </c>
      <c r="HL80" t="e">
        <f>AND('6to. Perito'!T50,"AAAAAHv7/9s=")</f>
        <v>#VALUE!</v>
      </c>
      <c r="HM80" t="e">
        <f>AND('6to. Perito'!#REF!,"AAAAAHv7/9w=")</f>
        <v>#REF!</v>
      </c>
      <c r="HN80" t="e">
        <f>AND('6to. Perito'!#REF!,"AAAAAHv7/90=")</f>
        <v>#REF!</v>
      </c>
      <c r="HO80" t="e">
        <f>AND('6to. Perito'!#REF!,"AAAAAHv7/94=")</f>
        <v>#REF!</v>
      </c>
      <c r="HP80" t="e">
        <f>AND('6to. Perito'!#REF!,"AAAAAHv7/98=")</f>
        <v>#REF!</v>
      </c>
      <c r="HQ80" t="e">
        <f>AND('6to. Perito'!#REF!,"AAAAAHv7/+A=")</f>
        <v>#REF!</v>
      </c>
      <c r="HR80" t="e">
        <f>IF('6to. Perito'!#REF!,"AAAAAHv7/+E=",0)</f>
        <v>#REF!</v>
      </c>
      <c r="HS80" t="e">
        <f>AND('6to. Perito'!#REF!,"AAAAAHv7/+I=")</f>
        <v>#REF!</v>
      </c>
      <c r="HT80" t="e">
        <f>AND('6to. Perito'!#REF!,"AAAAAHv7/+M=")</f>
        <v>#REF!</v>
      </c>
      <c r="HU80" t="e">
        <f>AND('6to. Perito'!#REF!,"AAAAAHv7/+Q=")</f>
        <v>#REF!</v>
      </c>
      <c r="HV80" t="e">
        <f>AND('6to. Perito'!#REF!,"AAAAAHv7/+U=")</f>
        <v>#REF!</v>
      </c>
      <c r="HW80" t="e">
        <f>AND('6to. Perito'!#REF!,"AAAAAHv7/+Y=")</f>
        <v>#REF!</v>
      </c>
      <c r="HX80" t="e">
        <f>AND('6to. Perito'!#REF!,"AAAAAHv7/+c=")</f>
        <v>#REF!</v>
      </c>
      <c r="HY80" t="e">
        <f>AND('6to. Perito'!#REF!,"AAAAAHv7/+g=")</f>
        <v>#REF!</v>
      </c>
      <c r="HZ80" t="e">
        <f>AND('6to. Perito'!#REF!,"AAAAAHv7/+k=")</f>
        <v>#REF!</v>
      </c>
      <c r="IA80" t="e">
        <f>AND('6to. Perito'!#REF!,"AAAAAHv7/+o=")</f>
        <v>#REF!</v>
      </c>
      <c r="IB80" t="e">
        <f>AND('6to. Perito'!#REF!,"AAAAAHv7/+s=")</f>
        <v>#REF!</v>
      </c>
      <c r="IC80" t="e">
        <f>AND('6to. Perito'!#REF!,"AAAAAHv7/+w=")</f>
        <v>#REF!</v>
      </c>
      <c r="ID80" t="e">
        <f>AND('6to. Perito'!#REF!,"AAAAAHv7/+0=")</f>
        <v>#REF!</v>
      </c>
      <c r="IE80" t="e">
        <f>AND('6to. Perito'!#REF!,"AAAAAHv7/+4=")</f>
        <v>#REF!</v>
      </c>
      <c r="IF80" t="e">
        <f>AND('6to. Perito'!#REF!,"AAAAAHv7/+8=")</f>
        <v>#REF!</v>
      </c>
      <c r="IG80" t="e">
        <f>AND('6to. Perito'!#REF!,"AAAAAHv7//A=")</f>
        <v>#REF!</v>
      </c>
      <c r="IH80" t="e">
        <f>AND('6to. Perito'!#REF!,"AAAAAHv7//E=")</f>
        <v>#REF!</v>
      </c>
      <c r="II80" t="e">
        <f>AND('6to. Perito'!#REF!,"AAAAAHv7//I=")</f>
        <v>#REF!</v>
      </c>
      <c r="IJ80" t="e">
        <f>AND('6to. Perito'!#REF!,"AAAAAHv7//M=")</f>
        <v>#REF!</v>
      </c>
      <c r="IK80" t="e">
        <f>AND('6to. Perito'!#REF!,"AAAAAHv7//Q=")</f>
        <v>#REF!</v>
      </c>
      <c r="IL80" t="e">
        <f>AND('6to. Perito'!#REF!,"AAAAAHv7//U=")</f>
        <v>#REF!</v>
      </c>
      <c r="IM80" t="e">
        <f>AND('6to. Perito'!#REF!,"AAAAAHv7//Y=")</f>
        <v>#REF!</v>
      </c>
      <c r="IN80" t="e">
        <f>AND('6to. Perito'!#REF!,"AAAAAHv7//c=")</f>
        <v>#REF!</v>
      </c>
      <c r="IO80" t="e">
        <f>AND('6to. Perito'!#REF!,"AAAAAHv7//g=")</f>
        <v>#REF!</v>
      </c>
      <c r="IP80" t="e">
        <f>AND('6to. Perito'!#REF!,"AAAAAHv7//k=")</f>
        <v>#REF!</v>
      </c>
      <c r="IQ80" t="e">
        <f>AND('6to. Perito'!#REF!,"AAAAAHv7//o=")</f>
        <v>#REF!</v>
      </c>
      <c r="IR80" t="e">
        <f>IF('6to. Perito'!#REF!,"AAAAAHv7//s=",0)</f>
        <v>#REF!</v>
      </c>
      <c r="IS80" t="e">
        <f>AND('6to. Perito'!#REF!,"AAAAAHv7//w=")</f>
        <v>#REF!</v>
      </c>
      <c r="IT80" t="e">
        <f>AND('6to. Perito'!#REF!,"AAAAAHv7//0=")</f>
        <v>#REF!</v>
      </c>
      <c r="IU80" t="e">
        <f>AND('6to. Perito'!#REF!,"AAAAAHv7//4=")</f>
        <v>#REF!</v>
      </c>
      <c r="IV80" t="e">
        <f>AND('6to. Perito'!#REF!,"AAAAAHv7//8=")</f>
        <v>#REF!</v>
      </c>
    </row>
    <row r="81" spans="1:256">
      <c r="A81" t="e">
        <f>AND('6to. Perito'!#REF!,"AAAAAHx+1QA=")</f>
        <v>#REF!</v>
      </c>
      <c r="B81" t="e">
        <f>AND('6to. Perito'!#REF!,"AAAAAHx+1QE=")</f>
        <v>#REF!</v>
      </c>
      <c r="C81" t="e">
        <f>AND('6to. Perito'!#REF!,"AAAAAHx+1QI=")</f>
        <v>#REF!</v>
      </c>
      <c r="D81" t="e">
        <f>AND('6to. Perito'!#REF!,"AAAAAHx+1QM=")</f>
        <v>#REF!</v>
      </c>
      <c r="E81" t="e">
        <f>AND('6to. Perito'!#REF!,"AAAAAHx+1QQ=")</f>
        <v>#REF!</v>
      </c>
      <c r="F81" t="e">
        <f>AND('6to. Perito'!#REF!,"AAAAAHx+1QU=")</f>
        <v>#REF!</v>
      </c>
      <c r="G81" t="e">
        <f>AND('6to. Perito'!#REF!,"AAAAAHx+1QY=")</f>
        <v>#REF!</v>
      </c>
      <c r="H81" t="e">
        <f>AND('6to. Perito'!#REF!,"AAAAAHx+1Qc=")</f>
        <v>#REF!</v>
      </c>
      <c r="I81" t="e">
        <f>AND('6to. Perito'!#REF!,"AAAAAHx+1Qg=")</f>
        <v>#REF!</v>
      </c>
      <c r="J81" t="e">
        <f>AND('6to. Perito'!#REF!,"AAAAAHx+1Qk=")</f>
        <v>#REF!</v>
      </c>
      <c r="K81" t="e">
        <f>AND('6to. Perito'!#REF!,"AAAAAHx+1Qo=")</f>
        <v>#REF!</v>
      </c>
      <c r="L81" t="e">
        <f>AND('6to. Perito'!#REF!,"AAAAAHx+1Qs=")</f>
        <v>#REF!</v>
      </c>
      <c r="M81" t="e">
        <f>AND('6to. Perito'!#REF!,"AAAAAHx+1Qw=")</f>
        <v>#REF!</v>
      </c>
      <c r="N81" t="e">
        <f>AND('6to. Perito'!#REF!,"AAAAAHx+1Q0=")</f>
        <v>#REF!</v>
      </c>
      <c r="O81" t="e">
        <f>AND('6to. Perito'!#REF!,"AAAAAHx+1Q4=")</f>
        <v>#REF!</v>
      </c>
      <c r="P81" t="e">
        <f>AND('6to. Perito'!#REF!,"AAAAAHx+1Q8=")</f>
        <v>#REF!</v>
      </c>
      <c r="Q81" t="e">
        <f>AND('6to. Perito'!#REF!,"AAAAAHx+1RA=")</f>
        <v>#REF!</v>
      </c>
      <c r="R81" t="e">
        <f>AND('6to. Perito'!#REF!,"AAAAAHx+1RE=")</f>
        <v>#REF!</v>
      </c>
      <c r="S81" t="e">
        <f>AND('6to. Perito'!#REF!,"AAAAAHx+1RI=")</f>
        <v>#REF!</v>
      </c>
      <c r="T81" t="e">
        <f>AND('6to. Perito'!#REF!,"AAAAAHx+1RM=")</f>
        <v>#REF!</v>
      </c>
      <c r="U81" t="e">
        <f>AND('6to. Perito'!#REF!,"AAAAAHx+1RQ=")</f>
        <v>#REF!</v>
      </c>
      <c r="V81" t="e">
        <f>IF('6to. Perito'!#REF!,"AAAAAHx+1RU=",0)</f>
        <v>#REF!</v>
      </c>
      <c r="W81" t="e">
        <f>AND('6to. Perito'!#REF!,"AAAAAHx+1RY=")</f>
        <v>#REF!</v>
      </c>
      <c r="X81" t="e">
        <f>AND('6to. Perito'!#REF!,"AAAAAHx+1Rc=")</f>
        <v>#REF!</v>
      </c>
      <c r="Y81" t="e">
        <f>AND('6to. Perito'!#REF!,"AAAAAHx+1Rg=")</f>
        <v>#REF!</v>
      </c>
      <c r="Z81" t="e">
        <f>AND('6to. Perito'!#REF!,"AAAAAHx+1Rk=")</f>
        <v>#REF!</v>
      </c>
      <c r="AA81" t="e">
        <f>AND('6to. Perito'!#REF!,"AAAAAHx+1Ro=")</f>
        <v>#REF!</v>
      </c>
      <c r="AB81" t="e">
        <f>AND('6to. Perito'!#REF!,"AAAAAHx+1Rs=")</f>
        <v>#REF!</v>
      </c>
      <c r="AC81" t="e">
        <f>AND('6to. Perito'!#REF!,"AAAAAHx+1Rw=")</f>
        <v>#REF!</v>
      </c>
      <c r="AD81" t="e">
        <f>AND('6to. Perito'!#REF!,"AAAAAHx+1R0=")</f>
        <v>#REF!</v>
      </c>
      <c r="AE81" t="e">
        <f>AND('6to. Perito'!#REF!,"AAAAAHx+1R4=")</f>
        <v>#REF!</v>
      </c>
      <c r="AF81" t="e">
        <f>AND('6to. Perito'!#REF!,"AAAAAHx+1R8=")</f>
        <v>#REF!</v>
      </c>
      <c r="AG81" t="e">
        <f>AND('6to. Perito'!#REF!,"AAAAAHx+1SA=")</f>
        <v>#REF!</v>
      </c>
      <c r="AH81" t="e">
        <f>AND('6to. Perito'!#REF!,"AAAAAHx+1SE=")</f>
        <v>#REF!</v>
      </c>
      <c r="AI81" t="e">
        <f>AND('6to. Perito'!#REF!,"AAAAAHx+1SI=")</f>
        <v>#REF!</v>
      </c>
      <c r="AJ81" t="e">
        <f>AND('6to. Perito'!#REF!,"AAAAAHx+1SM=")</f>
        <v>#REF!</v>
      </c>
      <c r="AK81" t="e">
        <f>AND('6to. Perito'!#REF!,"AAAAAHx+1SQ=")</f>
        <v>#REF!</v>
      </c>
      <c r="AL81" t="e">
        <f>AND('6to. Perito'!#REF!,"AAAAAHx+1SU=")</f>
        <v>#REF!</v>
      </c>
      <c r="AM81" t="e">
        <f>AND('6to. Perito'!#REF!,"AAAAAHx+1SY=")</f>
        <v>#REF!</v>
      </c>
      <c r="AN81" t="e">
        <f>AND('6to. Perito'!#REF!,"AAAAAHx+1Sc=")</f>
        <v>#REF!</v>
      </c>
      <c r="AO81" t="e">
        <f>AND('6to. Perito'!#REF!,"AAAAAHx+1Sg=")</f>
        <v>#REF!</v>
      </c>
      <c r="AP81" t="e">
        <f>AND('6to. Perito'!#REF!,"AAAAAHx+1Sk=")</f>
        <v>#REF!</v>
      </c>
      <c r="AQ81" t="e">
        <f>AND('6to. Perito'!#REF!,"AAAAAHx+1So=")</f>
        <v>#REF!</v>
      </c>
      <c r="AR81" t="e">
        <f>AND('6to. Perito'!#REF!,"AAAAAHx+1Ss=")</f>
        <v>#REF!</v>
      </c>
      <c r="AS81" t="e">
        <f>AND('6to. Perito'!#REF!,"AAAAAHx+1Sw=")</f>
        <v>#REF!</v>
      </c>
      <c r="AT81" t="e">
        <f>AND('6to. Perito'!#REF!,"AAAAAHx+1S0=")</f>
        <v>#REF!</v>
      </c>
      <c r="AU81" t="e">
        <f>AND('6to. Perito'!#REF!,"AAAAAHx+1S4=")</f>
        <v>#REF!</v>
      </c>
      <c r="AV81" t="e">
        <f>IF('6to. Perito'!#REF!,"AAAAAHx+1S8=",0)</f>
        <v>#REF!</v>
      </c>
      <c r="AW81" t="e">
        <f>AND('6to. Perito'!#REF!,"AAAAAHx+1TA=")</f>
        <v>#REF!</v>
      </c>
      <c r="AX81" t="e">
        <f>AND('6to. Perito'!#REF!,"AAAAAHx+1TE=")</f>
        <v>#REF!</v>
      </c>
      <c r="AY81" t="e">
        <f>AND('6to. Perito'!#REF!,"AAAAAHx+1TI=")</f>
        <v>#REF!</v>
      </c>
      <c r="AZ81" t="e">
        <f>AND('6to. Perito'!#REF!,"AAAAAHx+1TM=")</f>
        <v>#REF!</v>
      </c>
      <c r="BA81" t="e">
        <f>AND('6to. Perito'!#REF!,"AAAAAHx+1TQ=")</f>
        <v>#REF!</v>
      </c>
      <c r="BB81" t="e">
        <f>AND('6to. Perito'!#REF!,"AAAAAHx+1TU=")</f>
        <v>#REF!</v>
      </c>
      <c r="BC81" t="e">
        <f>AND('6to. Perito'!#REF!,"AAAAAHx+1TY=")</f>
        <v>#REF!</v>
      </c>
      <c r="BD81" t="e">
        <f>AND('6to. Perito'!#REF!,"AAAAAHx+1Tc=")</f>
        <v>#REF!</v>
      </c>
      <c r="BE81" t="e">
        <f>AND('6to. Perito'!#REF!,"AAAAAHx+1Tg=")</f>
        <v>#REF!</v>
      </c>
      <c r="BF81" t="e">
        <f>AND('6to. Perito'!#REF!,"AAAAAHx+1Tk=")</f>
        <v>#REF!</v>
      </c>
      <c r="BG81" t="e">
        <f>AND('6to. Perito'!#REF!,"AAAAAHx+1To=")</f>
        <v>#REF!</v>
      </c>
      <c r="BH81" t="e">
        <f>AND('6to. Perito'!#REF!,"AAAAAHx+1Ts=")</f>
        <v>#REF!</v>
      </c>
      <c r="BI81" t="e">
        <f>AND('6to. Perito'!#REF!,"AAAAAHx+1Tw=")</f>
        <v>#REF!</v>
      </c>
      <c r="BJ81" t="e">
        <f>AND('6to. Perito'!#REF!,"AAAAAHx+1T0=")</f>
        <v>#REF!</v>
      </c>
      <c r="BK81" t="e">
        <f>AND('6to. Perito'!#REF!,"AAAAAHx+1T4=")</f>
        <v>#REF!</v>
      </c>
      <c r="BL81" t="e">
        <f>AND('6to. Perito'!#REF!,"AAAAAHx+1T8=")</f>
        <v>#REF!</v>
      </c>
      <c r="BM81" t="e">
        <f>AND('6to. Perito'!#REF!,"AAAAAHx+1UA=")</f>
        <v>#REF!</v>
      </c>
      <c r="BN81" t="e">
        <f>AND('6to. Perito'!#REF!,"AAAAAHx+1UE=")</f>
        <v>#REF!</v>
      </c>
      <c r="BO81" t="e">
        <f>AND('6to. Perito'!#REF!,"AAAAAHx+1UI=")</f>
        <v>#REF!</v>
      </c>
      <c r="BP81" t="e">
        <f>AND('6to. Perito'!#REF!,"AAAAAHx+1UM=")</f>
        <v>#REF!</v>
      </c>
      <c r="BQ81" t="e">
        <f>AND('6to. Perito'!#REF!,"AAAAAHx+1UQ=")</f>
        <v>#REF!</v>
      </c>
      <c r="BR81" t="e">
        <f>AND('6to. Perito'!#REF!,"AAAAAHx+1UU=")</f>
        <v>#REF!</v>
      </c>
      <c r="BS81" t="e">
        <f>AND('6to. Perito'!#REF!,"AAAAAHx+1UY=")</f>
        <v>#REF!</v>
      </c>
      <c r="BT81" t="e">
        <f>AND('6to. Perito'!#REF!,"AAAAAHx+1Uc=")</f>
        <v>#REF!</v>
      </c>
      <c r="BU81" t="e">
        <f>AND('6to. Perito'!#REF!,"AAAAAHx+1Ug=")</f>
        <v>#REF!</v>
      </c>
      <c r="BV81" t="e">
        <f>IF('6to. Perito'!#REF!,"AAAAAHx+1Uk=",0)</f>
        <v>#REF!</v>
      </c>
      <c r="BW81" t="e">
        <f>AND('6to. Perito'!#REF!,"AAAAAHx+1Uo=")</f>
        <v>#REF!</v>
      </c>
      <c r="BX81" t="e">
        <f>AND('6to. Perito'!#REF!,"AAAAAHx+1Us=")</f>
        <v>#REF!</v>
      </c>
      <c r="BY81" t="e">
        <f>AND('6to. Perito'!#REF!,"AAAAAHx+1Uw=")</f>
        <v>#REF!</v>
      </c>
      <c r="BZ81" t="e">
        <f>AND('6to. Perito'!#REF!,"AAAAAHx+1U0=")</f>
        <v>#REF!</v>
      </c>
      <c r="CA81" t="e">
        <f>AND('6to. Perito'!#REF!,"AAAAAHx+1U4=")</f>
        <v>#REF!</v>
      </c>
      <c r="CB81" t="e">
        <f>AND('6to. Perito'!#REF!,"AAAAAHx+1U8=")</f>
        <v>#REF!</v>
      </c>
      <c r="CC81" t="e">
        <f>AND('6to. Perito'!#REF!,"AAAAAHx+1VA=")</f>
        <v>#REF!</v>
      </c>
      <c r="CD81" t="e">
        <f>AND('6to. Perito'!#REF!,"AAAAAHx+1VE=")</f>
        <v>#REF!</v>
      </c>
      <c r="CE81" t="e">
        <f>AND('6to. Perito'!#REF!,"AAAAAHx+1VI=")</f>
        <v>#REF!</v>
      </c>
      <c r="CF81" t="e">
        <f>AND('6to. Perito'!#REF!,"AAAAAHx+1VM=")</f>
        <v>#REF!</v>
      </c>
      <c r="CG81" t="e">
        <f>AND('6to. Perito'!#REF!,"AAAAAHx+1VQ=")</f>
        <v>#REF!</v>
      </c>
      <c r="CH81" t="e">
        <f>AND('6to. Perito'!#REF!,"AAAAAHx+1VU=")</f>
        <v>#REF!</v>
      </c>
      <c r="CI81" t="e">
        <f>AND('6to. Perito'!#REF!,"AAAAAHx+1VY=")</f>
        <v>#REF!</v>
      </c>
      <c r="CJ81" t="e">
        <f>AND('6to. Perito'!#REF!,"AAAAAHx+1Vc=")</f>
        <v>#REF!</v>
      </c>
      <c r="CK81" t="e">
        <f>AND('6to. Perito'!#REF!,"AAAAAHx+1Vg=")</f>
        <v>#REF!</v>
      </c>
      <c r="CL81" t="e">
        <f>AND('6to. Perito'!#REF!,"AAAAAHx+1Vk=")</f>
        <v>#REF!</v>
      </c>
      <c r="CM81" t="e">
        <f>AND('6to. Perito'!#REF!,"AAAAAHx+1Vo=")</f>
        <v>#REF!</v>
      </c>
      <c r="CN81" t="e">
        <f>AND('6to. Perito'!#REF!,"AAAAAHx+1Vs=")</f>
        <v>#REF!</v>
      </c>
      <c r="CO81" t="e">
        <f>AND('6to. Perito'!#REF!,"AAAAAHx+1Vw=")</f>
        <v>#REF!</v>
      </c>
      <c r="CP81" t="e">
        <f>AND('6to. Perito'!#REF!,"AAAAAHx+1V0=")</f>
        <v>#REF!</v>
      </c>
      <c r="CQ81" t="e">
        <f>AND('6to. Perito'!#REF!,"AAAAAHx+1V4=")</f>
        <v>#REF!</v>
      </c>
      <c r="CR81" t="e">
        <f>AND('6to. Perito'!#REF!,"AAAAAHx+1V8=")</f>
        <v>#REF!</v>
      </c>
      <c r="CS81" t="e">
        <f>AND('6to. Perito'!#REF!,"AAAAAHx+1WA=")</f>
        <v>#REF!</v>
      </c>
      <c r="CT81" t="e">
        <f>AND('6to. Perito'!#REF!,"AAAAAHx+1WE=")</f>
        <v>#REF!</v>
      </c>
      <c r="CU81" t="e">
        <f>AND('6to. Perito'!#REF!,"AAAAAHx+1WI=")</f>
        <v>#REF!</v>
      </c>
      <c r="CV81" t="e">
        <f>IF('6to. Perito'!#REF!,"AAAAAHx+1WM=",0)</f>
        <v>#REF!</v>
      </c>
      <c r="CW81" t="e">
        <f>AND('6to. Perito'!#REF!,"AAAAAHx+1WQ=")</f>
        <v>#REF!</v>
      </c>
      <c r="CX81" t="e">
        <f>AND('6to. Perito'!#REF!,"AAAAAHx+1WU=")</f>
        <v>#REF!</v>
      </c>
      <c r="CY81" t="e">
        <f>AND('6to. Perito'!#REF!,"AAAAAHx+1WY=")</f>
        <v>#REF!</v>
      </c>
      <c r="CZ81" t="e">
        <f>AND('6to. Perito'!#REF!,"AAAAAHx+1Wc=")</f>
        <v>#REF!</v>
      </c>
      <c r="DA81" t="e">
        <f>AND('6to. Perito'!#REF!,"AAAAAHx+1Wg=")</f>
        <v>#REF!</v>
      </c>
      <c r="DB81" t="e">
        <f>AND('6to. Perito'!#REF!,"AAAAAHx+1Wk=")</f>
        <v>#REF!</v>
      </c>
      <c r="DC81" t="e">
        <f>AND('6to. Perito'!#REF!,"AAAAAHx+1Wo=")</f>
        <v>#REF!</v>
      </c>
      <c r="DD81" t="e">
        <f>AND('6to. Perito'!#REF!,"AAAAAHx+1Ws=")</f>
        <v>#REF!</v>
      </c>
      <c r="DE81" t="e">
        <f>AND('6to. Perito'!#REF!,"AAAAAHx+1Ww=")</f>
        <v>#REF!</v>
      </c>
      <c r="DF81" t="e">
        <f>AND('6to. Perito'!#REF!,"AAAAAHx+1W0=")</f>
        <v>#REF!</v>
      </c>
      <c r="DG81" t="e">
        <f>AND('6to. Perito'!#REF!,"AAAAAHx+1W4=")</f>
        <v>#REF!</v>
      </c>
      <c r="DH81" t="e">
        <f>AND('6to. Perito'!#REF!,"AAAAAHx+1W8=")</f>
        <v>#REF!</v>
      </c>
      <c r="DI81" t="e">
        <f>AND('6to. Perito'!#REF!,"AAAAAHx+1XA=")</f>
        <v>#REF!</v>
      </c>
      <c r="DJ81" t="e">
        <f>AND('6to. Perito'!#REF!,"AAAAAHx+1XE=")</f>
        <v>#REF!</v>
      </c>
      <c r="DK81" t="e">
        <f>AND('6to. Perito'!#REF!,"AAAAAHx+1XI=")</f>
        <v>#REF!</v>
      </c>
      <c r="DL81" t="e">
        <f>AND('6to. Perito'!#REF!,"AAAAAHx+1XM=")</f>
        <v>#REF!</v>
      </c>
      <c r="DM81" t="e">
        <f>AND('6to. Perito'!#REF!,"AAAAAHx+1XQ=")</f>
        <v>#REF!</v>
      </c>
      <c r="DN81" t="e">
        <f>AND('6to. Perito'!#REF!,"AAAAAHx+1XU=")</f>
        <v>#REF!</v>
      </c>
      <c r="DO81" t="e">
        <f>AND('6to. Perito'!#REF!,"AAAAAHx+1XY=")</f>
        <v>#REF!</v>
      </c>
      <c r="DP81" t="e">
        <f>AND('6to. Perito'!#REF!,"AAAAAHx+1Xc=")</f>
        <v>#REF!</v>
      </c>
      <c r="DQ81" t="e">
        <f>AND('6to. Perito'!#REF!,"AAAAAHx+1Xg=")</f>
        <v>#REF!</v>
      </c>
      <c r="DR81" t="e">
        <f>AND('6to. Perito'!#REF!,"AAAAAHx+1Xk=")</f>
        <v>#REF!</v>
      </c>
      <c r="DS81" t="e">
        <f>AND('6to. Perito'!#REF!,"AAAAAHx+1Xo=")</f>
        <v>#REF!</v>
      </c>
      <c r="DT81" t="e">
        <f>AND('6to. Perito'!#REF!,"AAAAAHx+1Xs=")</f>
        <v>#REF!</v>
      </c>
      <c r="DU81" t="e">
        <f>AND('6to. Perito'!#REF!,"AAAAAHx+1Xw=")</f>
        <v>#REF!</v>
      </c>
      <c r="DV81" t="e">
        <f>IF('6to. Perito'!#REF!,"AAAAAHx+1X0=",0)</f>
        <v>#REF!</v>
      </c>
      <c r="DW81" t="e">
        <f>AND('6to. Perito'!#REF!,"AAAAAHx+1X4=")</f>
        <v>#REF!</v>
      </c>
      <c r="DX81" t="e">
        <f>AND('6to. Perito'!#REF!,"AAAAAHx+1X8=")</f>
        <v>#REF!</v>
      </c>
      <c r="DY81" t="e">
        <f>AND('6to. Perito'!#REF!,"AAAAAHx+1YA=")</f>
        <v>#REF!</v>
      </c>
      <c r="DZ81" t="e">
        <f>AND('6to. Perito'!#REF!,"AAAAAHx+1YE=")</f>
        <v>#REF!</v>
      </c>
      <c r="EA81" t="e">
        <f>AND('6to. Perito'!#REF!,"AAAAAHx+1YI=")</f>
        <v>#REF!</v>
      </c>
      <c r="EB81" t="e">
        <f>AND('6to. Perito'!#REF!,"AAAAAHx+1YM=")</f>
        <v>#REF!</v>
      </c>
      <c r="EC81" t="e">
        <f>AND('6to. Perito'!#REF!,"AAAAAHx+1YQ=")</f>
        <v>#REF!</v>
      </c>
      <c r="ED81" t="e">
        <f>AND('6to. Perito'!#REF!,"AAAAAHx+1YU=")</f>
        <v>#REF!</v>
      </c>
      <c r="EE81" t="e">
        <f>AND('6to. Perito'!#REF!,"AAAAAHx+1YY=")</f>
        <v>#REF!</v>
      </c>
      <c r="EF81" t="e">
        <f>AND('6to. Perito'!#REF!,"AAAAAHx+1Yc=")</f>
        <v>#REF!</v>
      </c>
      <c r="EG81" t="e">
        <f>AND('6to. Perito'!#REF!,"AAAAAHx+1Yg=")</f>
        <v>#REF!</v>
      </c>
      <c r="EH81" t="e">
        <f>AND('6to. Perito'!#REF!,"AAAAAHx+1Yk=")</f>
        <v>#REF!</v>
      </c>
      <c r="EI81" t="e">
        <f>AND('6to. Perito'!#REF!,"AAAAAHx+1Yo=")</f>
        <v>#REF!</v>
      </c>
      <c r="EJ81" t="e">
        <f>AND('6to. Perito'!#REF!,"AAAAAHx+1Ys=")</f>
        <v>#REF!</v>
      </c>
      <c r="EK81" t="e">
        <f>AND('6to. Perito'!#REF!,"AAAAAHx+1Yw=")</f>
        <v>#REF!</v>
      </c>
      <c r="EL81" t="e">
        <f>AND('6to. Perito'!#REF!,"AAAAAHx+1Y0=")</f>
        <v>#REF!</v>
      </c>
      <c r="EM81" t="e">
        <f>AND('6to. Perito'!#REF!,"AAAAAHx+1Y4=")</f>
        <v>#REF!</v>
      </c>
      <c r="EN81" t="e">
        <f>AND('6to. Perito'!#REF!,"AAAAAHx+1Y8=")</f>
        <v>#REF!</v>
      </c>
      <c r="EO81" t="e">
        <f>AND('6to. Perito'!#REF!,"AAAAAHx+1ZA=")</f>
        <v>#REF!</v>
      </c>
      <c r="EP81" t="e">
        <f>AND('6to. Perito'!#REF!,"AAAAAHx+1ZE=")</f>
        <v>#REF!</v>
      </c>
      <c r="EQ81" t="e">
        <f>AND('6to. Perito'!#REF!,"AAAAAHx+1ZI=")</f>
        <v>#REF!</v>
      </c>
      <c r="ER81" t="e">
        <f>AND('6to. Perito'!#REF!,"AAAAAHx+1ZM=")</f>
        <v>#REF!</v>
      </c>
      <c r="ES81" t="e">
        <f>AND('6to. Perito'!#REF!,"AAAAAHx+1ZQ=")</f>
        <v>#REF!</v>
      </c>
      <c r="ET81" t="e">
        <f>AND('6to. Perito'!#REF!,"AAAAAHx+1ZU=")</f>
        <v>#REF!</v>
      </c>
      <c r="EU81" t="e">
        <f>AND('6to. Perito'!#REF!,"AAAAAHx+1ZY=")</f>
        <v>#REF!</v>
      </c>
      <c r="EV81" t="e">
        <f>IF('6to. Perito'!#REF!,"AAAAAHx+1Zc=",0)</f>
        <v>#REF!</v>
      </c>
      <c r="EW81" t="e">
        <f>AND('6to. Perito'!#REF!,"AAAAAHx+1Zg=")</f>
        <v>#REF!</v>
      </c>
      <c r="EX81" t="e">
        <f>AND('6to. Perito'!#REF!,"AAAAAHx+1Zk=")</f>
        <v>#REF!</v>
      </c>
      <c r="EY81" t="e">
        <f>AND('6to. Perito'!#REF!,"AAAAAHx+1Zo=")</f>
        <v>#REF!</v>
      </c>
      <c r="EZ81" t="e">
        <f>AND('6to. Perito'!#REF!,"AAAAAHx+1Zs=")</f>
        <v>#REF!</v>
      </c>
      <c r="FA81" t="e">
        <f>AND('6to. Perito'!#REF!,"AAAAAHx+1Zw=")</f>
        <v>#REF!</v>
      </c>
      <c r="FB81" t="e">
        <f>AND('6to. Perito'!#REF!,"AAAAAHx+1Z0=")</f>
        <v>#REF!</v>
      </c>
      <c r="FC81" t="e">
        <f>AND('6to. Perito'!#REF!,"AAAAAHx+1Z4=")</f>
        <v>#REF!</v>
      </c>
      <c r="FD81" t="e">
        <f>AND('6to. Perito'!#REF!,"AAAAAHx+1Z8=")</f>
        <v>#REF!</v>
      </c>
      <c r="FE81" t="e">
        <f>AND('6to. Perito'!#REF!,"AAAAAHx+1aA=")</f>
        <v>#REF!</v>
      </c>
      <c r="FF81" t="e">
        <f>AND('6to. Perito'!#REF!,"AAAAAHx+1aE=")</f>
        <v>#REF!</v>
      </c>
      <c r="FG81" t="e">
        <f>AND('6to. Perito'!#REF!,"AAAAAHx+1aI=")</f>
        <v>#REF!</v>
      </c>
      <c r="FH81" t="e">
        <f>AND('6to. Perito'!#REF!,"AAAAAHx+1aM=")</f>
        <v>#REF!</v>
      </c>
      <c r="FI81" t="e">
        <f>AND('6to. Perito'!#REF!,"AAAAAHx+1aQ=")</f>
        <v>#REF!</v>
      </c>
      <c r="FJ81" t="e">
        <f>AND('6to. Perito'!#REF!,"AAAAAHx+1aU=")</f>
        <v>#REF!</v>
      </c>
      <c r="FK81" t="e">
        <f>AND('6to. Perito'!#REF!,"AAAAAHx+1aY=")</f>
        <v>#REF!</v>
      </c>
      <c r="FL81" t="e">
        <f>AND('6to. Perito'!#REF!,"AAAAAHx+1ac=")</f>
        <v>#REF!</v>
      </c>
      <c r="FM81" t="e">
        <f>AND('6to. Perito'!#REF!,"AAAAAHx+1ag=")</f>
        <v>#REF!</v>
      </c>
      <c r="FN81" t="e">
        <f>AND('6to. Perito'!#REF!,"AAAAAHx+1ak=")</f>
        <v>#REF!</v>
      </c>
      <c r="FO81" t="e">
        <f>AND('6to. Perito'!#REF!,"AAAAAHx+1ao=")</f>
        <v>#REF!</v>
      </c>
      <c r="FP81" t="e">
        <f>AND('6to. Perito'!#REF!,"AAAAAHx+1as=")</f>
        <v>#REF!</v>
      </c>
      <c r="FQ81" t="e">
        <f>AND('6to. Perito'!#REF!,"AAAAAHx+1aw=")</f>
        <v>#REF!</v>
      </c>
      <c r="FR81" t="e">
        <f>AND('6to. Perito'!#REF!,"AAAAAHx+1a0=")</f>
        <v>#REF!</v>
      </c>
      <c r="FS81" t="e">
        <f>AND('6to. Perito'!#REF!,"AAAAAHx+1a4=")</f>
        <v>#REF!</v>
      </c>
      <c r="FT81" t="e">
        <f>AND('6to. Perito'!#REF!,"AAAAAHx+1a8=")</f>
        <v>#REF!</v>
      </c>
      <c r="FU81" t="e">
        <f>AND('6to. Perito'!#REF!,"AAAAAHx+1bA=")</f>
        <v>#REF!</v>
      </c>
      <c r="FV81" t="e">
        <f>IF('6to. Perito'!#REF!,"AAAAAHx+1bE=",0)</f>
        <v>#REF!</v>
      </c>
      <c r="FW81" t="e">
        <f>AND('6to. Perito'!#REF!,"AAAAAHx+1bI=")</f>
        <v>#REF!</v>
      </c>
      <c r="FX81" t="e">
        <f>AND('6to. Perito'!#REF!,"AAAAAHx+1bM=")</f>
        <v>#REF!</v>
      </c>
      <c r="FY81" t="e">
        <f>AND('6to. Perito'!#REF!,"AAAAAHx+1bQ=")</f>
        <v>#REF!</v>
      </c>
      <c r="FZ81" t="e">
        <f>AND('6to. Perito'!#REF!,"AAAAAHx+1bU=")</f>
        <v>#REF!</v>
      </c>
      <c r="GA81" t="e">
        <f>AND('6to. Perito'!#REF!,"AAAAAHx+1bY=")</f>
        <v>#REF!</v>
      </c>
      <c r="GB81" t="e">
        <f>AND('6to. Perito'!#REF!,"AAAAAHx+1bc=")</f>
        <v>#REF!</v>
      </c>
      <c r="GC81" t="e">
        <f>AND('6to. Perito'!#REF!,"AAAAAHx+1bg=")</f>
        <v>#REF!</v>
      </c>
      <c r="GD81" t="e">
        <f>AND('6to. Perito'!#REF!,"AAAAAHx+1bk=")</f>
        <v>#REF!</v>
      </c>
      <c r="GE81" t="e">
        <f>AND('6to. Perito'!#REF!,"AAAAAHx+1bo=")</f>
        <v>#REF!</v>
      </c>
      <c r="GF81" t="e">
        <f>AND('6to. Perito'!#REF!,"AAAAAHx+1bs=")</f>
        <v>#REF!</v>
      </c>
      <c r="GG81" t="e">
        <f>AND('6to. Perito'!#REF!,"AAAAAHx+1bw=")</f>
        <v>#REF!</v>
      </c>
      <c r="GH81" t="e">
        <f>AND('6to. Perito'!#REF!,"AAAAAHx+1b0=")</f>
        <v>#REF!</v>
      </c>
      <c r="GI81" t="e">
        <f>AND('6to. Perito'!#REF!,"AAAAAHx+1b4=")</f>
        <v>#REF!</v>
      </c>
      <c r="GJ81" t="e">
        <f>AND('6to. Perito'!#REF!,"AAAAAHx+1b8=")</f>
        <v>#REF!</v>
      </c>
      <c r="GK81" t="e">
        <f>AND('6to. Perito'!#REF!,"AAAAAHx+1cA=")</f>
        <v>#REF!</v>
      </c>
      <c r="GL81" t="e">
        <f>AND('6to. Perito'!#REF!,"AAAAAHx+1cE=")</f>
        <v>#REF!</v>
      </c>
      <c r="GM81" t="e">
        <f>AND('6to. Perito'!#REF!,"AAAAAHx+1cI=")</f>
        <v>#REF!</v>
      </c>
      <c r="GN81" t="e">
        <f>AND('6to. Perito'!#REF!,"AAAAAHx+1cM=")</f>
        <v>#REF!</v>
      </c>
      <c r="GO81" t="e">
        <f>AND('6to. Perito'!#REF!,"AAAAAHx+1cQ=")</f>
        <v>#REF!</v>
      </c>
      <c r="GP81" t="e">
        <f>AND('6to. Perito'!#REF!,"AAAAAHx+1cU=")</f>
        <v>#REF!</v>
      </c>
      <c r="GQ81" t="e">
        <f>AND('6to. Perito'!#REF!,"AAAAAHx+1cY=")</f>
        <v>#REF!</v>
      </c>
      <c r="GR81" t="e">
        <f>AND('6to. Perito'!#REF!,"AAAAAHx+1cc=")</f>
        <v>#REF!</v>
      </c>
      <c r="GS81" t="e">
        <f>AND('6to. Perito'!#REF!,"AAAAAHx+1cg=")</f>
        <v>#REF!</v>
      </c>
      <c r="GT81" t="e">
        <f>AND('6to. Perito'!#REF!,"AAAAAHx+1ck=")</f>
        <v>#REF!</v>
      </c>
      <c r="GU81" t="e">
        <f>AND('6to. Perito'!#REF!,"AAAAAHx+1co=")</f>
        <v>#REF!</v>
      </c>
      <c r="GV81" t="e">
        <f>IF('6to. Perito'!#REF!,"AAAAAHx+1cs=",0)</f>
        <v>#REF!</v>
      </c>
      <c r="GW81" t="e">
        <f>AND('6to. Perito'!#REF!,"AAAAAHx+1cw=")</f>
        <v>#REF!</v>
      </c>
      <c r="GX81" t="e">
        <f>AND('6to. Perito'!#REF!,"AAAAAHx+1c0=")</f>
        <v>#REF!</v>
      </c>
      <c r="GY81" t="e">
        <f>AND('6to. Perito'!#REF!,"AAAAAHx+1c4=")</f>
        <v>#REF!</v>
      </c>
      <c r="GZ81" t="e">
        <f>AND('6to. Perito'!#REF!,"AAAAAHx+1c8=")</f>
        <v>#REF!</v>
      </c>
      <c r="HA81" t="e">
        <f>AND('6to. Perito'!#REF!,"AAAAAHx+1dA=")</f>
        <v>#REF!</v>
      </c>
      <c r="HB81" t="e">
        <f>AND('6to. Perito'!#REF!,"AAAAAHx+1dE=")</f>
        <v>#REF!</v>
      </c>
      <c r="HC81" t="e">
        <f>AND('6to. Perito'!#REF!,"AAAAAHx+1dI=")</f>
        <v>#REF!</v>
      </c>
      <c r="HD81" t="e">
        <f>AND('6to. Perito'!#REF!,"AAAAAHx+1dM=")</f>
        <v>#REF!</v>
      </c>
      <c r="HE81" t="e">
        <f>AND('6to. Perito'!#REF!,"AAAAAHx+1dQ=")</f>
        <v>#REF!</v>
      </c>
      <c r="HF81" t="e">
        <f>AND('6to. Perito'!#REF!,"AAAAAHx+1dU=")</f>
        <v>#REF!</v>
      </c>
      <c r="HG81" t="e">
        <f>AND('6to. Perito'!#REF!,"AAAAAHx+1dY=")</f>
        <v>#REF!</v>
      </c>
      <c r="HH81" t="e">
        <f>AND('6to. Perito'!#REF!,"AAAAAHx+1dc=")</f>
        <v>#REF!</v>
      </c>
      <c r="HI81" t="e">
        <f>AND('6to. Perito'!#REF!,"AAAAAHx+1dg=")</f>
        <v>#REF!</v>
      </c>
      <c r="HJ81" t="e">
        <f>AND('6to. Perito'!#REF!,"AAAAAHx+1dk=")</f>
        <v>#REF!</v>
      </c>
      <c r="HK81" t="e">
        <f>AND('6to. Perito'!#REF!,"AAAAAHx+1do=")</f>
        <v>#REF!</v>
      </c>
      <c r="HL81" t="e">
        <f>AND('6to. Perito'!#REF!,"AAAAAHx+1ds=")</f>
        <v>#REF!</v>
      </c>
      <c r="HM81" t="e">
        <f>AND('6to. Perito'!#REF!,"AAAAAHx+1dw=")</f>
        <v>#REF!</v>
      </c>
      <c r="HN81" t="e">
        <f>AND('6to. Perito'!#REF!,"AAAAAHx+1d0=")</f>
        <v>#REF!</v>
      </c>
      <c r="HO81" t="e">
        <f>AND('6to. Perito'!#REF!,"AAAAAHx+1d4=")</f>
        <v>#REF!</v>
      </c>
      <c r="HP81" t="e">
        <f>AND('6to. Perito'!#REF!,"AAAAAHx+1d8=")</f>
        <v>#REF!</v>
      </c>
      <c r="HQ81" t="e">
        <f>AND('6to. Perito'!#REF!,"AAAAAHx+1eA=")</f>
        <v>#REF!</v>
      </c>
      <c r="HR81" t="e">
        <f>AND('6to. Perito'!#REF!,"AAAAAHx+1eE=")</f>
        <v>#REF!</v>
      </c>
      <c r="HS81" t="e">
        <f>AND('6to. Perito'!#REF!,"AAAAAHx+1eI=")</f>
        <v>#REF!</v>
      </c>
      <c r="HT81" t="e">
        <f>AND('6to. Perito'!#REF!,"AAAAAHx+1eM=")</f>
        <v>#REF!</v>
      </c>
      <c r="HU81" t="e">
        <f>AND('6to. Perito'!#REF!,"AAAAAHx+1eQ=")</f>
        <v>#REF!</v>
      </c>
      <c r="HV81" t="e">
        <f>IF('6to. Perito'!#REF!,"AAAAAHx+1eU=",0)</f>
        <v>#REF!</v>
      </c>
      <c r="HW81" t="e">
        <f>AND('6to. Perito'!#REF!,"AAAAAHx+1eY=")</f>
        <v>#REF!</v>
      </c>
      <c r="HX81" t="e">
        <f>AND('6to. Perito'!#REF!,"AAAAAHx+1ec=")</f>
        <v>#REF!</v>
      </c>
      <c r="HY81" t="e">
        <f>AND('6to. Perito'!#REF!,"AAAAAHx+1eg=")</f>
        <v>#REF!</v>
      </c>
      <c r="HZ81" t="e">
        <f>AND('6to. Perito'!#REF!,"AAAAAHx+1ek=")</f>
        <v>#REF!</v>
      </c>
      <c r="IA81" t="e">
        <f>AND('6to. Perito'!#REF!,"AAAAAHx+1eo=")</f>
        <v>#REF!</v>
      </c>
      <c r="IB81" t="e">
        <f>AND('6to. Perito'!#REF!,"AAAAAHx+1es=")</f>
        <v>#REF!</v>
      </c>
      <c r="IC81" t="e">
        <f>AND('6to. Perito'!#REF!,"AAAAAHx+1ew=")</f>
        <v>#REF!</v>
      </c>
      <c r="ID81" t="e">
        <f>AND('6to. Perito'!#REF!,"AAAAAHx+1e0=")</f>
        <v>#REF!</v>
      </c>
      <c r="IE81" t="e">
        <f>AND('6to. Perito'!#REF!,"AAAAAHx+1e4=")</f>
        <v>#REF!</v>
      </c>
      <c r="IF81" t="e">
        <f>AND('6to. Perito'!#REF!,"AAAAAHx+1e8=")</f>
        <v>#REF!</v>
      </c>
      <c r="IG81" t="e">
        <f>AND('6to. Perito'!#REF!,"AAAAAHx+1fA=")</f>
        <v>#REF!</v>
      </c>
      <c r="IH81" t="e">
        <f>AND('6to. Perito'!#REF!,"AAAAAHx+1fE=")</f>
        <v>#REF!</v>
      </c>
      <c r="II81" t="e">
        <f>AND('6to. Perito'!#REF!,"AAAAAHx+1fI=")</f>
        <v>#REF!</v>
      </c>
      <c r="IJ81" t="e">
        <f>AND('6to. Perito'!#REF!,"AAAAAHx+1fM=")</f>
        <v>#REF!</v>
      </c>
      <c r="IK81" t="e">
        <f>AND('6to. Perito'!#REF!,"AAAAAHx+1fQ=")</f>
        <v>#REF!</v>
      </c>
      <c r="IL81" t="e">
        <f>AND('6to. Perito'!#REF!,"AAAAAHx+1fU=")</f>
        <v>#REF!</v>
      </c>
      <c r="IM81" t="e">
        <f>AND('6to. Perito'!#REF!,"AAAAAHx+1fY=")</f>
        <v>#REF!</v>
      </c>
      <c r="IN81" t="e">
        <f>AND('6to. Perito'!#REF!,"AAAAAHx+1fc=")</f>
        <v>#REF!</v>
      </c>
      <c r="IO81" t="e">
        <f>AND('6to. Perito'!#REF!,"AAAAAHx+1fg=")</f>
        <v>#REF!</v>
      </c>
      <c r="IP81" t="e">
        <f>AND('6to. Perito'!#REF!,"AAAAAHx+1fk=")</f>
        <v>#REF!</v>
      </c>
      <c r="IQ81" t="e">
        <f>AND('6to. Perito'!#REF!,"AAAAAHx+1fo=")</f>
        <v>#REF!</v>
      </c>
      <c r="IR81" t="e">
        <f>AND('6to. Perito'!#REF!,"AAAAAHx+1fs=")</f>
        <v>#REF!</v>
      </c>
      <c r="IS81" t="e">
        <f>AND('6to. Perito'!#REF!,"AAAAAHx+1fw=")</f>
        <v>#REF!</v>
      </c>
      <c r="IT81" t="e">
        <f>AND('6to. Perito'!#REF!,"AAAAAHx+1f0=")</f>
        <v>#REF!</v>
      </c>
      <c r="IU81" t="e">
        <f>AND('6to. Perito'!#REF!,"AAAAAHx+1f4=")</f>
        <v>#REF!</v>
      </c>
      <c r="IV81" t="e">
        <f>IF('6to. Perito'!#REF!,"AAAAAHx+1f8=",0)</f>
        <v>#REF!</v>
      </c>
    </row>
    <row r="82" spans="1:256">
      <c r="A82" t="e">
        <f>AND('6to. Perito'!#REF!,"AAAAAH9v7wA=")</f>
        <v>#REF!</v>
      </c>
      <c r="B82" t="e">
        <f>AND('6to. Perito'!#REF!,"AAAAAH9v7wE=")</f>
        <v>#REF!</v>
      </c>
      <c r="C82" t="e">
        <f>AND('6to. Perito'!#REF!,"AAAAAH9v7wI=")</f>
        <v>#REF!</v>
      </c>
      <c r="D82" t="e">
        <f>AND('6to. Perito'!#REF!,"AAAAAH9v7wM=")</f>
        <v>#REF!</v>
      </c>
      <c r="E82" t="e">
        <f>AND('6to. Perito'!#REF!,"AAAAAH9v7wQ=")</f>
        <v>#REF!</v>
      </c>
      <c r="F82" t="e">
        <f>AND('6to. Perito'!#REF!,"AAAAAH9v7wU=")</f>
        <v>#REF!</v>
      </c>
      <c r="G82" t="e">
        <f>AND('6to. Perito'!#REF!,"AAAAAH9v7wY=")</f>
        <v>#REF!</v>
      </c>
      <c r="H82" t="e">
        <f>AND('6to. Perito'!#REF!,"AAAAAH9v7wc=")</f>
        <v>#REF!</v>
      </c>
      <c r="I82" t="e">
        <f>AND('6to. Perito'!#REF!,"AAAAAH9v7wg=")</f>
        <v>#REF!</v>
      </c>
      <c r="J82" t="e">
        <f>AND('6to. Perito'!#REF!,"AAAAAH9v7wk=")</f>
        <v>#REF!</v>
      </c>
      <c r="K82" t="e">
        <f>AND('6to. Perito'!#REF!,"AAAAAH9v7wo=")</f>
        <v>#REF!</v>
      </c>
      <c r="L82" t="e">
        <f>AND('6to. Perito'!#REF!,"AAAAAH9v7ws=")</f>
        <v>#REF!</v>
      </c>
      <c r="M82" t="e">
        <f>AND('6to. Perito'!#REF!,"AAAAAH9v7ww=")</f>
        <v>#REF!</v>
      </c>
      <c r="N82" t="e">
        <f>AND('6to. Perito'!#REF!,"AAAAAH9v7w0=")</f>
        <v>#REF!</v>
      </c>
      <c r="O82" t="e">
        <f>AND('6to. Perito'!#REF!,"AAAAAH9v7w4=")</f>
        <v>#REF!</v>
      </c>
      <c r="P82" t="e">
        <f>AND('6to. Perito'!#REF!,"AAAAAH9v7w8=")</f>
        <v>#REF!</v>
      </c>
      <c r="Q82" t="e">
        <f>AND('6to. Perito'!#REF!,"AAAAAH9v7xA=")</f>
        <v>#REF!</v>
      </c>
      <c r="R82" t="e">
        <f>AND('6to. Perito'!#REF!,"AAAAAH9v7xE=")</f>
        <v>#REF!</v>
      </c>
      <c r="S82" t="e">
        <f>AND('6to. Perito'!#REF!,"AAAAAH9v7xI=")</f>
        <v>#REF!</v>
      </c>
      <c r="T82" t="e">
        <f>AND('6to. Perito'!#REF!,"AAAAAH9v7xM=")</f>
        <v>#REF!</v>
      </c>
      <c r="U82" t="e">
        <f>AND('6to. Perito'!#REF!,"AAAAAH9v7xQ=")</f>
        <v>#REF!</v>
      </c>
      <c r="V82" t="e">
        <f>AND('6to. Perito'!#REF!,"AAAAAH9v7xU=")</f>
        <v>#REF!</v>
      </c>
      <c r="W82" t="e">
        <f>AND('6to. Perito'!#REF!,"AAAAAH9v7xY=")</f>
        <v>#REF!</v>
      </c>
      <c r="X82" t="e">
        <f>AND('6to. Perito'!#REF!,"AAAAAH9v7xc=")</f>
        <v>#REF!</v>
      </c>
      <c r="Y82" t="e">
        <f>AND('6to. Perito'!#REF!,"AAAAAH9v7xg=")</f>
        <v>#REF!</v>
      </c>
      <c r="Z82">
        <f>IF('6to. Perito'!A:A,"AAAAAH9v7xk=",0)</f>
        <v>0</v>
      </c>
      <c r="AA82">
        <f>IF('6to. Perito'!B:B,"AAAAAH9v7xo=",0)</f>
        <v>0</v>
      </c>
      <c r="AB82">
        <f>IF('6to. Perito'!C:C,"AAAAAH9v7xs=",0)</f>
        <v>0</v>
      </c>
      <c r="AC82">
        <f>IF('6to. Perito'!D:D,"AAAAAH9v7xw=",0)</f>
        <v>0</v>
      </c>
      <c r="AD82">
        <f>IF('6to. Perito'!E:E,"AAAAAH9v7x0=",0)</f>
        <v>0</v>
      </c>
      <c r="AE82">
        <f>IF('6to. Perito'!F:F,"AAAAAH9v7x4=",0)</f>
        <v>0</v>
      </c>
      <c r="AF82">
        <f>IF('6to. Perito'!G:G,"AAAAAH9v7x8=",0)</f>
        <v>0</v>
      </c>
      <c r="AG82">
        <f>IF('6to. Perito'!H:H,"AAAAAH9v7yA=",0)</f>
        <v>0</v>
      </c>
      <c r="AH82">
        <f>IF('6to. Perito'!I:I,"AAAAAH9v7yE=",0)</f>
        <v>0</v>
      </c>
      <c r="AI82">
        <f>IF('6to. Perito'!J:J,"AAAAAH9v7yI=",0)</f>
        <v>0</v>
      </c>
      <c r="AJ82">
        <f>IF('6to. Perito'!K:K,"AAAAAH9v7yM=",0)</f>
        <v>0</v>
      </c>
      <c r="AK82">
        <f>IF('6to. Perito'!L:L,"AAAAAH9v7yQ=",0)</f>
        <v>0</v>
      </c>
      <c r="AL82">
        <f>IF('6to. Perito'!M:M,"AAAAAH9v7yU=",0)</f>
        <v>0</v>
      </c>
      <c r="AM82">
        <f>IF('6to. Perito'!N:N,"AAAAAH9v7yY=",0)</f>
        <v>0</v>
      </c>
      <c r="AN82">
        <f>IF('6to. Perito'!O:O,"AAAAAH9v7yc=",0)</f>
        <v>0</v>
      </c>
      <c r="AO82">
        <f>IF('6to. Perito'!P:P,"AAAAAH9v7yg=",0)</f>
        <v>0</v>
      </c>
      <c r="AP82">
        <f>IF('6to. Perito'!Q:Q,"AAAAAH9v7yk=",0)</f>
        <v>0</v>
      </c>
      <c r="AQ82">
        <f>IF('6to. Perito'!R:R,"AAAAAH9v7yo=",0)</f>
        <v>0</v>
      </c>
      <c r="AR82">
        <f>IF('6to. Perito'!S:S,"AAAAAH9v7ys=",0)</f>
        <v>0</v>
      </c>
      <c r="AS82">
        <f>IF('6to. Perito'!T:T,"AAAAAH9v7yw=",0)</f>
        <v>0</v>
      </c>
      <c r="AT82" t="e">
        <f>IF('6to. Perito'!#REF!,"AAAAAH9v7y0=",0)</f>
        <v>#REF!</v>
      </c>
      <c r="AU82" t="e">
        <f>IF('6to. Perito'!#REF!,"AAAAAH9v7y4=",0)</f>
        <v>#REF!</v>
      </c>
      <c r="AV82" t="e">
        <f>IF('6to. Perito'!#REF!,"AAAAAH9v7y8=",0)</f>
        <v>#REF!</v>
      </c>
      <c r="AW82" t="e">
        <f>IF('6to. Perito'!#REF!,"AAAAAH9v7zA=",0)</f>
        <v>#REF!</v>
      </c>
      <c r="AX82" t="e">
        <f>IF('6to. Perito'!#REF!,"AAAAAH9v7zE=",0)</f>
        <v>#REF!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5">
    <tabColor rgb="FF00B0F0"/>
  </sheetPr>
  <dimension ref="A1:T46"/>
  <sheetViews>
    <sheetView showWhiteSpace="0" topLeftCell="A30" workbookViewId="0">
      <selection activeCell="A2" sqref="A2:A46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2.425781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246</v>
      </c>
      <c r="C2" s="1" t="s">
        <v>247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248</v>
      </c>
      <c r="C3" s="1" t="s">
        <v>249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250</v>
      </c>
      <c r="C4" s="1" t="s">
        <v>251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252</v>
      </c>
      <c r="C5" s="1" t="s">
        <v>253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254</v>
      </c>
      <c r="C6" s="1" t="s">
        <v>255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256</v>
      </c>
      <c r="C7" s="1" t="s">
        <v>257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258</v>
      </c>
      <c r="C8" s="1" t="s">
        <v>259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260</v>
      </c>
      <c r="C9" s="1" t="s">
        <v>261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262</v>
      </c>
      <c r="C10" s="1" t="s">
        <v>263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264</v>
      </c>
      <c r="C11" s="1" t="s">
        <v>265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266</v>
      </c>
      <c r="C12" s="1" t="s">
        <v>267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268</v>
      </c>
      <c r="C13" s="1" t="s">
        <v>269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270</v>
      </c>
      <c r="C14" s="1" t="s">
        <v>271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272</v>
      </c>
      <c r="C15" s="1" t="s">
        <v>273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274</v>
      </c>
      <c r="C16" s="1" t="s">
        <v>275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276</v>
      </c>
      <c r="C17" s="1" t="s">
        <v>40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277</v>
      </c>
      <c r="C18" s="1" t="s">
        <v>278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279</v>
      </c>
      <c r="C19" s="1" t="s">
        <v>280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281</v>
      </c>
      <c r="C20" s="1" t="s">
        <v>282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283</v>
      </c>
      <c r="C21" s="1" t="s">
        <v>284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285</v>
      </c>
      <c r="C22" s="1" t="s">
        <v>286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287</v>
      </c>
      <c r="C23" s="1" t="s">
        <v>288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289</v>
      </c>
      <c r="C24" s="1" t="s">
        <v>290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25</v>
      </c>
      <c r="C25" s="1" t="s">
        <v>291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292</v>
      </c>
      <c r="C26" s="1" t="s">
        <v>293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294</v>
      </c>
      <c r="C27" s="1" t="s">
        <v>295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296</v>
      </c>
      <c r="C28" s="1" t="s">
        <v>297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298</v>
      </c>
      <c r="C29" s="1" t="s">
        <v>297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299</v>
      </c>
      <c r="C30" s="1" t="s">
        <v>300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301</v>
      </c>
      <c r="C31" s="1" t="s">
        <v>302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303</v>
      </c>
      <c r="C32" s="1" t="s">
        <v>304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147</v>
      </c>
      <c r="C33" s="1" t="s">
        <v>237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305</v>
      </c>
      <c r="C34" s="1" t="s">
        <v>306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307</v>
      </c>
      <c r="C35" s="1" t="s">
        <v>308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309</v>
      </c>
      <c r="C36" s="1" t="s">
        <v>310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311</v>
      </c>
      <c r="C37" s="1" t="s">
        <v>312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313</v>
      </c>
      <c r="C38" s="1" t="s">
        <v>314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303</v>
      </c>
      <c r="C39" s="1" t="s">
        <v>315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316</v>
      </c>
      <c r="C40" s="1" t="s">
        <v>317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4" t="s">
        <v>843</v>
      </c>
      <c r="B41" s="1" t="s">
        <v>318</v>
      </c>
      <c r="C41" s="1" t="s">
        <v>319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843</v>
      </c>
      <c r="B42" s="1" t="s">
        <v>320</v>
      </c>
      <c r="C42" s="1" t="s">
        <v>321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4" t="s">
        <v>843</v>
      </c>
      <c r="B43" s="1" t="s">
        <v>322</v>
      </c>
      <c r="C43" s="1" t="s">
        <v>323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843</v>
      </c>
      <c r="B44" s="1" t="s">
        <v>324</v>
      </c>
      <c r="C44" s="1" t="s">
        <v>325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4" t="s">
        <v>843</v>
      </c>
      <c r="B45" s="1" t="s">
        <v>326</v>
      </c>
      <c r="C45" s="1" t="s">
        <v>327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4" t="s">
        <v>843</v>
      </c>
      <c r="B46" s="1" t="s">
        <v>328</v>
      </c>
      <c r="C46" s="1" t="s">
        <v>329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tabColor theme="8" tint="-0.249977111117893"/>
  </sheetPr>
  <dimension ref="A1:T47"/>
  <sheetViews>
    <sheetView showWhiteSpace="0" topLeftCell="A22" workbookViewId="0">
      <selection activeCell="A48" sqref="A48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65</v>
      </c>
      <c r="C2" s="1" t="s">
        <v>66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67</v>
      </c>
      <c r="C3" s="1" t="s">
        <v>68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69</v>
      </c>
      <c r="C4" s="1" t="s">
        <v>70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71</v>
      </c>
      <c r="C5" s="1" t="s">
        <v>72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73</v>
      </c>
      <c r="C6" s="1" t="s">
        <v>74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76</v>
      </c>
      <c r="C7" s="1" t="s">
        <v>75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77</v>
      </c>
      <c r="C8" s="1" t="s">
        <v>78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79</v>
      </c>
      <c r="C9" s="1" t="s">
        <v>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81</v>
      </c>
      <c r="C10" s="1" t="s">
        <v>82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83</v>
      </c>
      <c r="C11" s="1" t="s">
        <v>84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85</v>
      </c>
      <c r="C12" s="1" t="s">
        <v>86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87</v>
      </c>
      <c r="C13" s="1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89</v>
      </c>
      <c r="C14" s="1" t="s">
        <v>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91</v>
      </c>
      <c r="C15" s="1" t="s">
        <v>92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93</v>
      </c>
      <c r="C16" s="1" t="s">
        <v>94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95</v>
      </c>
      <c r="C17" s="1" t="s">
        <v>96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97</v>
      </c>
      <c r="C18" s="1" t="s">
        <v>98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99</v>
      </c>
      <c r="C19" s="1" t="s">
        <v>100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101</v>
      </c>
      <c r="C20" s="1" t="s">
        <v>102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103</v>
      </c>
      <c r="C21" s="1" t="s">
        <v>104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105</v>
      </c>
      <c r="C22" s="1" t="s">
        <v>106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107</v>
      </c>
      <c r="C23" s="1" t="s">
        <v>108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109</v>
      </c>
      <c r="C24" s="1" t="s">
        <v>110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111</v>
      </c>
      <c r="C25" s="1" t="s">
        <v>112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113</v>
      </c>
      <c r="C26" s="1" t="s">
        <v>114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115</v>
      </c>
      <c r="C27" s="1" t="s">
        <v>116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117</v>
      </c>
      <c r="C28" s="1" t="s">
        <v>118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119</v>
      </c>
      <c r="C29" s="1" t="s">
        <v>120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121</v>
      </c>
      <c r="C30" s="1" t="s">
        <v>122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123</v>
      </c>
      <c r="C31" s="1" t="s">
        <v>124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125</v>
      </c>
      <c r="C32" s="1" t="s">
        <v>126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127</v>
      </c>
      <c r="C33" s="1" t="s">
        <v>128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129</v>
      </c>
      <c r="C34" s="1" t="s">
        <v>130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131</v>
      </c>
      <c r="C35" s="1" t="s">
        <v>132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133</v>
      </c>
      <c r="C36" s="1" t="s">
        <v>134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135</v>
      </c>
      <c r="C37" s="1" t="s">
        <v>136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137</v>
      </c>
      <c r="C38" s="1" t="s">
        <v>138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139</v>
      </c>
      <c r="C39" s="1" t="s">
        <v>140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141</v>
      </c>
      <c r="C40" s="1" t="s">
        <v>142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4" t="s">
        <v>843</v>
      </c>
      <c r="B41" s="1" t="s">
        <v>143</v>
      </c>
      <c r="C41" s="1" t="s">
        <v>144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843</v>
      </c>
      <c r="B42" s="1" t="s">
        <v>145</v>
      </c>
      <c r="C42" s="1" t="s">
        <v>146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4" t="s">
        <v>843</v>
      </c>
      <c r="B43" s="1" t="s">
        <v>147</v>
      </c>
      <c r="C43" s="1" t="s">
        <v>148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843</v>
      </c>
      <c r="B44" s="1" t="s">
        <v>149</v>
      </c>
      <c r="C44" s="1" t="s">
        <v>150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4" t="s">
        <v>843</v>
      </c>
      <c r="B45" s="1" t="s">
        <v>151</v>
      </c>
      <c r="C45" s="1" t="s">
        <v>152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4" t="s">
        <v>843</v>
      </c>
      <c r="B46" s="1" t="s">
        <v>153</v>
      </c>
      <c r="C46" s="1" t="s">
        <v>154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 t="s">
        <v>843</v>
      </c>
      <c r="B47" s="1" t="s">
        <v>155</v>
      </c>
      <c r="C47" s="1" t="s">
        <v>156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8" tint="-0.249977111117893"/>
  </sheetPr>
  <dimension ref="A1:T47"/>
  <sheetViews>
    <sheetView showWhiteSpace="0" topLeftCell="A20" workbookViewId="0">
      <selection activeCell="A48" sqref="A48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.425781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157</v>
      </c>
      <c r="C2" s="1" t="s">
        <v>158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159</v>
      </c>
      <c r="C3" s="1" t="s">
        <v>160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161</v>
      </c>
      <c r="C4" s="1" t="s">
        <v>162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163</v>
      </c>
      <c r="C5" s="1" t="s">
        <v>164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165</v>
      </c>
      <c r="C6" s="1" t="s">
        <v>166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167</v>
      </c>
      <c r="C7" s="1" t="s">
        <v>168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169</v>
      </c>
      <c r="C8" s="1" t="s">
        <v>170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171</v>
      </c>
      <c r="C9" s="1" t="s">
        <v>172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173</v>
      </c>
      <c r="C10" s="1" t="s">
        <v>174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175</v>
      </c>
      <c r="C11" s="1" t="s">
        <v>176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177</v>
      </c>
      <c r="C12" s="1" t="s">
        <v>178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179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181</v>
      </c>
      <c r="C14" s="1" t="s">
        <v>182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183</v>
      </c>
      <c r="C15" s="1" t="s">
        <v>184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185</v>
      </c>
      <c r="C16" s="1" t="s">
        <v>186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187</v>
      </c>
      <c r="C17" s="1" t="s">
        <v>188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189</v>
      </c>
      <c r="C18" s="1" t="s">
        <v>190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191</v>
      </c>
      <c r="C19" s="1" t="s">
        <v>192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193</v>
      </c>
      <c r="C20" s="1" t="s">
        <v>194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195</v>
      </c>
      <c r="C21" s="1" t="s">
        <v>196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197</v>
      </c>
      <c r="C22" s="1" t="s">
        <v>198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199</v>
      </c>
      <c r="C23" s="1" t="s">
        <v>200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201</v>
      </c>
      <c r="C24" s="1" t="s">
        <v>202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203</v>
      </c>
      <c r="C25" s="1" t="s">
        <v>204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205</v>
      </c>
      <c r="C26" s="1" t="s">
        <v>206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207</v>
      </c>
      <c r="C27" s="1" t="s">
        <v>208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209</v>
      </c>
      <c r="C28" s="1" t="s">
        <v>210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211</v>
      </c>
      <c r="C29" s="1" t="s">
        <v>212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117</v>
      </c>
      <c r="C30" s="1" t="s">
        <v>213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214</v>
      </c>
      <c r="C31" s="1" t="s">
        <v>215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216</v>
      </c>
      <c r="C32" s="1" t="s">
        <v>217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218</v>
      </c>
      <c r="C33" s="1" t="s">
        <v>219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220</v>
      </c>
      <c r="C34" s="1" t="s">
        <v>221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222</v>
      </c>
      <c r="C35" s="1" t="s">
        <v>223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224</v>
      </c>
      <c r="C36" s="1" t="s">
        <v>225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226</v>
      </c>
      <c r="C37" s="1" t="s">
        <v>227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228</v>
      </c>
      <c r="C38" s="1" t="s">
        <v>229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230</v>
      </c>
      <c r="C39" s="1" t="s">
        <v>231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232</v>
      </c>
      <c r="C40" s="1" t="s">
        <v>233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4" t="s">
        <v>843</v>
      </c>
      <c r="B41" s="1" t="s">
        <v>234</v>
      </c>
      <c r="C41" s="1" t="s">
        <v>144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843</v>
      </c>
      <c r="B42" s="1" t="s">
        <v>235</v>
      </c>
      <c r="C42" s="1" t="s">
        <v>236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4" t="s">
        <v>843</v>
      </c>
      <c r="B43" s="1" t="s">
        <v>147</v>
      </c>
      <c r="C43" s="1" t="s">
        <v>237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843</v>
      </c>
      <c r="B44" s="1" t="s">
        <v>238</v>
      </c>
      <c r="C44" s="1" t="s">
        <v>239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4" t="s">
        <v>843</v>
      </c>
      <c r="B45" s="1" t="s">
        <v>240</v>
      </c>
      <c r="C45" s="1" t="s">
        <v>241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4" t="s">
        <v>843</v>
      </c>
      <c r="B46" s="1" t="s">
        <v>242</v>
      </c>
      <c r="C46" s="1" t="s">
        <v>243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2" t="s">
        <v>843</v>
      </c>
      <c r="B47" s="1" t="s">
        <v>244</v>
      </c>
      <c r="C47" s="1" t="s">
        <v>245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>
    <tabColor rgb="FF00B0F0"/>
  </sheetPr>
  <dimension ref="A1:T46"/>
  <sheetViews>
    <sheetView showWhiteSpace="0" topLeftCell="A28" workbookViewId="0">
      <selection activeCell="A2" sqref="A2:A46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.285156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330</v>
      </c>
      <c r="C2" s="1" t="s">
        <v>331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332</v>
      </c>
      <c r="C3" s="1" t="s">
        <v>333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334</v>
      </c>
      <c r="C4" s="1" t="s">
        <v>335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336</v>
      </c>
      <c r="C5" s="1" t="s">
        <v>337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338</v>
      </c>
      <c r="C6" s="1" t="s">
        <v>339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340</v>
      </c>
      <c r="C7" s="1" t="s">
        <v>341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342</v>
      </c>
      <c r="C8" s="1" t="s">
        <v>343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344</v>
      </c>
      <c r="C9" s="1" t="s">
        <v>345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346</v>
      </c>
      <c r="C10" s="1" t="s">
        <v>347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348</v>
      </c>
      <c r="C11" s="1" t="s">
        <v>349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350</v>
      </c>
      <c r="C12" s="1" t="s">
        <v>351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352</v>
      </c>
      <c r="C13" s="1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353</v>
      </c>
      <c r="C14" s="1" t="s">
        <v>354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355</v>
      </c>
      <c r="C15" s="1" t="s">
        <v>356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357</v>
      </c>
      <c r="C16" s="1" t="s">
        <v>358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359</v>
      </c>
      <c r="C17" s="1" t="s">
        <v>360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361</v>
      </c>
      <c r="C18" s="1" t="s">
        <v>362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363</v>
      </c>
      <c r="C19" s="1" t="s">
        <v>364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365</v>
      </c>
      <c r="C20" s="1" t="s">
        <v>366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367</v>
      </c>
      <c r="C21" s="1" t="s">
        <v>368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369</v>
      </c>
      <c r="C22" s="1" t="s">
        <v>370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371</v>
      </c>
      <c r="C23" s="1" t="s">
        <v>372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373</v>
      </c>
      <c r="C24" s="1" t="s">
        <v>374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375</v>
      </c>
      <c r="C25" s="1" t="s">
        <v>376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377</v>
      </c>
      <c r="C26" s="1" t="s">
        <v>378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379</v>
      </c>
      <c r="C27" s="1" t="s">
        <v>380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381</v>
      </c>
      <c r="C28" s="1" t="s">
        <v>382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383</v>
      </c>
      <c r="C29" s="1" t="s">
        <v>384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385</v>
      </c>
      <c r="C30" s="1" t="s">
        <v>386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387</v>
      </c>
      <c r="C31" s="1" t="s">
        <v>388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389</v>
      </c>
      <c r="C32" s="1" t="s">
        <v>390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391</v>
      </c>
      <c r="C33" s="1" t="s">
        <v>392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393</v>
      </c>
      <c r="C34" s="1" t="s">
        <v>394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395</v>
      </c>
      <c r="C35" s="1" t="s">
        <v>396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397</v>
      </c>
      <c r="C36" s="1" t="s">
        <v>398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399</v>
      </c>
      <c r="C37" s="1" t="s">
        <v>400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401</v>
      </c>
      <c r="C38" s="1" t="s">
        <v>402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403</v>
      </c>
      <c r="C39" s="1" t="s">
        <v>404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405</v>
      </c>
      <c r="C40" s="1" t="s">
        <v>406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4" t="s">
        <v>843</v>
      </c>
      <c r="B41" s="1" t="s">
        <v>289</v>
      </c>
      <c r="C41" s="1" t="s">
        <v>290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843</v>
      </c>
      <c r="B42" s="1" t="s">
        <v>407</v>
      </c>
      <c r="C42" s="1" t="s">
        <v>408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4" t="s">
        <v>843</v>
      </c>
      <c r="B43" s="1" t="s">
        <v>409</v>
      </c>
      <c r="C43" s="1" t="s">
        <v>410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4" t="s">
        <v>843</v>
      </c>
      <c r="B44" s="1" t="s">
        <v>411</v>
      </c>
      <c r="C44" s="1" t="s">
        <v>412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4" t="s">
        <v>843</v>
      </c>
      <c r="B45" s="1" t="s">
        <v>413</v>
      </c>
      <c r="C45" s="1" t="s">
        <v>414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4" t="s">
        <v>843</v>
      </c>
      <c r="B46" s="1" t="s">
        <v>415</v>
      </c>
      <c r="C46" s="1" t="s">
        <v>416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0">
    <tabColor rgb="FF00B0F0"/>
  </sheetPr>
  <dimension ref="A1:T40"/>
  <sheetViews>
    <sheetView showWhiteSpace="0" topLeftCell="A22" workbookViewId="0">
      <selection activeCell="A41" sqref="A41:XFD48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.1406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564</v>
      </c>
      <c r="C2" s="1" t="s">
        <v>565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566</v>
      </c>
      <c r="C3" s="1" t="s">
        <v>567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568</v>
      </c>
      <c r="C4" s="1" t="s">
        <v>569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570</v>
      </c>
      <c r="C5" s="1" t="s">
        <v>337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571</v>
      </c>
      <c r="C6" s="1" t="s">
        <v>572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573</v>
      </c>
      <c r="C7" s="1" t="s">
        <v>255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574</v>
      </c>
      <c r="C8" s="1" t="s">
        <v>575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576</v>
      </c>
      <c r="C9" s="1" t="s">
        <v>577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578</v>
      </c>
      <c r="C10" s="1" t="s">
        <v>579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580</v>
      </c>
      <c r="C11" s="1" t="s">
        <v>581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582</v>
      </c>
      <c r="C12" s="1" t="s">
        <v>583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584</v>
      </c>
      <c r="C13" s="1" t="s">
        <v>585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586</v>
      </c>
      <c r="C14" s="1" t="s">
        <v>587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588</v>
      </c>
      <c r="C15" s="1" t="s">
        <v>589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590</v>
      </c>
      <c r="C16" s="1" t="s">
        <v>591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592</v>
      </c>
      <c r="C17" s="1" t="s">
        <v>593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594</v>
      </c>
      <c r="C18" s="1" t="s">
        <v>593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595</v>
      </c>
      <c r="C19" s="1" t="s">
        <v>596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535</v>
      </c>
      <c r="C20" s="1" t="s">
        <v>597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598</v>
      </c>
      <c r="C21" s="1" t="s">
        <v>599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600</v>
      </c>
      <c r="C22" s="1" t="s">
        <v>601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602</v>
      </c>
      <c r="C23" s="1" t="s">
        <v>400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603</v>
      </c>
      <c r="C24" s="1" t="s">
        <v>604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605</v>
      </c>
      <c r="C25" s="1" t="s">
        <v>606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607</v>
      </c>
      <c r="C26" s="1" t="s">
        <v>608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609</v>
      </c>
      <c r="C27" s="1" t="s">
        <v>610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611</v>
      </c>
      <c r="C28" s="1" t="s">
        <v>612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613</v>
      </c>
      <c r="C29" s="1" t="s">
        <v>614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615</v>
      </c>
      <c r="C30" s="1" t="s">
        <v>616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617</v>
      </c>
      <c r="C31" s="1" t="s">
        <v>618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4" t="s">
        <v>843</v>
      </c>
      <c r="B32" s="1" t="s">
        <v>619</v>
      </c>
      <c r="C32" s="1" t="s">
        <v>620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4" t="s">
        <v>843</v>
      </c>
      <c r="B33" s="1" t="s">
        <v>621</v>
      </c>
      <c r="C33" s="1" t="s">
        <v>622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4" t="s">
        <v>843</v>
      </c>
      <c r="B34" s="1" t="s">
        <v>457</v>
      </c>
      <c r="C34" s="1" t="s">
        <v>623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4" t="s">
        <v>843</v>
      </c>
      <c r="B35" s="1" t="s">
        <v>624</v>
      </c>
      <c r="C35" s="1" t="s">
        <v>625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4" t="s">
        <v>843</v>
      </c>
      <c r="B36" s="1" t="s">
        <v>626</v>
      </c>
      <c r="C36" s="1" t="s">
        <v>156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4" t="s">
        <v>843</v>
      </c>
      <c r="B37" s="1" t="s">
        <v>627</v>
      </c>
      <c r="C37" s="1" t="s">
        <v>628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4" t="s">
        <v>843</v>
      </c>
      <c r="B38" s="1" t="s">
        <v>629</v>
      </c>
      <c r="C38" s="1" t="s">
        <v>630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4" t="s">
        <v>843</v>
      </c>
      <c r="B39" s="1" t="s">
        <v>631</v>
      </c>
      <c r="C39" s="1" t="s">
        <v>632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4" t="s">
        <v>843</v>
      </c>
      <c r="B40" s="1" t="s">
        <v>633</v>
      </c>
      <c r="C40" s="1" t="s">
        <v>634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9">
    <tabColor theme="9" tint="-0.249977111117893"/>
  </sheetPr>
  <dimension ref="A1:T21"/>
  <sheetViews>
    <sheetView showWhiteSpace="0" topLeftCell="J1" workbookViewId="0">
      <selection activeCell="B32" sqref="B32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417</v>
      </c>
      <c r="C2" s="1" t="s">
        <v>418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419</v>
      </c>
      <c r="C3" s="1" t="s">
        <v>420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421</v>
      </c>
      <c r="C4" s="1" t="s">
        <v>422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423</v>
      </c>
      <c r="C5" s="1" t="s">
        <v>424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425</v>
      </c>
      <c r="C6" s="1" t="s">
        <v>426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81</v>
      </c>
      <c r="C7" s="1" t="s">
        <v>427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428</v>
      </c>
      <c r="C8" s="1" t="s">
        <v>429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430</v>
      </c>
      <c r="C9" s="1" t="s">
        <v>431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432</v>
      </c>
      <c r="C10" s="1" t="s">
        <v>433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434</v>
      </c>
      <c r="C11" s="1" t="s">
        <v>435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436</v>
      </c>
      <c r="C12" s="1" t="s">
        <v>437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438</v>
      </c>
      <c r="C13" s="1" t="s">
        <v>439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440</v>
      </c>
      <c r="C14" s="1" t="s">
        <v>441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442</v>
      </c>
      <c r="C15" s="1" t="s">
        <v>443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444</v>
      </c>
      <c r="C16" s="1" t="s">
        <v>284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445</v>
      </c>
      <c r="C17" s="1" t="s">
        <v>446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447</v>
      </c>
      <c r="C18" s="1" t="s">
        <v>448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449</v>
      </c>
      <c r="C19" s="1" t="s">
        <v>450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451</v>
      </c>
      <c r="C20" s="1" t="s">
        <v>452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453</v>
      </c>
      <c r="C21" s="1" t="s">
        <v>454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8" tint="-0.249977111117893"/>
  </sheetPr>
  <dimension ref="A1:T31"/>
  <sheetViews>
    <sheetView showWhiteSpace="0" topLeftCell="A20" workbookViewId="0">
      <selection activeCell="A32" sqref="A32:XFD47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2.42578125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455</v>
      </c>
      <c r="C2" s="1" t="s">
        <v>456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457</v>
      </c>
      <c r="C3" s="1" t="s">
        <v>458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459</v>
      </c>
      <c r="C4" s="1" t="s">
        <v>460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461</v>
      </c>
      <c r="C5" s="1" t="s">
        <v>462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463</v>
      </c>
      <c r="C6" s="1" t="s">
        <v>464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465</v>
      </c>
      <c r="C7" s="1" t="s">
        <v>466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467</v>
      </c>
      <c r="C8" s="1" t="s">
        <v>468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469</v>
      </c>
      <c r="C9" s="1" t="s">
        <v>468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470</v>
      </c>
      <c r="C10" s="1" t="s">
        <v>471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472</v>
      </c>
      <c r="C11" s="1" t="s">
        <v>473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474</v>
      </c>
      <c r="C12" s="1" t="s">
        <v>475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476</v>
      </c>
      <c r="C13" s="1" t="s">
        <v>477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478</v>
      </c>
      <c r="C14" s="1" t="s">
        <v>479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480</v>
      </c>
      <c r="C15" s="1" t="s">
        <v>206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481</v>
      </c>
      <c r="C16" s="1" t="s">
        <v>482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4" t="s">
        <v>843</v>
      </c>
      <c r="B17" s="1" t="s">
        <v>483</v>
      </c>
      <c r="C17" s="1" t="s">
        <v>484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4" t="s">
        <v>843</v>
      </c>
      <c r="B18" s="1" t="s">
        <v>485</v>
      </c>
      <c r="C18" s="1" t="s">
        <v>486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 t="s">
        <v>843</v>
      </c>
      <c r="B19" s="1" t="s">
        <v>487</v>
      </c>
      <c r="C19" s="1" t="s">
        <v>488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 t="s">
        <v>843</v>
      </c>
      <c r="B20" s="1" t="s">
        <v>489</v>
      </c>
      <c r="C20" s="1" t="s">
        <v>490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4" t="s">
        <v>843</v>
      </c>
      <c r="B21" s="1" t="s">
        <v>491</v>
      </c>
      <c r="C21" s="1" t="s">
        <v>267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4" t="s">
        <v>843</v>
      </c>
      <c r="B22" s="1" t="s">
        <v>492</v>
      </c>
      <c r="C22" s="1" t="s">
        <v>493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4" t="s">
        <v>843</v>
      </c>
      <c r="B23" s="1" t="s">
        <v>494</v>
      </c>
      <c r="C23" s="1" t="s">
        <v>495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4" t="s">
        <v>843</v>
      </c>
      <c r="B24" s="1" t="s">
        <v>496</v>
      </c>
      <c r="C24" s="1" t="s">
        <v>497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4" t="s">
        <v>843</v>
      </c>
      <c r="B25" s="1" t="s">
        <v>498</v>
      </c>
      <c r="C25" s="1" t="s">
        <v>499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4" t="s">
        <v>843</v>
      </c>
      <c r="B26" s="1" t="s">
        <v>500</v>
      </c>
      <c r="C26" s="1" t="s">
        <v>501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4" t="s">
        <v>843</v>
      </c>
      <c r="B27" s="1" t="s">
        <v>502</v>
      </c>
      <c r="C27" s="1" t="s">
        <v>503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4" t="s">
        <v>843</v>
      </c>
      <c r="B28" s="1" t="s">
        <v>504</v>
      </c>
      <c r="C28" s="1" t="s">
        <v>505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843</v>
      </c>
      <c r="B29" s="1" t="s">
        <v>506</v>
      </c>
      <c r="C29" s="1" t="s">
        <v>507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4" t="s">
        <v>843</v>
      </c>
      <c r="B30" s="1" t="s">
        <v>508</v>
      </c>
      <c r="C30" s="1" t="s">
        <v>509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4" t="s">
        <v>843</v>
      </c>
      <c r="B31" s="1" t="s">
        <v>510</v>
      </c>
      <c r="C31" s="1" t="s">
        <v>511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12">
    <tabColor theme="9" tint="-0.249977111117893"/>
  </sheetPr>
  <dimension ref="A1:T16"/>
  <sheetViews>
    <sheetView showWhiteSpace="0" topLeftCell="A14" zoomScale="85" zoomScaleNormal="85" workbookViewId="0">
      <selection activeCell="A17" sqref="A17:XFD47"/>
    </sheetView>
  </sheetViews>
  <sheetFormatPr baseColWidth="10" defaultColWidth="8.140625" defaultRowHeight="15"/>
  <cols>
    <col min="1" max="1" width="13.7109375" customWidth="1"/>
    <col min="2" max="2" width="32.5703125" customWidth="1"/>
    <col min="3" max="3" width="25.85546875" customWidth="1"/>
    <col min="4" max="4" width="17.7109375" customWidth="1"/>
    <col min="5" max="5" width="7.28515625" bestFit="1" customWidth="1"/>
    <col min="6" max="6" width="5.42578125" bestFit="1" customWidth="1"/>
    <col min="7" max="7" width="3.85546875" bestFit="1" customWidth="1"/>
    <col min="8" max="8" width="8.5703125" customWidth="1"/>
    <col min="9" max="9" width="4.140625" bestFit="1" customWidth="1"/>
    <col min="10" max="10" width="17.85546875" bestFit="1" customWidth="1"/>
    <col min="11" max="11" width="16.28515625" bestFit="1" customWidth="1"/>
    <col min="12" max="12" width="9.140625" bestFit="1" customWidth="1"/>
    <col min="13" max="13" width="15.140625" bestFit="1" customWidth="1"/>
    <col min="14" max="14" width="19.5703125" bestFit="1" customWidth="1"/>
    <col min="15" max="15" width="11.7109375" bestFit="1" customWidth="1"/>
    <col min="16" max="16" width="17.28515625" bestFit="1" customWidth="1"/>
    <col min="17" max="17" width="11.5703125" bestFit="1" customWidth="1"/>
    <col min="18" max="18" width="14.28515625" bestFit="1" customWidth="1"/>
    <col min="19" max="19" width="12.7109375" bestFit="1" customWidth="1"/>
    <col min="20" max="20" width="23" customWidth="1"/>
  </cols>
  <sheetData>
    <row r="1" spans="1:20" ht="15.75">
      <c r="A1" s="5" t="s">
        <v>823</v>
      </c>
      <c r="B1" s="5" t="s">
        <v>824</v>
      </c>
      <c r="C1" s="5" t="s">
        <v>825</v>
      </c>
      <c r="D1" s="5" t="s">
        <v>826</v>
      </c>
      <c r="E1" s="5" t="s">
        <v>827</v>
      </c>
      <c r="F1" s="5" t="s">
        <v>828</v>
      </c>
      <c r="G1" s="5" t="s">
        <v>829</v>
      </c>
      <c r="H1" s="5" t="s">
        <v>830</v>
      </c>
      <c r="I1" s="5" t="s">
        <v>831</v>
      </c>
      <c r="J1" s="5" t="s">
        <v>832</v>
      </c>
      <c r="K1" s="5" t="s">
        <v>833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5" t="s">
        <v>839</v>
      </c>
      <c r="R1" s="5" t="s">
        <v>840</v>
      </c>
      <c r="S1" s="5" t="s">
        <v>841</v>
      </c>
      <c r="T1" s="5" t="s">
        <v>842</v>
      </c>
    </row>
    <row r="2" spans="1:20">
      <c r="A2" s="4" t="s">
        <v>843</v>
      </c>
      <c r="B2" s="1" t="s">
        <v>707</v>
      </c>
      <c r="C2" s="1" t="s">
        <v>708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4" t="s">
        <v>843</v>
      </c>
      <c r="B3" s="1" t="s">
        <v>709</v>
      </c>
      <c r="C3" s="1" t="s">
        <v>710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 t="s">
        <v>843</v>
      </c>
      <c r="B4" s="1" t="s">
        <v>711</v>
      </c>
      <c r="C4" s="1" t="s">
        <v>579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 t="s">
        <v>843</v>
      </c>
      <c r="B5" s="1" t="s">
        <v>712</v>
      </c>
      <c r="C5" s="1" t="s">
        <v>713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 t="s">
        <v>843</v>
      </c>
      <c r="B6" s="1" t="s">
        <v>714</v>
      </c>
      <c r="C6" s="1" t="s">
        <v>715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 t="s">
        <v>843</v>
      </c>
      <c r="B7" s="1" t="s">
        <v>716</v>
      </c>
      <c r="C7" s="1" t="s">
        <v>717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843</v>
      </c>
      <c r="B8" s="1" t="s">
        <v>541</v>
      </c>
      <c r="C8" s="1" t="s">
        <v>490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4" t="s">
        <v>843</v>
      </c>
      <c r="B9" s="1" t="s">
        <v>718</v>
      </c>
      <c r="C9" s="1" t="s">
        <v>719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4" t="s">
        <v>843</v>
      </c>
      <c r="B10" s="1" t="s">
        <v>720</v>
      </c>
      <c r="C10" s="1" t="s">
        <v>721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4" t="s">
        <v>843</v>
      </c>
      <c r="B11" s="1" t="s">
        <v>722</v>
      </c>
      <c r="C11" s="1" t="s">
        <v>723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4" t="s">
        <v>843</v>
      </c>
      <c r="B12" s="1" t="s">
        <v>724</v>
      </c>
      <c r="C12" s="1" t="s">
        <v>725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4" t="s">
        <v>843</v>
      </c>
      <c r="B13" s="1" t="s">
        <v>627</v>
      </c>
      <c r="C13" s="1" t="s">
        <v>726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4" t="s">
        <v>843</v>
      </c>
      <c r="B14" s="1" t="s">
        <v>727</v>
      </c>
      <c r="C14" s="1" t="s">
        <v>728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 t="s">
        <v>843</v>
      </c>
      <c r="B15" s="1" t="s">
        <v>729</v>
      </c>
      <c r="C15" s="1" t="s">
        <v>730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843</v>
      </c>
      <c r="B16" s="1" t="s">
        <v>731</v>
      </c>
      <c r="C16" s="1" t="s">
        <v>732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pageMargins left="0.23622047244094491" right="0.23622047244094491" top="0.74803149606299213" bottom="0.74803149606299213" header="0.31496062992125984" footer="0.31496062992125984"/>
  <pageSetup paperSize="5" scale="85" orientation="portrait" horizontalDpi="4294967293" verticalDpi="0" r:id="rId1"/>
  <customProperties>
    <customPr name="DVSECTION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4to. Secre.</vt:lpstr>
      <vt:lpstr>4to. Perito_A</vt:lpstr>
      <vt:lpstr>4to. Bach_A</vt:lpstr>
      <vt:lpstr>4to. Bach_B</vt:lpstr>
      <vt:lpstr>4to. Perito_B</vt:lpstr>
      <vt:lpstr>5to. Perito_A</vt:lpstr>
      <vt:lpstr>5to. Secre.</vt:lpstr>
      <vt:lpstr>5to. Bach_A</vt:lpstr>
      <vt:lpstr>6to. Secre.</vt:lpstr>
      <vt:lpstr>5to. Bach_B</vt:lpstr>
      <vt:lpstr>5to. Perito_B</vt:lpstr>
      <vt:lpstr>6to. Perito</vt:lpstr>
    </vt:vector>
  </TitlesOfParts>
  <Company>isa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</dc:creator>
  <cp:lastModifiedBy>Isaias</cp:lastModifiedBy>
  <cp:lastPrinted>2012-07-24T02:12:58Z</cp:lastPrinted>
  <dcterms:created xsi:type="dcterms:W3CDTF">2012-01-19T00:19:52Z</dcterms:created>
  <dcterms:modified xsi:type="dcterms:W3CDTF">2012-07-25T12:20:12Z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DocumentId">
    <vt:lpwstr>1BZKXPgRlXk8yc17jd4KULraWpHbUMniR52pOki-diOA</vt:lpwstr>
  </property>
  <property fmtid="{D5CDD505-2E9C-101B-9397-08002B2CF9AE}" pid="3" name="Google.Documents.RevisionId">
    <vt:lpwstr>14112453389277684503</vt:lpwstr>
  </property>
  <property fmtid="{D5CDD505-2E9C-101B-9397-08002B2CF9AE}" pid="4" name="Google.Documents.PreviousRevisionId">
    <vt:lpwstr>03657993699280759603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  <property fmtid="{D5CDD505-2E9C-101B-9397-08002B2CF9AE}" pid="7" name="Google.Documents.Tracking">
    <vt:lpwstr>false</vt:lpwstr>
  </property>
</Properties>
</file>