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z\02. Nominas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P35" i="1"/>
  <c r="O35" i="1"/>
  <c r="N35" i="1"/>
  <c r="M35" i="1"/>
  <c r="J35" i="1"/>
  <c r="E35" i="1"/>
  <c r="P34" i="1" l="1"/>
  <c r="O34" i="1"/>
  <c r="N34" i="1"/>
  <c r="M34" i="1"/>
  <c r="J34" i="1"/>
  <c r="E34" i="1"/>
  <c r="P9" i="1" l="1"/>
  <c r="O9" i="1"/>
  <c r="N9" i="1"/>
  <c r="M9" i="1"/>
  <c r="J9" i="1"/>
  <c r="O26" i="1"/>
  <c r="P17" i="1" l="1"/>
  <c r="O17" i="1"/>
  <c r="M17" i="1"/>
  <c r="N17" i="1" s="1"/>
  <c r="P16" i="1"/>
  <c r="O16" i="1"/>
  <c r="M16" i="1"/>
  <c r="N16" i="1"/>
  <c r="L43" i="1" l="1"/>
  <c r="O11" i="1" l="1"/>
  <c r="P11" i="1" s="1"/>
  <c r="N11" i="1"/>
  <c r="M11" i="1"/>
  <c r="O15" i="1" l="1"/>
  <c r="M15" i="1"/>
  <c r="N15" i="1" s="1"/>
  <c r="P15" i="1" l="1"/>
  <c r="O13" i="1"/>
  <c r="O25" i="1" l="1"/>
  <c r="N25" i="1"/>
  <c r="M25" i="1"/>
  <c r="I25" i="1"/>
  <c r="O20" i="1"/>
  <c r="M20" i="1"/>
  <c r="N20" i="1" s="1"/>
  <c r="O8" i="1"/>
  <c r="M8" i="1"/>
  <c r="N8" i="1" s="1"/>
  <c r="O14" i="1"/>
  <c r="M14" i="1"/>
  <c r="N14" i="1" s="1"/>
  <c r="O7" i="1"/>
  <c r="P7" i="1" s="1"/>
  <c r="N7" i="1"/>
  <c r="M7" i="1"/>
  <c r="P14" i="1" l="1"/>
  <c r="P20" i="1"/>
  <c r="P8" i="1"/>
  <c r="N21" i="1"/>
  <c r="M21" i="1"/>
  <c r="M26" i="1" l="1"/>
  <c r="N26" i="1" s="1"/>
  <c r="J17" i="1"/>
  <c r="E9" i="1" l="1"/>
  <c r="O28" i="1"/>
  <c r="P26" i="1"/>
  <c r="O21" i="1"/>
  <c r="P21" i="1" s="1"/>
  <c r="P25" i="1"/>
  <c r="M28" i="1"/>
  <c r="N28" i="1" s="1"/>
  <c r="P28" i="1" s="1"/>
  <c r="J32" i="1"/>
  <c r="J30" i="1"/>
  <c r="J29" i="1"/>
  <c r="J28" i="1"/>
  <c r="J27" i="1"/>
  <c r="J26" i="1"/>
  <c r="J25" i="1"/>
  <c r="J24" i="1"/>
  <c r="J23" i="1"/>
  <c r="J22" i="1"/>
  <c r="J21" i="1"/>
  <c r="J20" i="1"/>
  <c r="J18" i="1"/>
  <c r="J16" i="1"/>
  <c r="J15" i="1"/>
  <c r="J14" i="1"/>
  <c r="J13" i="1"/>
  <c r="J12" i="1"/>
  <c r="J11" i="1"/>
  <c r="J10" i="1"/>
  <c r="J8" i="1"/>
  <c r="J7" i="1"/>
  <c r="H1" i="1"/>
  <c r="G35" i="1" s="1"/>
  <c r="E32" i="1"/>
  <c r="D30" i="1"/>
  <c r="E30" i="1" s="1"/>
  <c r="D29" i="1"/>
  <c r="E29" i="1" s="1"/>
  <c r="E28" i="1"/>
  <c r="E27" i="1"/>
  <c r="E26" i="1"/>
  <c r="D25" i="1"/>
  <c r="E25" i="1" s="1"/>
  <c r="D24" i="1"/>
  <c r="E24" i="1" s="1"/>
  <c r="D23" i="1"/>
  <c r="E23" i="1" s="1"/>
  <c r="E22" i="1"/>
  <c r="E21" i="1"/>
  <c r="D20" i="1"/>
  <c r="E20" i="1" s="1"/>
  <c r="E18" i="1"/>
  <c r="D17" i="1"/>
  <c r="E17" i="1" s="1"/>
  <c r="E16" i="1"/>
  <c r="E15" i="1"/>
  <c r="E14" i="1"/>
  <c r="E13" i="1"/>
  <c r="M13" i="1" s="1"/>
  <c r="N13" i="1" s="1"/>
  <c r="P13" i="1" s="1"/>
  <c r="E12" i="1"/>
  <c r="E11" i="1"/>
  <c r="D10" i="1"/>
  <c r="E10" i="1" s="1"/>
  <c r="E8" i="1"/>
  <c r="E7" i="1"/>
  <c r="G10" i="1" l="1"/>
  <c r="G34" i="1"/>
  <c r="G20" i="1"/>
  <c r="G13" i="1"/>
  <c r="G29" i="1"/>
  <c r="G17" i="1"/>
  <c r="G7" i="1"/>
  <c r="G28" i="1"/>
  <c r="G23" i="1"/>
  <c r="G16" i="1"/>
  <c r="G11" i="1"/>
  <c r="G24" i="1"/>
  <c r="G12" i="1"/>
  <c r="G32" i="1"/>
  <c r="G27" i="1"/>
  <c r="G21" i="1"/>
  <c r="G15" i="1"/>
  <c r="G9" i="1"/>
  <c r="G25" i="1"/>
  <c r="G8" i="1"/>
  <c r="G30" i="1"/>
  <c r="G26" i="1"/>
  <c r="G22" i="1"/>
  <c r="G18" i="1"/>
  <c r="G14" i="1"/>
</calcChain>
</file>

<file path=xl/sharedStrings.xml><?xml version="1.0" encoding="utf-8"?>
<sst xmlns="http://schemas.openxmlformats.org/spreadsheetml/2006/main" count="106" uniqueCount="90">
  <si>
    <t>NOMBRE</t>
  </si>
  <si>
    <t>PROYECTO</t>
  </si>
  <si>
    <t>(APELLIDO PATERNO, MATERNO, NOMBRES)</t>
  </si>
  <si>
    <t>FECHA DE INGRESO</t>
  </si>
  <si>
    <t>SUELDO</t>
  </si>
  <si>
    <t>SD</t>
  </si>
  <si>
    <t>SD FISCAL</t>
  </si>
  <si>
    <t>AN</t>
  </si>
  <si>
    <t>Alonso Gonzalez Karla Lucia</t>
  </si>
  <si>
    <t>Romo Delgado Fanny Montserrat</t>
  </si>
  <si>
    <t>Garcia Lopez Ilse Paulina</t>
  </si>
  <si>
    <t>ESTRATEGIA</t>
  </si>
  <si>
    <t>Gutierrez Narvaez Cecilia</t>
  </si>
  <si>
    <t xml:space="preserve">Gutierrez Diaz Elizabeth </t>
  </si>
  <si>
    <t xml:space="preserve">Hernandez Muñoz Ma Consuelo </t>
  </si>
  <si>
    <t>CONTABILIDAD</t>
  </si>
  <si>
    <t>Lara Martinez Yessica Cristina</t>
  </si>
  <si>
    <t>Rosales Tavares Susana Elizabeth</t>
  </si>
  <si>
    <t>TESORERIA</t>
  </si>
  <si>
    <t>Ruiz Soto Luis Fernando</t>
  </si>
  <si>
    <t>RH</t>
  </si>
  <si>
    <t>Suarez Moreno Ana Cristina</t>
  </si>
  <si>
    <t>Gutierrez Loera Maria Guadalupe</t>
  </si>
  <si>
    <t>Altamira Jaime Carolina</t>
  </si>
  <si>
    <t>Calzada Chavez Luz Adriana</t>
  </si>
  <si>
    <t>Gomez Elias Jose Jaime</t>
  </si>
  <si>
    <t>DIRECCION</t>
  </si>
  <si>
    <t>Gomez Gutierrez Carla Maria</t>
  </si>
  <si>
    <t xml:space="preserve">González Piña Luis Alberto </t>
  </si>
  <si>
    <t xml:space="preserve">Gutiérrez Plascencia Mariana  </t>
  </si>
  <si>
    <t>Galaviz Aguiñaga Alejandro</t>
  </si>
  <si>
    <t>LEGAL</t>
  </si>
  <si>
    <t>Pesqueria Cabrera Armando</t>
  </si>
  <si>
    <t>Garcia Flores Rigoberto</t>
  </si>
  <si>
    <t>Dominguez Urrieta Eduardo</t>
  </si>
  <si>
    <t>Garcia Valdivia Jorge Humberto</t>
  </si>
  <si>
    <t>CONTABILIDAD/ AN</t>
  </si>
  <si>
    <t>Hernandez Buentello Karla Fabiola</t>
  </si>
  <si>
    <t>ANTIGÜEDAD</t>
  </si>
  <si>
    <t>Delgado Peralta Jose Alberto</t>
  </si>
  <si>
    <t>D. DISFRUTADOS</t>
  </si>
  <si>
    <t>D. GENERADOS</t>
  </si>
  <si>
    <t>Días de vacaciones</t>
  </si>
  <si>
    <t>6 días</t>
  </si>
  <si>
    <t>8 días</t>
  </si>
  <si>
    <t>10 días</t>
  </si>
  <si>
    <t>12 días</t>
  </si>
  <si>
    <t>14 días</t>
  </si>
  <si>
    <t>16 días</t>
  </si>
  <si>
    <t>18 días</t>
  </si>
  <si>
    <t>20 días</t>
  </si>
  <si>
    <t>22 días</t>
  </si>
  <si>
    <t>15-19</t>
  </si>
  <si>
    <t>20-24</t>
  </si>
  <si>
    <t>25-29</t>
  </si>
  <si>
    <t>5-9.</t>
  </si>
  <si>
    <t>10-14.</t>
  </si>
  <si>
    <t>Antigüedad (Años)</t>
  </si>
  <si>
    <t>D. PENDIENTES</t>
  </si>
  <si>
    <t>Ultimo Periodo Disfrutado</t>
  </si>
  <si>
    <t>VAC</t>
  </si>
  <si>
    <t>FISCAL</t>
  </si>
  <si>
    <t>COMPLEMENTO</t>
  </si>
  <si>
    <t>TOTAL PRIMA VAC</t>
  </si>
  <si>
    <t>13de mayo 5 dias</t>
  </si>
  <si>
    <t>10/01/2019 2 dias, 02 de mayo 2 dias</t>
  </si>
  <si>
    <t>02/01/2019 3 dias + 01/07/2019 1</t>
  </si>
  <si>
    <t>F. Ingreso</t>
  </si>
  <si>
    <t>antigüedad</t>
  </si>
  <si>
    <t>dias disfrutados</t>
  </si>
  <si>
    <t>dias generados</t>
  </si>
  <si>
    <t>dias pendientes</t>
  </si>
  <si>
    <t>saldo</t>
  </si>
  <si>
    <t>vacacaciones</t>
  </si>
  <si>
    <t>prima vac</t>
  </si>
  <si>
    <t>26/12/2018 3 dias. 5 dias pagados sem 35</t>
  </si>
  <si>
    <t>29 de abril 4 dias, 1 dia 02/09/2019</t>
  </si>
  <si>
    <t>19 de agosto 19 6 dias</t>
  </si>
  <si>
    <t>13de mayo 5 dias + 11 de julio 1 dia</t>
  </si>
  <si>
    <t>26 de julio y 29 de julio + 10 de sept</t>
  </si>
  <si>
    <t>17 de julio 2019 3 dias+ 1 d 22/08/2019 + 1d 17/09/2019</t>
  </si>
  <si>
    <t>26,27 de sep 2019</t>
  </si>
  <si>
    <t>21 al 25 oct 2019</t>
  </si>
  <si>
    <t>21 y 22 de oct 2019</t>
  </si>
  <si>
    <t>26/12/2018 6 dias+ 01/11/2019 4 dias</t>
  </si>
  <si>
    <t>Gonzalez Barba  Gustavo</t>
  </si>
  <si>
    <t>9 de dic 2019</t>
  </si>
  <si>
    <t>13de mayo 5 dias, 13/12/2019</t>
  </si>
  <si>
    <t>Valdez Gutierrez Jose Manuel</t>
  </si>
  <si>
    <t>25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</si>
</sst>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3" fillId="4" borderId="1" xfId="0" applyFont="1" applyFill="1" applyBorder="1" applyAlignment="1" applyProtection="1">
      <alignment horizontal="left" vertical="center"/>
    </xf>
    <xf numFmtId="0" fontId="0" fillId="3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/>
    </xf>
    <xf numFmtId="0" fontId="0" fillId="0" borderId="0" xfId="0" applyFont="1"/>
    <xf numFmtId="0" fontId="0" fillId="3" borderId="1" xfId="0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>
      <alignment horizontal="left" vertical="center"/>
    </xf>
    <xf numFmtId="43" fontId="0" fillId="0" borderId="1" xfId="1" applyFont="1" applyFill="1" applyBorder="1" applyAlignment="1" applyProtection="1">
      <alignment horizontal="left"/>
    </xf>
    <xf numFmtId="43" fontId="0" fillId="0" borderId="1" xfId="0" applyNumberFormat="1" applyFont="1" applyFill="1" applyBorder="1" applyProtection="1"/>
    <xf numFmtId="0" fontId="0" fillId="3" borderId="1" xfId="0" applyFont="1" applyFill="1" applyBorder="1" applyProtection="1"/>
    <xf numFmtId="0" fontId="0" fillId="0" borderId="1" xfId="0" applyFont="1" applyFill="1" applyBorder="1" applyProtection="1"/>
    <xf numFmtId="14" fontId="0" fillId="0" borderId="1" xfId="0" applyNumberFormat="1" applyFont="1" applyFill="1" applyBorder="1" applyAlignment="1" applyProtection="1">
      <alignment horizontal="left"/>
    </xf>
    <xf numFmtId="43" fontId="0" fillId="0" borderId="1" xfId="1" applyFont="1" applyFill="1" applyBorder="1" applyProtection="1">
      <protection locked="0"/>
    </xf>
    <xf numFmtId="43" fontId="0" fillId="0" borderId="1" xfId="0" applyNumberFormat="1" applyFont="1" applyFill="1" applyBorder="1" applyAlignment="1" applyProtection="1">
      <alignment horizontal="left"/>
    </xf>
    <xf numFmtId="0" fontId="0" fillId="4" borderId="1" xfId="0" applyFont="1" applyFill="1" applyBorder="1" applyAlignment="1" applyProtection="1">
      <alignment horizontal="left" vertical="center"/>
    </xf>
    <xf numFmtId="43" fontId="0" fillId="0" borderId="1" xfId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43" fontId="0" fillId="0" borderId="1" xfId="1" applyFont="1" applyFill="1" applyBorder="1" applyProtection="1"/>
    <xf numFmtId="43" fontId="0" fillId="0" borderId="1" xfId="1" applyFont="1" applyFill="1" applyBorder="1"/>
    <xf numFmtId="0" fontId="3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16" fontId="5" fillId="5" borderId="1" xfId="0" applyNumberFormat="1" applyFont="1" applyFill="1" applyBorder="1" applyAlignment="1">
      <alignment horizontal="center" vertical="top" wrapText="1"/>
    </xf>
    <xf numFmtId="17" fontId="5" fillId="5" borderId="1" xfId="0" applyNumberFormat="1" applyFont="1" applyFill="1" applyBorder="1" applyAlignment="1">
      <alignment horizontal="center" vertical="top" wrapText="1"/>
    </xf>
    <xf numFmtId="43" fontId="6" fillId="6" borderId="0" xfId="1" applyFont="1" applyFill="1" applyAlignment="1">
      <alignment horizontal="center"/>
    </xf>
    <xf numFmtId="43" fontId="0" fillId="0" borderId="0" xfId="0" applyNumberFormat="1" applyFont="1"/>
    <xf numFmtId="9" fontId="0" fillId="0" borderId="0" xfId="0" applyNumberFormat="1" applyFont="1"/>
    <xf numFmtId="44" fontId="0" fillId="0" borderId="0" xfId="2" applyFont="1"/>
    <xf numFmtId="43" fontId="6" fillId="7" borderId="1" xfId="1" applyFont="1" applyFill="1" applyBorder="1" applyAlignment="1">
      <alignment horizontal="center"/>
    </xf>
    <xf numFmtId="43" fontId="0" fillId="8" borderId="1" xfId="1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14" fontId="1" fillId="9" borderId="1" xfId="0" applyNumberFormat="1" applyFont="1" applyFill="1" applyBorder="1" applyAlignment="1" applyProtection="1"/>
    <xf numFmtId="44" fontId="1" fillId="9" borderId="1" xfId="2" applyFont="1" applyFill="1" applyBorder="1" applyProtection="1">
      <protection locked="0"/>
    </xf>
    <xf numFmtId="43" fontId="1" fillId="0" borderId="1" xfId="1" applyFont="1" applyFill="1" applyBorder="1" applyProtection="1">
      <protection locked="0"/>
    </xf>
    <xf numFmtId="0" fontId="1" fillId="0" borderId="1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="85" zoomScaleNormal="85" workbookViewId="0">
      <pane xSplit="2" ySplit="6" topLeftCell="G7" activePane="bottomRight" state="frozen"/>
      <selection pane="topRight" activeCell="C1" sqref="C1"/>
      <selection pane="bottomLeft" activeCell="A7" sqref="A7"/>
      <selection pane="bottomRight" activeCell="P10" sqref="P10"/>
    </sheetView>
  </sheetViews>
  <sheetFormatPr baseColWidth="10" defaultRowHeight="15" x14ac:dyDescent="0.25"/>
  <cols>
    <col min="1" max="1" width="11.42578125" style="6"/>
    <col min="2" max="2" width="40.5703125" style="6" bestFit="1" customWidth="1"/>
    <col min="3" max="3" width="18" style="6" bestFit="1" customWidth="1"/>
    <col min="4" max="4" width="13.42578125" style="6" bestFit="1" customWidth="1"/>
    <col min="5" max="5" width="12.85546875" style="6" bestFit="1" customWidth="1"/>
    <col min="6" max="6" width="11.42578125" style="6"/>
    <col min="7" max="7" width="13.7109375" style="6" customWidth="1"/>
    <col min="8" max="8" width="15.7109375" style="6" bestFit="1" customWidth="1"/>
    <col min="9" max="9" width="17.28515625" style="6" bestFit="1" customWidth="1"/>
    <col min="10" max="10" width="15.5703125" style="6" bestFit="1" customWidth="1"/>
    <col min="11" max="11" width="39.5703125" style="6" bestFit="1" customWidth="1"/>
    <col min="12" max="12" width="3.42578125" style="6" customWidth="1"/>
    <col min="13" max="13" width="15.7109375" style="6" bestFit="1" customWidth="1"/>
    <col min="14" max="14" width="18.7109375" style="6" bestFit="1" customWidth="1"/>
    <col min="15" max="15" width="11.42578125" style="6"/>
    <col min="16" max="16" width="16.7109375" style="6" bestFit="1" customWidth="1"/>
    <col min="17" max="16384" width="11.42578125" style="6"/>
  </cols>
  <sheetData>
    <row r="1" spans="1:16" x14ac:dyDescent="0.25">
      <c r="H1" s="23">
        <f ca="1">TODAY()</f>
        <v>43817</v>
      </c>
    </row>
    <row r="4" spans="1:16" x14ac:dyDescent="0.25">
      <c r="A4" s="1"/>
      <c r="B4" s="1" t="s">
        <v>0</v>
      </c>
      <c r="C4" s="1"/>
      <c r="D4" s="2"/>
      <c r="E4" s="2"/>
      <c r="F4" s="2"/>
      <c r="N4" s="31">
        <v>0.25</v>
      </c>
    </row>
    <row r="5" spans="1:16" x14ac:dyDescent="0.25">
      <c r="A5" s="1" t="s">
        <v>1</v>
      </c>
      <c r="B5" s="1" t="s">
        <v>2</v>
      </c>
      <c r="C5" s="1" t="s">
        <v>3</v>
      </c>
      <c r="D5" s="2" t="s">
        <v>4</v>
      </c>
      <c r="E5" s="2" t="s">
        <v>5</v>
      </c>
      <c r="F5" s="2" t="s">
        <v>6</v>
      </c>
      <c r="G5" s="2" t="s">
        <v>38</v>
      </c>
      <c r="H5" s="2" t="s">
        <v>41</v>
      </c>
      <c r="I5" s="2" t="s">
        <v>40</v>
      </c>
      <c r="J5" s="2" t="s">
        <v>58</v>
      </c>
      <c r="K5" s="2" t="s">
        <v>59</v>
      </c>
      <c r="M5" s="29" t="s">
        <v>60</v>
      </c>
      <c r="N5" s="29" t="s">
        <v>63</v>
      </c>
      <c r="O5" s="33" t="s">
        <v>61</v>
      </c>
      <c r="P5" s="33" t="s">
        <v>62</v>
      </c>
    </row>
    <row r="7" spans="1:16" x14ac:dyDescent="0.25">
      <c r="A7" s="7" t="s">
        <v>7</v>
      </c>
      <c r="B7" s="5" t="s">
        <v>8</v>
      </c>
      <c r="C7" s="8">
        <v>42996</v>
      </c>
      <c r="D7" s="9">
        <v>1500</v>
      </c>
      <c r="E7" s="10">
        <f>D7/7</f>
        <v>214.28571428571428</v>
      </c>
      <c r="F7" s="12">
        <v>102.68</v>
      </c>
      <c r="G7" s="24">
        <f ca="1">($H$1-C7)/365</f>
        <v>2.2493150684931509</v>
      </c>
      <c r="H7" s="6">
        <v>6</v>
      </c>
      <c r="I7" s="6">
        <v>5</v>
      </c>
      <c r="J7" s="6">
        <f>H7-I7</f>
        <v>1</v>
      </c>
      <c r="K7" s="6" t="s">
        <v>64</v>
      </c>
      <c r="M7" s="30">
        <f>E7*I7</f>
        <v>1071.4285714285713</v>
      </c>
      <c r="N7" s="30">
        <f>M7*$N$4</f>
        <v>267.85714285714283</v>
      </c>
      <c r="O7" s="32">
        <f>(I7*F7)*25%</f>
        <v>128.35000000000002</v>
      </c>
      <c r="P7" s="30">
        <f>N7-O7</f>
        <v>139.50714285714281</v>
      </c>
    </row>
    <row r="8" spans="1:16" x14ac:dyDescent="0.25">
      <c r="A8" s="11" t="s">
        <v>7</v>
      </c>
      <c r="B8" s="12" t="s">
        <v>9</v>
      </c>
      <c r="C8" s="13">
        <v>42982</v>
      </c>
      <c r="D8" s="14">
        <v>2000</v>
      </c>
      <c r="E8" s="14">
        <f t="shared" ref="E8" si="0">D8/7</f>
        <v>285.71428571428572</v>
      </c>
      <c r="F8" s="12">
        <v>102.68</v>
      </c>
      <c r="G8" s="24">
        <f t="shared" ref="G8:G35" ca="1" si="1">($H$1-C8)/365</f>
        <v>2.2876712328767121</v>
      </c>
      <c r="H8" s="6">
        <v>6</v>
      </c>
      <c r="I8" s="6">
        <v>6</v>
      </c>
      <c r="J8" s="6">
        <f t="shared" ref="J8:J35" si="2">H8-I8</f>
        <v>0</v>
      </c>
      <c r="K8" s="6" t="s">
        <v>78</v>
      </c>
      <c r="M8" s="30">
        <f>E8*I8</f>
        <v>1714.2857142857142</v>
      </c>
      <c r="N8" s="30">
        <f>M8*$N$4</f>
        <v>428.57142857142856</v>
      </c>
      <c r="O8" s="32">
        <f>(I8*F8)*25%</f>
        <v>154.02000000000001</v>
      </c>
      <c r="P8" s="30">
        <f>N8-O8</f>
        <v>274.55142857142857</v>
      </c>
    </row>
    <row r="9" spans="1:16" x14ac:dyDescent="0.25">
      <c r="A9" s="4" t="s">
        <v>7</v>
      </c>
      <c r="B9" s="5" t="s">
        <v>10</v>
      </c>
      <c r="C9" s="13">
        <v>43115</v>
      </c>
      <c r="D9" s="14">
        <v>2000</v>
      </c>
      <c r="E9" s="15">
        <f>D9/7</f>
        <v>285.71428571428572</v>
      </c>
      <c r="F9" s="12">
        <v>102.68</v>
      </c>
      <c r="G9" s="24">
        <f t="shared" ca="1" si="1"/>
        <v>1.9232876712328768</v>
      </c>
      <c r="H9" s="6">
        <v>6</v>
      </c>
      <c r="I9" s="6">
        <v>2</v>
      </c>
      <c r="J9" s="6">
        <f>H9-I9</f>
        <v>4</v>
      </c>
      <c r="K9" s="6" t="s">
        <v>83</v>
      </c>
      <c r="M9" s="30">
        <f>E9*I9</f>
        <v>571.42857142857144</v>
      </c>
      <c r="N9" s="30">
        <f>M9*$N$4</f>
        <v>142.85714285714286</v>
      </c>
      <c r="O9" s="32">
        <f>(I9*F9)*25%</f>
        <v>51.34</v>
      </c>
      <c r="P9" s="30">
        <f>N9-O9</f>
        <v>91.517142857142858</v>
      </c>
    </row>
    <row r="10" spans="1:16" x14ac:dyDescent="0.25">
      <c r="A10" s="16" t="s">
        <v>11</v>
      </c>
      <c r="B10" s="5" t="s">
        <v>12</v>
      </c>
      <c r="C10" s="13">
        <v>43335</v>
      </c>
      <c r="D10" s="14">
        <f>950</f>
        <v>950</v>
      </c>
      <c r="E10" s="15">
        <f t="shared" ref="E10:E18" si="3">D10/7</f>
        <v>135.71428571428572</v>
      </c>
      <c r="F10" s="5"/>
      <c r="G10" s="24">
        <f t="shared" ca="1" si="1"/>
        <v>1.3205479452054794</v>
      </c>
      <c r="H10" s="6">
        <v>6</v>
      </c>
      <c r="I10" s="6">
        <v>6</v>
      </c>
      <c r="J10" s="6">
        <f t="shared" si="2"/>
        <v>0</v>
      </c>
      <c r="K10" s="6" t="s">
        <v>89</v>
      </c>
      <c r="M10" s="30">
        <f>E10*I10</f>
        <v>814.28571428571433</v>
      </c>
      <c r="N10" s="30">
        <f>M10*$N$4</f>
        <v>203.57142857142858</v>
      </c>
      <c r="O10" s="32">
        <f>(I10*F10)*25%</f>
        <v>0</v>
      </c>
      <c r="P10" s="30">
        <f>N10-O10</f>
        <v>203.57142857142858</v>
      </c>
    </row>
    <row r="11" spans="1:16" x14ac:dyDescent="0.25">
      <c r="A11" s="4" t="s">
        <v>7</v>
      </c>
      <c r="B11" s="5" t="s">
        <v>13</v>
      </c>
      <c r="C11" s="13">
        <v>43101</v>
      </c>
      <c r="D11" s="17">
        <v>950</v>
      </c>
      <c r="E11" s="15">
        <f>D11/7</f>
        <v>135.71428571428572</v>
      </c>
      <c r="F11" s="12">
        <v>102.68</v>
      </c>
      <c r="G11" s="24">
        <f t="shared" ca="1" si="1"/>
        <v>1.9616438356164383</v>
      </c>
      <c r="H11" s="6">
        <v>6</v>
      </c>
      <c r="I11" s="6">
        <v>6</v>
      </c>
      <c r="J11" s="6">
        <f t="shared" si="2"/>
        <v>0</v>
      </c>
      <c r="K11" s="6" t="s">
        <v>77</v>
      </c>
      <c r="M11" s="30">
        <f>E11*I11</f>
        <v>814.28571428571433</v>
      </c>
      <c r="N11" s="30">
        <f>M11*$N$4</f>
        <v>203.57142857142858</v>
      </c>
      <c r="O11" s="32">
        <f>(I11*F11)*25%</f>
        <v>154.02000000000001</v>
      </c>
      <c r="P11" s="30">
        <f>N11-O11</f>
        <v>49.551428571428573</v>
      </c>
    </row>
    <row r="12" spans="1:16" x14ac:dyDescent="0.25">
      <c r="A12" s="7" t="s">
        <v>7</v>
      </c>
      <c r="B12" s="5" t="s">
        <v>14</v>
      </c>
      <c r="C12" s="13">
        <v>43304</v>
      </c>
      <c r="D12" s="14">
        <v>900</v>
      </c>
      <c r="E12" s="15">
        <f t="shared" si="3"/>
        <v>128.57142857142858</v>
      </c>
      <c r="F12" s="5"/>
      <c r="G12" s="24">
        <f t="shared" ca="1" si="1"/>
        <v>1.4054794520547946</v>
      </c>
      <c r="J12" s="6">
        <f t="shared" si="2"/>
        <v>0</v>
      </c>
    </row>
    <row r="13" spans="1:16" x14ac:dyDescent="0.25">
      <c r="A13" s="4" t="s">
        <v>15</v>
      </c>
      <c r="B13" s="5" t="s">
        <v>16</v>
      </c>
      <c r="C13" s="13">
        <v>43192</v>
      </c>
      <c r="D13" s="38">
        <v>1496.71</v>
      </c>
      <c r="E13" s="15">
        <f t="shared" si="3"/>
        <v>213.81571428571428</v>
      </c>
      <c r="F13" s="12">
        <v>102.68</v>
      </c>
      <c r="G13" s="24">
        <f t="shared" ca="1" si="1"/>
        <v>1.7123287671232876</v>
      </c>
      <c r="H13" s="6">
        <v>6</v>
      </c>
      <c r="I13" s="6">
        <v>6</v>
      </c>
      <c r="J13" s="6">
        <f t="shared" si="2"/>
        <v>0</v>
      </c>
      <c r="K13" s="23" t="s">
        <v>80</v>
      </c>
      <c r="M13" s="30">
        <f>E13*I13</f>
        <v>1282.8942857142856</v>
      </c>
      <c r="N13" s="30">
        <f>M13*$N$4</f>
        <v>320.7235714285714</v>
      </c>
      <c r="O13" s="32">
        <f>(I13*F13)*25%</f>
        <v>154.02000000000001</v>
      </c>
      <c r="P13" s="30">
        <f>N13-O13</f>
        <v>166.70357142857139</v>
      </c>
    </row>
    <row r="14" spans="1:16" x14ac:dyDescent="0.25">
      <c r="A14" s="4" t="s">
        <v>7</v>
      </c>
      <c r="B14" s="5" t="s">
        <v>17</v>
      </c>
      <c r="C14" s="13">
        <v>43115</v>
      </c>
      <c r="D14" s="14">
        <v>1250</v>
      </c>
      <c r="E14" s="15">
        <f t="shared" si="3"/>
        <v>178.57142857142858</v>
      </c>
      <c r="F14" s="12">
        <v>102.68</v>
      </c>
      <c r="G14" s="24">
        <f t="shared" ca="1" si="1"/>
        <v>1.9232876712328768</v>
      </c>
      <c r="H14" s="6">
        <v>6</v>
      </c>
      <c r="I14" s="6">
        <v>6</v>
      </c>
      <c r="J14" s="6">
        <f t="shared" si="2"/>
        <v>0</v>
      </c>
      <c r="K14" s="6" t="s">
        <v>87</v>
      </c>
      <c r="M14" s="30">
        <f>E14*I14</f>
        <v>1071.4285714285716</v>
      </c>
      <c r="N14" s="30">
        <f>M14*$N$4</f>
        <v>267.85714285714289</v>
      </c>
      <c r="O14" s="32">
        <f>(I14*F14)*25%</f>
        <v>154.02000000000001</v>
      </c>
      <c r="P14" s="30">
        <f>N14-O14</f>
        <v>113.83714285714288</v>
      </c>
    </row>
    <row r="15" spans="1:16" x14ac:dyDescent="0.25">
      <c r="A15" s="16" t="s">
        <v>18</v>
      </c>
      <c r="B15" s="5" t="s">
        <v>19</v>
      </c>
      <c r="C15" s="13">
        <v>43290</v>
      </c>
      <c r="D15" s="14">
        <v>1250</v>
      </c>
      <c r="E15" s="15">
        <f t="shared" si="3"/>
        <v>178.57142857142858</v>
      </c>
      <c r="F15" s="12">
        <v>102.68</v>
      </c>
      <c r="G15" s="24">
        <f t="shared" ca="1" si="1"/>
        <v>1.4438356164383561</v>
      </c>
      <c r="H15" s="6">
        <v>6</v>
      </c>
      <c r="I15" s="6">
        <v>3</v>
      </c>
      <c r="J15" s="6">
        <f t="shared" si="2"/>
        <v>3</v>
      </c>
      <c r="K15" s="6" t="s">
        <v>79</v>
      </c>
      <c r="M15" s="30">
        <f>E15*I15</f>
        <v>535.71428571428578</v>
      </c>
      <c r="N15" s="30">
        <f>M15*$N$4</f>
        <v>133.92857142857144</v>
      </c>
      <c r="O15" s="32">
        <f>(I15*F15)*25%</f>
        <v>77.010000000000005</v>
      </c>
      <c r="P15" s="30">
        <f>N15-O15</f>
        <v>56.91857142857144</v>
      </c>
    </row>
    <row r="16" spans="1:16" x14ac:dyDescent="0.25">
      <c r="A16" s="3" t="s">
        <v>20</v>
      </c>
      <c r="B16" s="5" t="s">
        <v>21</v>
      </c>
      <c r="C16" s="13">
        <v>43356</v>
      </c>
      <c r="D16" s="14">
        <v>1000</v>
      </c>
      <c r="E16" s="15">
        <f t="shared" si="3"/>
        <v>142.85714285714286</v>
      </c>
      <c r="F16" s="12">
        <v>106.68</v>
      </c>
      <c r="G16" s="24">
        <f t="shared" ca="1" si="1"/>
        <v>1.263013698630137</v>
      </c>
      <c r="H16" s="6">
        <v>6</v>
      </c>
      <c r="I16" s="6">
        <v>2</v>
      </c>
      <c r="J16" s="6">
        <f t="shared" si="2"/>
        <v>4</v>
      </c>
      <c r="K16" s="6" t="s">
        <v>81</v>
      </c>
      <c r="M16" s="30">
        <f>E16*I16</f>
        <v>285.71428571428572</v>
      </c>
      <c r="N16" s="30">
        <f>M16*$N$4</f>
        <v>71.428571428571431</v>
      </c>
      <c r="O16" s="32">
        <f>(I16*F16)*25%</f>
        <v>53.34</v>
      </c>
      <c r="P16" s="30">
        <f>N16-O16</f>
        <v>18.088571428571427</v>
      </c>
    </row>
    <row r="17" spans="1:16" x14ac:dyDescent="0.25">
      <c r="A17" s="4" t="s">
        <v>7</v>
      </c>
      <c r="B17" s="5" t="s">
        <v>22</v>
      </c>
      <c r="C17" s="13">
        <v>43395</v>
      </c>
      <c r="D17" s="14">
        <f>950-0</f>
        <v>950</v>
      </c>
      <c r="E17" s="15">
        <f t="shared" si="3"/>
        <v>135.71428571428572</v>
      </c>
      <c r="F17" s="12"/>
      <c r="G17" s="24">
        <f t="shared" ca="1" si="1"/>
        <v>1.1561643835616437</v>
      </c>
      <c r="H17" s="6">
        <v>6</v>
      </c>
      <c r="I17" s="6">
        <v>5</v>
      </c>
      <c r="J17" s="6">
        <f>H17-I17</f>
        <v>1</v>
      </c>
      <c r="K17" s="6" t="s">
        <v>82</v>
      </c>
      <c r="M17" s="30">
        <f>E17*I17</f>
        <v>678.57142857142867</v>
      </c>
      <c r="N17" s="30">
        <f>M17*$N$4</f>
        <v>169.64285714285717</v>
      </c>
      <c r="O17" s="32">
        <f>(I17*F17)*25%</f>
        <v>0</v>
      </c>
      <c r="P17" s="30">
        <f>N17-O17</f>
        <v>169.64285714285717</v>
      </c>
    </row>
    <row r="18" spans="1:16" x14ac:dyDescent="0.25">
      <c r="A18" s="4" t="s">
        <v>7</v>
      </c>
      <c r="B18" s="5" t="s">
        <v>23</v>
      </c>
      <c r="C18" s="13">
        <v>43402</v>
      </c>
      <c r="D18" s="14">
        <v>1250</v>
      </c>
      <c r="E18" s="15">
        <f t="shared" si="3"/>
        <v>178.57142857142858</v>
      </c>
      <c r="F18" s="12"/>
      <c r="G18" s="24">
        <f t="shared" ca="1" si="1"/>
        <v>1.1369863013698631</v>
      </c>
      <c r="J18" s="6">
        <f t="shared" si="2"/>
        <v>0</v>
      </c>
    </row>
    <row r="19" spans="1:16" x14ac:dyDescent="0.25">
      <c r="C19" s="18"/>
      <c r="G19" s="24"/>
    </row>
    <row r="20" spans="1:16" x14ac:dyDescent="0.25">
      <c r="A20" s="11" t="s">
        <v>7</v>
      </c>
      <c r="B20" s="12" t="s">
        <v>24</v>
      </c>
      <c r="C20" s="13">
        <v>43137</v>
      </c>
      <c r="D20" s="14">
        <f>(15000*12/365*7)</f>
        <v>3452.0547945205481</v>
      </c>
      <c r="E20" s="14">
        <f t="shared" ref="E20:E30" si="4">D20/7</f>
        <v>493.15068493150687</v>
      </c>
      <c r="F20" s="12">
        <v>102.68</v>
      </c>
      <c r="G20" s="24">
        <f t="shared" ca="1" si="1"/>
        <v>1.8630136986301369</v>
      </c>
      <c r="H20" s="6">
        <v>6</v>
      </c>
      <c r="I20" s="6">
        <v>5</v>
      </c>
      <c r="J20" s="6">
        <f t="shared" si="2"/>
        <v>1</v>
      </c>
      <c r="K20" s="6" t="s">
        <v>76</v>
      </c>
      <c r="M20" s="30">
        <f>E20*I20</f>
        <v>2465.7534246575342</v>
      </c>
      <c r="N20" s="30">
        <f>M20*$N$4</f>
        <v>616.43835616438355</v>
      </c>
      <c r="O20" s="32">
        <f>(I20*F20)*25%</f>
        <v>128.35000000000002</v>
      </c>
      <c r="P20" s="30">
        <f>N20-O20</f>
        <v>488.08835616438353</v>
      </c>
    </row>
    <row r="21" spans="1:16" x14ac:dyDescent="0.25">
      <c r="A21" s="4" t="s">
        <v>18</v>
      </c>
      <c r="B21" s="5" t="s">
        <v>39</v>
      </c>
      <c r="C21" s="13">
        <v>42887</v>
      </c>
      <c r="D21" s="14">
        <v>5339.18</v>
      </c>
      <c r="E21" s="15">
        <f t="shared" si="4"/>
        <v>762.74</v>
      </c>
      <c r="F21" s="5"/>
      <c r="G21" s="24">
        <f t="shared" ca="1" si="1"/>
        <v>2.547945205479452</v>
      </c>
      <c r="H21" s="6">
        <v>8</v>
      </c>
      <c r="I21" s="6">
        <v>4</v>
      </c>
      <c r="J21" s="6">
        <f t="shared" si="2"/>
        <v>4</v>
      </c>
      <c r="K21" s="6" t="s">
        <v>84</v>
      </c>
      <c r="M21" s="30">
        <f>E21*I21</f>
        <v>3050.96</v>
      </c>
      <c r="N21" s="30">
        <f>M21*$N$4</f>
        <v>762.74</v>
      </c>
      <c r="O21" s="32">
        <f>(I21*F21)*25%</f>
        <v>0</v>
      </c>
      <c r="P21" s="30">
        <f>N21-O21</f>
        <v>762.74</v>
      </c>
    </row>
    <row r="22" spans="1:16" x14ac:dyDescent="0.25">
      <c r="A22" s="4" t="s">
        <v>11</v>
      </c>
      <c r="B22" s="5" t="s">
        <v>25</v>
      </c>
      <c r="C22" s="13">
        <v>43101</v>
      </c>
      <c r="D22" s="14">
        <v>3500</v>
      </c>
      <c r="E22" s="15">
        <f t="shared" si="4"/>
        <v>500</v>
      </c>
      <c r="F22" s="5"/>
      <c r="G22" s="24">
        <f t="shared" ca="1" si="1"/>
        <v>1.9616438356164383</v>
      </c>
      <c r="H22" s="6">
        <v>6</v>
      </c>
      <c r="J22" s="6">
        <f t="shared" si="2"/>
        <v>6</v>
      </c>
    </row>
    <row r="23" spans="1:16" x14ac:dyDescent="0.25">
      <c r="A23" s="16" t="s">
        <v>26</v>
      </c>
      <c r="B23" s="5" t="s">
        <v>27</v>
      </c>
      <c r="C23" s="13">
        <v>43101</v>
      </c>
      <c r="D23" s="14">
        <f>17380.95*12/365*7</f>
        <v>3999.9994520547948</v>
      </c>
      <c r="E23" s="15">
        <f t="shared" si="4"/>
        <v>571.42849315068497</v>
      </c>
      <c r="F23" s="5"/>
      <c r="G23" s="24">
        <f t="shared" ca="1" si="1"/>
        <v>1.9616438356164383</v>
      </c>
      <c r="H23" s="6">
        <v>6</v>
      </c>
      <c r="J23" s="6">
        <f t="shared" si="2"/>
        <v>6</v>
      </c>
    </row>
    <row r="24" spans="1:16" x14ac:dyDescent="0.25">
      <c r="A24" s="16" t="s">
        <v>20</v>
      </c>
      <c r="B24" s="5" t="s">
        <v>28</v>
      </c>
      <c r="C24" s="13">
        <v>43285</v>
      </c>
      <c r="D24" s="14">
        <f>15000*12/365*7</f>
        <v>3452.0547945205481</v>
      </c>
      <c r="E24" s="15">
        <f t="shared" si="4"/>
        <v>493.15068493150687</v>
      </c>
      <c r="F24" s="12">
        <v>102.68</v>
      </c>
      <c r="G24" s="24">
        <f t="shared" ca="1" si="1"/>
        <v>1.4575342465753425</v>
      </c>
      <c r="J24" s="6">
        <f t="shared" si="2"/>
        <v>0</v>
      </c>
    </row>
    <row r="25" spans="1:16" x14ac:dyDescent="0.25">
      <c r="A25" s="4" t="s">
        <v>20</v>
      </c>
      <c r="B25" s="19" t="s">
        <v>29</v>
      </c>
      <c r="C25" s="13">
        <v>43137</v>
      </c>
      <c r="D25" s="14">
        <f>12000*12/365*7</f>
        <v>2761.6438356164381</v>
      </c>
      <c r="E25" s="15">
        <f t="shared" si="4"/>
        <v>394.52054794520546</v>
      </c>
      <c r="F25" s="12">
        <v>102.68</v>
      </c>
      <c r="G25" s="24">
        <f t="shared" ca="1" si="1"/>
        <v>1.8630136986301369</v>
      </c>
      <c r="H25" s="6">
        <v>6</v>
      </c>
      <c r="I25" s="6">
        <f>2+2</f>
        <v>4</v>
      </c>
      <c r="J25" s="6">
        <f t="shared" si="2"/>
        <v>2</v>
      </c>
      <c r="K25" s="6" t="s">
        <v>65</v>
      </c>
      <c r="M25" s="30">
        <f>E25*2</f>
        <v>789.04109589041093</v>
      </c>
      <c r="N25" s="30">
        <f>M25*$N$4</f>
        <v>197.26027397260273</v>
      </c>
      <c r="O25" s="32">
        <f>(2*F25)*25%</f>
        <v>51.34</v>
      </c>
      <c r="P25" s="30">
        <f>N25-O25</f>
        <v>145.92027397260273</v>
      </c>
    </row>
    <row r="26" spans="1:16" x14ac:dyDescent="0.25">
      <c r="A26" s="7" t="s">
        <v>15</v>
      </c>
      <c r="B26" s="5" t="s">
        <v>30</v>
      </c>
      <c r="C26" s="8">
        <v>42499</v>
      </c>
      <c r="D26" s="20">
        <v>3850</v>
      </c>
      <c r="E26" s="21">
        <f t="shared" si="4"/>
        <v>550</v>
      </c>
      <c r="F26" s="12">
        <v>102.68</v>
      </c>
      <c r="G26" s="24">
        <f t="shared" ca="1" si="1"/>
        <v>3.6109589041095891</v>
      </c>
      <c r="H26" s="6">
        <v>8</v>
      </c>
      <c r="I26" s="6">
        <v>4</v>
      </c>
      <c r="J26" s="6">
        <f t="shared" si="2"/>
        <v>4</v>
      </c>
      <c r="K26" s="6" t="s">
        <v>66</v>
      </c>
      <c r="M26" s="30">
        <f>E26*I26</f>
        <v>2200</v>
      </c>
      <c r="N26" s="30">
        <f>M26*$N$4</f>
        <v>550</v>
      </c>
      <c r="O26" s="32">
        <f>(I26*F26)*25%</f>
        <v>102.68</v>
      </c>
      <c r="P26" s="30">
        <f>N26-O26</f>
        <v>447.32</v>
      </c>
    </row>
    <row r="27" spans="1:16" x14ac:dyDescent="0.25">
      <c r="A27" s="7" t="s">
        <v>31</v>
      </c>
      <c r="B27" s="5" t="s">
        <v>32</v>
      </c>
      <c r="C27" s="8">
        <v>43101</v>
      </c>
      <c r="D27" s="14">
        <v>3500</v>
      </c>
      <c r="E27" s="10">
        <f t="shared" si="4"/>
        <v>500</v>
      </c>
      <c r="F27" s="12">
        <v>102.68</v>
      </c>
      <c r="G27" s="24">
        <f t="shared" ca="1" si="1"/>
        <v>1.9616438356164383</v>
      </c>
      <c r="H27" s="6">
        <v>6</v>
      </c>
      <c r="J27" s="6">
        <f t="shared" si="2"/>
        <v>6</v>
      </c>
      <c r="O27" s="32"/>
    </row>
    <row r="28" spans="1:16" x14ac:dyDescent="0.25">
      <c r="A28" s="7" t="s">
        <v>7</v>
      </c>
      <c r="B28" s="5" t="s">
        <v>33</v>
      </c>
      <c r="C28" s="8">
        <v>42681</v>
      </c>
      <c r="D28" s="34">
        <v>6907.9</v>
      </c>
      <c r="E28" s="10">
        <f t="shared" si="4"/>
        <v>986.84285714285704</v>
      </c>
      <c r="F28" s="12">
        <v>102.68</v>
      </c>
      <c r="G28" s="24">
        <f t="shared" ca="1" si="1"/>
        <v>3.1123287671232878</v>
      </c>
      <c r="H28" s="6">
        <v>8</v>
      </c>
      <c r="I28" s="6">
        <v>8</v>
      </c>
      <c r="J28" s="6">
        <f t="shared" si="2"/>
        <v>0</v>
      </c>
      <c r="K28" s="6" t="s">
        <v>75</v>
      </c>
      <c r="M28" s="30">
        <f>E28*I28</f>
        <v>7894.7428571428563</v>
      </c>
      <c r="N28" s="30">
        <f>M28*$N$4</f>
        <v>1973.6857142857141</v>
      </c>
      <c r="O28" s="32">
        <f>(I28*F28)*25%</f>
        <v>205.36</v>
      </c>
      <c r="P28" s="30">
        <f>N28-O28</f>
        <v>1768.3257142857142</v>
      </c>
    </row>
    <row r="29" spans="1:16" x14ac:dyDescent="0.25">
      <c r="A29" s="16" t="s">
        <v>11</v>
      </c>
      <c r="B29" s="5" t="s">
        <v>34</v>
      </c>
      <c r="C29" s="13">
        <v>43101</v>
      </c>
      <c r="D29" s="14">
        <f>21726.2*12/365*7</f>
        <v>5000.0021917808226</v>
      </c>
      <c r="E29" s="15">
        <f t="shared" si="4"/>
        <v>714.28602739726034</v>
      </c>
      <c r="F29" s="12"/>
      <c r="G29" s="24">
        <f t="shared" ca="1" si="1"/>
        <v>1.9616438356164383</v>
      </c>
      <c r="H29" s="6">
        <v>6</v>
      </c>
      <c r="J29" s="6">
        <f t="shared" si="2"/>
        <v>6</v>
      </c>
    </row>
    <row r="30" spans="1:16" x14ac:dyDescent="0.25">
      <c r="A30" s="4" t="s">
        <v>20</v>
      </c>
      <c r="B30" s="5" t="s">
        <v>35</v>
      </c>
      <c r="C30" s="13">
        <v>43101</v>
      </c>
      <c r="D30" s="14">
        <f>15208.35*12/365*7</f>
        <v>3500.0038356164387</v>
      </c>
      <c r="E30" s="15">
        <f t="shared" si="4"/>
        <v>500.00054794520554</v>
      </c>
      <c r="F30" s="12"/>
      <c r="G30" s="24">
        <f t="shared" ca="1" si="1"/>
        <v>1.9616438356164383</v>
      </c>
      <c r="H30" s="6">
        <v>6</v>
      </c>
      <c r="J30" s="6">
        <f t="shared" si="2"/>
        <v>6</v>
      </c>
    </row>
    <row r="31" spans="1:16" x14ac:dyDescent="0.25">
      <c r="C31" s="18"/>
      <c r="D31" s="22"/>
      <c r="E31" s="22"/>
      <c r="G31" s="24"/>
    </row>
    <row r="32" spans="1:16" x14ac:dyDescent="0.25">
      <c r="A32" s="11" t="s">
        <v>36</v>
      </c>
      <c r="B32" s="12" t="s">
        <v>37</v>
      </c>
      <c r="C32" s="13">
        <v>42370</v>
      </c>
      <c r="D32" s="14">
        <v>8000</v>
      </c>
      <c r="E32" s="14">
        <f>D32/7</f>
        <v>1142.8571428571429</v>
      </c>
      <c r="F32" s="12">
        <v>102.68</v>
      </c>
      <c r="G32" s="24">
        <f t="shared" ca="1" si="1"/>
        <v>3.9643835616438357</v>
      </c>
      <c r="H32" s="6">
        <v>10</v>
      </c>
      <c r="J32" s="6">
        <f t="shared" si="2"/>
        <v>10</v>
      </c>
      <c r="M32" s="30"/>
    </row>
    <row r="33" spans="2:16" x14ac:dyDescent="0.25">
      <c r="M33" s="30"/>
    </row>
    <row r="34" spans="2:16" x14ac:dyDescent="0.25">
      <c r="B34" s="35" t="s">
        <v>85</v>
      </c>
      <c r="C34" s="36">
        <v>43738</v>
      </c>
      <c r="D34" s="37">
        <v>3453.95</v>
      </c>
      <c r="E34" s="14">
        <f>D34/7</f>
        <v>493.42142857142852</v>
      </c>
      <c r="F34" s="12">
        <v>0</v>
      </c>
      <c r="G34" s="24">
        <f t="shared" ca="1" si="1"/>
        <v>0.21643835616438356</v>
      </c>
      <c r="H34" s="6">
        <v>6</v>
      </c>
      <c r="I34" s="6">
        <v>5</v>
      </c>
      <c r="J34" s="6">
        <f t="shared" si="2"/>
        <v>1</v>
      </c>
      <c r="K34" s="6" t="s">
        <v>86</v>
      </c>
      <c r="M34" s="30">
        <f>E34*I34</f>
        <v>2467.1071428571427</v>
      </c>
      <c r="N34" s="30">
        <f>M34*$N$4</f>
        <v>616.77678571428567</v>
      </c>
      <c r="O34" s="32">
        <f>(I34*F34)*25%</f>
        <v>0</v>
      </c>
      <c r="P34" s="30">
        <f>N34-O34</f>
        <v>616.77678571428567</v>
      </c>
    </row>
    <row r="35" spans="2:16" x14ac:dyDescent="0.25">
      <c r="B35" s="39" t="s">
        <v>88</v>
      </c>
      <c r="C35" s="23">
        <v>43570</v>
      </c>
      <c r="D35" s="38">
        <v>3453.95</v>
      </c>
      <c r="E35" s="14">
        <f>D35/7</f>
        <v>493.42142857142852</v>
      </c>
      <c r="F35" s="6">
        <v>102.68</v>
      </c>
      <c r="G35" s="24">
        <f t="shared" ca="1" si="1"/>
        <v>0.67671232876712328</v>
      </c>
      <c r="H35" s="6">
        <v>6</v>
      </c>
      <c r="I35" s="6">
        <v>1</v>
      </c>
      <c r="J35" s="6">
        <f t="shared" si="2"/>
        <v>5</v>
      </c>
      <c r="K35" s="23">
        <v>43811</v>
      </c>
      <c r="M35" s="30">
        <f>E35*I35</f>
        <v>493.42142857142852</v>
      </c>
      <c r="N35" s="30">
        <f>M35*$N$4</f>
        <v>123.35535714285713</v>
      </c>
      <c r="O35" s="32">
        <f>(I35*F35)*25%</f>
        <v>25.67</v>
      </c>
      <c r="P35" s="30">
        <f>N35-O35</f>
        <v>97.685357142857129</v>
      </c>
    </row>
    <row r="36" spans="2:16" x14ac:dyDescent="0.25">
      <c r="K36" s="6" t="s">
        <v>67</v>
      </c>
    </row>
    <row r="37" spans="2:16" x14ac:dyDescent="0.25">
      <c r="K37" s="23">
        <v>42681</v>
      </c>
    </row>
    <row r="39" spans="2:16" x14ac:dyDescent="0.25">
      <c r="K39" s="6" t="s">
        <v>68</v>
      </c>
    </row>
    <row r="40" spans="2:16" x14ac:dyDescent="0.25">
      <c r="K40" s="6">
        <v>2.81</v>
      </c>
    </row>
    <row r="41" spans="2:16" x14ac:dyDescent="0.25">
      <c r="K41" s="6" t="s">
        <v>70</v>
      </c>
      <c r="L41" s="6">
        <v>8</v>
      </c>
    </row>
    <row r="42" spans="2:16" x14ac:dyDescent="0.25">
      <c r="K42" s="6" t="s">
        <v>69</v>
      </c>
      <c r="L42" s="6">
        <v>3</v>
      </c>
    </row>
    <row r="43" spans="2:16" x14ac:dyDescent="0.25">
      <c r="K43" s="6" t="s">
        <v>71</v>
      </c>
      <c r="L43" s="6">
        <f>L41-L42</f>
        <v>5</v>
      </c>
    </row>
    <row r="44" spans="2:16" x14ac:dyDescent="0.25">
      <c r="K44" s="6" t="s">
        <v>72</v>
      </c>
      <c r="L44" s="6">
        <v>0</v>
      </c>
    </row>
    <row r="46" spans="2:16" x14ac:dyDescent="0.25">
      <c r="K46" s="6" t="s">
        <v>73</v>
      </c>
      <c r="M46" s="32">
        <v>4372.5600000000004</v>
      </c>
    </row>
    <row r="47" spans="2:16" x14ac:dyDescent="0.25">
      <c r="K47" s="6" t="s">
        <v>74</v>
      </c>
      <c r="M47" s="32">
        <v>1093.1400000000001</v>
      </c>
    </row>
    <row r="59" spans="4:5" ht="30" x14ac:dyDescent="0.25">
      <c r="D59" s="25" t="s">
        <v>57</v>
      </c>
      <c r="E59" s="25" t="s">
        <v>42</v>
      </c>
    </row>
    <row r="60" spans="4:5" x14ac:dyDescent="0.25">
      <c r="D60" s="26">
        <v>1</v>
      </c>
      <c r="E60" s="26" t="s">
        <v>43</v>
      </c>
    </row>
    <row r="61" spans="4:5" x14ac:dyDescent="0.25">
      <c r="D61" s="26">
        <v>2</v>
      </c>
      <c r="E61" s="26" t="s">
        <v>44</v>
      </c>
    </row>
    <row r="62" spans="4:5" x14ac:dyDescent="0.25">
      <c r="D62" s="26">
        <v>3</v>
      </c>
      <c r="E62" s="26" t="s">
        <v>45</v>
      </c>
    </row>
    <row r="63" spans="4:5" x14ac:dyDescent="0.25">
      <c r="D63" s="26">
        <v>4</v>
      </c>
      <c r="E63" s="26" t="s">
        <v>46</v>
      </c>
    </row>
    <row r="64" spans="4:5" x14ac:dyDescent="0.25">
      <c r="D64" s="27" t="s">
        <v>55</v>
      </c>
      <c r="E64" s="26" t="s">
        <v>47</v>
      </c>
    </row>
    <row r="65" spans="4:5" x14ac:dyDescent="0.25">
      <c r="D65" s="28" t="s">
        <v>56</v>
      </c>
      <c r="E65" s="26" t="s">
        <v>48</v>
      </c>
    </row>
    <row r="66" spans="4:5" x14ac:dyDescent="0.25">
      <c r="D66" s="26" t="s">
        <v>52</v>
      </c>
      <c r="E66" s="26" t="s">
        <v>49</v>
      </c>
    </row>
    <row r="67" spans="4:5" x14ac:dyDescent="0.25">
      <c r="D67" s="26" t="s">
        <v>53</v>
      </c>
      <c r="E67" s="26" t="s">
        <v>50</v>
      </c>
    </row>
    <row r="68" spans="4:5" x14ac:dyDescent="0.25">
      <c r="D68" s="26" t="s">
        <v>54</v>
      </c>
      <c r="E68" s="2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2019-02-19T20:04:03Z</dcterms:created>
  <dcterms:modified xsi:type="dcterms:W3CDTF">2019-12-18T20:37:06Z</dcterms:modified>
</cp:coreProperties>
</file>