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ocuments\Project\BISDP\SBC\COA\DB\27-03-2023\Working\"/>
    </mc:Choice>
  </mc:AlternateContent>
  <xr:revisionPtr revIDLastSave="0" documentId="13_ncr:1_{3CA812DF-AF1E-4F46-AE36-3D459545FB82}" xr6:coauthVersionLast="47" xr6:coauthVersionMax="47" xr10:uidLastSave="{00000000-0000-0000-0000-000000000000}"/>
  <bookViews>
    <workbookView xWindow="-108" yWindow="-108" windowWidth="23256" windowHeight="13176" tabRatio="500" activeTab="1" xr2:uid="{00000000-000D-0000-FFFF-FFFF00000000}"/>
  </bookViews>
  <sheets>
    <sheet name="SBC COA Mapping" sheetId="4" r:id="rId1"/>
    <sheet name="OPENING" sheetId="5" r:id="rId2"/>
  </sheets>
  <definedNames>
    <definedName name="_xlnm._FilterDatabase" localSheetId="1" hidden="1">OPENING!$F$1:$G$89</definedName>
    <definedName name="_xlnm._FilterDatabase" localSheetId="0" hidden="1">'SBC COA Mapping'!$C$6:$I$97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92" i="5" l="1"/>
  <c r="C92" i="5"/>
  <c r="B92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2" i="5"/>
  <c r="B91" i="5"/>
  <c r="C85" i="5"/>
  <c r="C84" i="5"/>
  <c r="C83" i="5"/>
  <c r="C82" i="5"/>
  <c r="C81" i="5"/>
  <c r="C80" i="5"/>
  <c r="C79" i="5"/>
  <c r="C78" i="5"/>
  <c r="C77" i="5"/>
  <c r="C75" i="5"/>
  <c r="B73" i="5"/>
  <c r="C71" i="5"/>
  <c r="B66" i="5"/>
  <c r="B65" i="5"/>
  <c r="C63" i="5"/>
  <c r="C58" i="5"/>
  <c r="C57" i="5"/>
  <c r="C56" i="5"/>
  <c r="C55" i="5"/>
  <c r="C54" i="5"/>
  <c r="C53" i="5"/>
  <c r="C52" i="5"/>
  <c r="C51" i="5"/>
  <c r="B40" i="5"/>
  <c r="B39" i="5"/>
  <c r="B38" i="5"/>
  <c r="B37" i="5"/>
  <c r="C36" i="5"/>
  <c r="B35" i="5"/>
  <c r="B34" i="5"/>
  <c r="B32" i="5"/>
  <c r="B31" i="5"/>
  <c r="B30" i="5"/>
  <c r="B28" i="5"/>
  <c r="B27" i="5"/>
  <c r="B26" i="5"/>
  <c r="B25" i="5"/>
  <c r="B24" i="5"/>
  <c r="B23" i="5"/>
  <c r="B22" i="5"/>
  <c r="B21" i="5"/>
  <c r="B20" i="5"/>
  <c r="B19" i="5"/>
  <c r="B18" i="5"/>
  <c r="B17" i="5"/>
  <c r="B15" i="5"/>
  <c r="B11" i="5"/>
  <c r="B10" i="5"/>
  <c r="B8" i="5"/>
  <c r="B7" i="5"/>
  <c r="B6" i="5"/>
  <c r="B5" i="5"/>
  <c r="B4" i="5"/>
  <c r="B3" i="5"/>
  <c r="B2" i="5"/>
  <c r="H96" i="4"/>
  <c r="I90" i="4"/>
  <c r="I89" i="4"/>
  <c r="I88" i="4"/>
  <c r="I87" i="4"/>
  <c r="I86" i="4"/>
  <c r="I85" i="4"/>
  <c r="I84" i="4"/>
  <c r="I83" i="4"/>
  <c r="I82" i="4"/>
  <c r="I80" i="4"/>
  <c r="H78" i="4"/>
  <c r="I76" i="4"/>
  <c r="H71" i="4"/>
  <c r="H70" i="4"/>
  <c r="I68" i="4"/>
  <c r="I63" i="4"/>
  <c r="I62" i="4"/>
  <c r="I61" i="4"/>
  <c r="I60" i="4"/>
  <c r="I59" i="4"/>
  <c r="I58" i="4"/>
  <c r="I57" i="4"/>
  <c r="I56" i="4"/>
  <c r="H45" i="4"/>
  <c r="H44" i="4"/>
  <c r="H43" i="4"/>
  <c r="H42" i="4"/>
  <c r="I41" i="4"/>
  <c r="H40" i="4"/>
  <c r="H39" i="4"/>
  <c r="H37" i="4"/>
  <c r="H36" i="4"/>
  <c r="H35" i="4"/>
  <c r="H33" i="4"/>
  <c r="H32" i="4"/>
  <c r="H31" i="4"/>
  <c r="H30" i="4"/>
  <c r="H29" i="4"/>
  <c r="H28" i="4"/>
  <c r="H27" i="4"/>
  <c r="H26" i="4"/>
  <c r="H25" i="4"/>
  <c r="H24" i="4"/>
  <c r="H23" i="4"/>
  <c r="H22" i="4"/>
  <c r="H20" i="4"/>
  <c r="H16" i="4"/>
  <c r="H15" i="4"/>
  <c r="H13" i="4"/>
  <c r="H12" i="4"/>
  <c r="H11" i="4"/>
  <c r="H10" i="4"/>
  <c r="H9" i="4"/>
  <c r="H8" i="4"/>
  <c r="H7" i="4"/>
  <c r="H97" i="4" l="1"/>
  <c r="I97" i="4"/>
</calcChain>
</file>

<file path=xl/sharedStrings.xml><?xml version="1.0" encoding="utf-8"?>
<sst xmlns="http://schemas.openxmlformats.org/spreadsheetml/2006/main" count="344" uniqueCount="227">
  <si>
    <t>A/c ID</t>
  </si>
  <si>
    <t>Type</t>
  </si>
  <si>
    <t>SADHARAN BIMA CORPORATION</t>
  </si>
  <si>
    <t>Sl.</t>
  </si>
  <si>
    <t>Basic Salary (Officer)</t>
  </si>
  <si>
    <t>Basic Salary (Staff)</t>
  </si>
  <si>
    <t>Medical Allowance (Officer)</t>
  </si>
  <si>
    <t>Medical Allowance (Staff)</t>
  </si>
  <si>
    <t>House Rent Allowance (Offier)</t>
  </si>
  <si>
    <t>House Rent Allowance (Staff)</t>
  </si>
  <si>
    <t>Tea Entertainment (Officer)</t>
  </si>
  <si>
    <t>Noboborsha Bhata(Officer+staff)</t>
  </si>
  <si>
    <t>Festival Allowance (Officer)</t>
  </si>
  <si>
    <t>Festival Allowance (Staff)</t>
  </si>
  <si>
    <t>Incentive Bonus (Officer)</t>
  </si>
  <si>
    <t>Incentive Bonus (Staff)</t>
  </si>
  <si>
    <t>Income Tax</t>
  </si>
  <si>
    <t>Recreation Allowance (Officer)</t>
  </si>
  <si>
    <t>Recreation Allowance (Staff)</t>
  </si>
  <si>
    <t>Conveyance Allowance</t>
  </si>
  <si>
    <t>Education Allowance</t>
  </si>
  <si>
    <t>Conveyance Expenses</t>
  </si>
  <si>
    <t>Telephone (Office)</t>
  </si>
  <si>
    <t>Telephone (Res)</t>
  </si>
  <si>
    <t>Postage Expenses</t>
  </si>
  <si>
    <t>Revenue Stamps Expenses</t>
  </si>
  <si>
    <t>Car Fuel</t>
  </si>
  <si>
    <t>Washing Allowance</t>
  </si>
  <si>
    <t>Cleanner</t>
  </si>
  <si>
    <t>Stationery Expenses</t>
  </si>
  <si>
    <t>Electric Maintenance</t>
  </si>
  <si>
    <t>Short / Excess Collection</t>
  </si>
  <si>
    <t>Repair &amp; Renewal Expenses</t>
  </si>
  <si>
    <t>Lunch &amp; Subsidey</t>
  </si>
  <si>
    <t>Office Cont. &amp; Gen. Expenses</t>
  </si>
  <si>
    <t>Insurance Premium (Private Car)</t>
  </si>
  <si>
    <t>Business Development</t>
  </si>
  <si>
    <t>Paper &amp; Periodicals</t>
  </si>
  <si>
    <t>Group Insurance</t>
  </si>
  <si>
    <t>Insuracne Stamp Exp Fire (Pub)</t>
  </si>
  <si>
    <t>Insuracne Stamp Exp Fire (Pvt)</t>
  </si>
  <si>
    <t>Insuracne Stamp Exp Engr. (Pub)</t>
  </si>
  <si>
    <t>Insuracne Stamp Exp Motor (Pub)</t>
  </si>
  <si>
    <t>Insuracne Stamp Exp Motor (Pvt)</t>
  </si>
  <si>
    <t>Insuracne Stamp Exp Misc (Pub)</t>
  </si>
  <si>
    <t>Insuracne Stamp Exp Misc (Pvt)</t>
  </si>
  <si>
    <t>Advance Medical</t>
  </si>
  <si>
    <t>Advance Franking Machine</t>
  </si>
  <si>
    <t>Advance Insurance Stamp</t>
  </si>
  <si>
    <t>Advance Revenue Stamp</t>
  </si>
  <si>
    <t>Advance Motor Cycle Loan(Principal)</t>
  </si>
  <si>
    <t>Advance Petty Cash</t>
  </si>
  <si>
    <t>Travelling Advance (Officer)</t>
  </si>
  <si>
    <t>Premium Income Fire (Pub)</t>
  </si>
  <si>
    <t>Premium Income Fire (Pvt)</t>
  </si>
  <si>
    <t>Premium Income M Cargo (Pub)</t>
  </si>
  <si>
    <t>Premium Income Motor (Pub)</t>
  </si>
  <si>
    <t>Premium Income Motor (Pvt)</t>
  </si>
  <si>
    <t>Premium Income Eng. (Pub)</t>
  </si>
  <si>
    <t>Premium Income W.C (Pub)</t>
  </si>
  <si>
    <t>Premium Income Misc (Pub)</t>
  </si>
  <si>
    <t>Premium Income Misc (Pvt)</t>
  </si>
  <si>
    <t>Deposit Premium M Cargo (Pub)</t>
  </si>
  <si>
    <t>Deposit Premium M Cargo (Pvt.)</t>
  </si>
  <si>
    <t>Head Office</t>
  </si>
  <si>
    <t>Interest on Motorcycle Loan</t>
  </si>
  <si>
    <t>Interest Earned</t>
  </si>
  <si>
    <t>Claim Motor (Pub)</t>
  </si>
  <si>
    <t>Claim Motor (Pvt.)</t>
  </si>
  <si>
    <t>PF Loan</t>
  </si>
  <si>
    <t>10% PF Contribution</t>
  </si>
  <si>
    <t>Benevolent Fund</t>
  </si>
  <si>
    <t>Union Subcription</t>
  </si>
  <si>
    <t>House Rent Deduction</t>
  </si>
  <si>
    <t>Dhaka Zone</t>
  </si>
  <si>
    <t>Bank charge</t>
  </si>
  <si>
    <t>Insurance Stamp Expenses BSB(Pvt)</t>
  </si>
  <si>
    <t>Gas Bill Recovery</t>
  </si>
  <si>
    <t>Tax on Interest</t>
  </si>
  <si>
    <t>Bus Fare</t>
  </si>
  <si>
    <t>Insurance 15 % VAT- Fire (Pub)</t>
  </si>
  <si>
    <t>Insurance 15 % VAT- Fire (Pvt)</t>
  </si>
  <si>
    <t>Insurance 15 % VAT- M Cargo (Pub)</t>
  </si>
  <si>
    <t>Insurance 15 % VAT- Motor (Pub)</t>
  </si>
  <si>
    <t>Insurance 15 % VAT- Motor (Pvt)</t>
  </si>
  <si>
    <t>Insurance 15 % VAT- Eng. (Pub)</t>
  </si>
  <si>
    <t>Insurance 15 % VAT- W.C (Pub)</t>
  </si>
  <si>
    <t>Insurance 15 % VAT- Misc (Pub)</t>
  </si>
  <si>
    <t>Insurance 15 % VAT- Misc (Pvt)</t>
  </si>
  <si>
    <t>Rupali Bank-STD-0018024000168 )</t>
  </si>
  <si>
    <t>Internet Expenses</t>
  </si>
  <si>
    <t>15% VAT BSB (Pvt)</t>
  </si>
  <si>
    <t>Premium Income BSB (Pvt)</t>
  </si>
  <si>
    <t>Covid-19 (স্বাস্থ সুরক্ষা)</t>
  </si>
  <si>
    <t xml:space="preserve">Total Balance </t>
  </si>
  <si>
    <t>L.F.</t>
  </si>
  <si>
    <t>Dr.</t>
  </si>
  <si>
    <t>Cr.</t>
  </si>
  <si>
    <t xml:space="preserve">             Dilkusha Branch,  Dhaka Zone, Dhaka.</t>
  </si>
  <si>
    <t>E</t>
  </si>
  <si>
    <t>House Rent Allowance (Officer)</t>
  </si>
  <si>
    <t>Entertainment Allowance (Officer)</t>
  </si>
  <si>
    <t>Recreation Leave (Officer)</t>
  </si>
  <si>
    <t>Recreation Leave (Staff)</t>
  </si>
  <si>
    <t>Education Allowance (Officer and Staff)</t>
  </si>
  <si>
    <t>Telephone Charge(Office)</t>
  </si>
  <si>
    <t>Telephone Charge (Res)</t>
  </si>
  <si>
    <t>Postage And Telegram Exp.</t>
  </si>
  <si>
    <t>Revenue Stamp Expense</t>
  </si>
  <si>
    <t>Stationery Exp.</t>
  </si>
  <si>
    <t>L</t>
  </si>
  <si>
    <t>Excess/Short Collection</t>
  </si>
  <si>
    <t>Repairs And Renewal (Other Than Building)</t>
  </si>
  <si>
    <t>Lunch Subsidy</t>
  </si>
  <si>
    <t>Insurance Premium (Other Than Building)</t>
  </si>
  <si>
    <t>Business Dev. Expense</t>
  </si>
  <si>
    <t>Papers And Preiodicals</t>
  </si>
  <si>
    <t>Ins. Stamp Expenses Fire (Pub)</t>
  </si>
  <si>
    <t>Ins. Stamp Expenses Fire (Pvt)</t>
  </si>
  <si>
    <t>Ins. Stamp Expenses Engg. (Pub)</t>
  </si>
  <si>
    <t>Ins. Stamp Expenses Motor (Pub)</t>
  </si>
  <si>
    <t>Ins. Stamp Expenses Motor (Pvt)</t>
  </si>
  <si>
    <t>Ins. Stamp Expenses Misc. (Pub)</t>
  </si>
  <si>
    <t>Ins. Stamp Expenses Misc. (Pvt)</t>
  </si>
  <si>
    <t>A</t>
  </si>
  <si>
    <t>Motor Cycle Loan</t>
  </si>
  <si>
    <t>Advance Travelling</t>
  </si>
  <si>
    <t>I</t>
  </si>
  <si>
    <t>Premium Income Marine Cargo (Pub)</t>
  </si>
  <si>
    <t>Premium Income Marine Cargo (Pvt)</t>
  </si>
  <si>
    <t>Premium Income Engg. (Pub)</t>
  </si>
  <si>
    <t>Premium Income (W.C) (Pub)</t>
  </si>
  <si>
    <t>Deposit Premium Marine Cargo (Pub)</t>
  </si>
  <si>
    <t>Deposit Premium Marine Cargo (Pvt)</t>
  </si>
  <si>
    <t>Interest on Motor Cycle Loan</t>
  </si>
  <si>
    <t>Claim Paid Motor (Pub)</t>
  </si>
  <si>
    <t>Claim Paid Motor (Pvt)</t>
  </si>
  <si>
    <t>Employees P.F. Loan Deduction</t>
  </si>
  <si>
    <t>Employees P.F. 10%</t>
  </si>
  <si>
    <t>Benavolent Fund Provision</t>
  </si>
  <si>
    <t>Union Subscription</t>
  </si>
  <si>
    <t>House Rent deduction</t>
  </si>
  <si>
    <t>Bank Charge</t>
  </si>
  <si>
    <t>Gas Bill Received</t>
  </si>
  <si>
    <t>TDS on Interest</t>
  </si>
  <si>
    <t>Internet Expense</t>
  </si>
  <si>
    <t>15% VAT on BSB Premium (Pvt)</t>
  </si>
  <si>
    <t>COVID-19 Expenses</t>
  </si>
  <si>
    <t>RUPALI BANK LTD-LOCAL-240001688</t>
  </si>
  <si>
    <t>15% VAT on Fire Premium (Pub)</t>
  </si>
  <si>
    <t>15% VAT on Fire Premium (Pvt)</t>
  </si>
  <si>
    <t>15% VAT on Marine Cargo Premium (Pub)</t>
  </si>
  <si>
    <t>15% VAT on Motor Premium (Pub)</t>
  </si>
  <si>
    <t>15% VAT on Motor Premium (Pvt)</t>
  </si>
  <si>
    <t>15% VAT on Engg Premium (Pub)</t>
  </si>
  <si>
    <t>15% VAT on WC Premium (Pub)</t>
  </si>
  <si>
    <t>15% VAT on Misc Premium (Pub)</t>
  </si>
  <si>
    <t>15% VAT on Misc Premium (Pvt)</t>
  </si>
  <si>
    <t xml:space="preserve"> Cleaner Allowance</t>
  </si>
  <si>
    <t>Chart of Accounts Name</t>
  </si>
  <si>
    <t xml:space="preserve">   Existing Particulars</t>
  </si>
  <si>
    <t>Advance Petty Cash (Imprest)</t>
  </si>
  <si>
    <t>Interst Income on Other Deposits</t>
  </si>
  <si>
    <t>Naba Barsha Vata (Officer)</t>
  </si>
  <si>
    <t>Employee Income Tax (Officer)</t>
  </si>
  <si>
    <t>Fuel Expense CNG</t>
  </si>
  <si>
    <t>Group Ins. Premium (Officer)</t>
  </si>
  <si>
    <t>Contingency and Genarel Expenses</t>
  </si>
  <si>
    <t>DR</t>
  </si>
  <si>
    <t>CR</t>
  </si>
  <si>
    <t>OPENING</t>
  </si>
  <si>
    <t>TRIAL BALANCE AS AT 30.09.2021</t>
  </si>
  <si>
    <t>215,114.00</t>
  </si>
  <si>
    <t>0.00</t>
  </si>
  <si>
    <t>4,000.00</t>
  </si>
  <si>
    <t>166.10</t>
  </si>
  <si>
    <t>18,643.00</t>
  </si>
  <si>
    <t>45,576.00</t>
  </si>
  <si>
    <t>200.00</t>
  </si>
  <si>
    <t>113,253,873.95</t>
  </si>
  <si>
    <t>Debit</t>
  </si>
  <si>
    <t>1,890,662.00</t>
  </si>
  <si>
    <t>430,830.00</t>
  </si>
  <si>
    <t>76,500.00</t>
  </si>
  <si>
    <t>54,000.00</t>
  </si>
  <si>
    <t>981,226.35</t>
  </si>
  <si>
    <t>258,498.00</t>
  </si>
  <si>
    <t>54,564.00</t>
  </si>
  <si>
    <t>455,130.00</t>
  </si>
  <si>
    <t>91,260.00</t>
  </si>
  <si>
    <t>10,800.00</t>
  </si>
  <si>
    <t>1,800.00</t>
  </si>
  <si>
    <t>114,200.00</t>
  </si>
  <si>
    <t>11,090.00</t>
  </si>
  <si>
    <t>900.00</t>
  </si>
  <si>
    <t>29,000.00</t>
  </si>
  <si>
    <t>7,200.00</t>
  </si>
  <si>
    <t>19,374.00</t>
  </si>
  <si>
    <t>7,695.00</t>
  </si>
  <si>
    <t>14,400.00</t>
  </si>
  <si>
    <t>152.00</t>
  </si>
  <si>
    <t>2,600.00</t>
  </si>
  <si>
    <t>2,300.00</t>
  </si>
  <si>
    <t>10,600.00</t>
  </si>
  <si>
    <t>750.00</t>
  </si>
  <si>
    <t>1,530.00</t>
  </si>
  <si>
    <t>300.00</t>
  </si>
  <si>
    <t>1,000.00</t>
  </si>
  <si>
    <t>20.00</t>
  </si>
  <si>
    <t>1,790.00</t>
  </si>
  <si>
    <t>41,122.00</t>
  </si>
  <si>
    <t>3,380.00</t>
  </si>
  <si>
    <t>2,620.00</t>
  </si>
  <si>
    <t>7,440.00</t>
  </si>
  <si>
    <t>2,550.00</t>
  </si>
  <si>
    <t>9,980.00</t>
  </si>
  <si>
    <t>307,000.00</t>
  </si>
  <si>
    <t>9,000.00</t>
  </si>
  <si>
    <t>35,893.00</t>
  </si>
  <si>
    <t>1,928.00</t>
  </si>
  <si>
    <t>30,684.00</t>
  </si>
  <si>
    <t>775.00</t>
  </si>
  <si>
    <t>306,675.00</t>
  </si>
  <si>
    <t>114,075.00</t>
  </si>
  <si>
    <t>397,720.25</t>
  </si>
  <si>
    <t>55,186.00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</si>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</sst>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8" formatCode="0.000"/>
  </numFmts>
  <fonts count="11" x14ac:knownFonts="1">
    <font>
      <sz val="11"/>
      <color rgb="FF000000"/>
      <name val="Calibri"/>
      <charset val="1"/>
    </font>
    <font>
      <sz val="11"/>
      <color rgb="FF000000"/>
      <name val="Calibri"/>
      <family val="2"/>
    </font>
    <font>
      <sz val="9"/>
      <color theme="1"/>
      <name val="Tahoma"/>
      <family val="2"/>
    </font>
    <font>
      <sz val="9"/>
      <color rgb="FF000000"/>
      <name val="Tahoma"/>
      <family val="2"/>
    </font>
    <font>
      <b/>
      <sz val="9"/>
      <color theme="1"/>
      <name val="Tahoma"/>
      <family val="2"/>
    </font>
    <font>
      <b/>
      <sz val="9"/>
      <name val="Tahoma"/>
      <family val="2"/>
    </font>
    <font>
      <sz val="9"/>
      <name val="Tahoma"/>
      <family val="2"/>
    </font>
    <font>
      <sz val="10"/>
      <color theme="1"/>
      <name val="Calibri"/>
      <family val="2"/>
      <scheme val="minor"/>
    </font>
    <font>
      <b/>
      <i/>
      <sz val="9"/>
      <color theme="1"/>
      <name val="Tahoma"/>
      <family val="2"/>
    </font>
    <font>
      <b/>
      <i/>
      <sz val="9"/>
      <name val="Tahoma"/>
      <family val="2"/>
    </font>
    <font>
      <b/>
      <i/>
      <sz val="9"/>
      <color rgb="FF494429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1">
    <xf numFmtId="0" fontId="0" fillId="0" borderId="0" xfId="0"/>
    <xf numFmtId="0" fontId="2" fillId="0" borderId="2" xfId="0" applyFont="1" applyBorder="1" applyAlignment="1">
      <alignment horizontal="center" wrapText="1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4" fontId="2" fillId="0" borderId="0" xfId="0" applyNumberFormat="1" applyFont="1" applyAlignment="1">
      <alignment horizontal="center" vertical="center"/>
    </xf>
    <xf numFmtId="1" fontId="5" fillId="0" borderId="4" xfId="0" applyNumberFormat="1" applyFont="1" applyBorder="1" applyAlignment="1">
      <alignment horizontal="left" vertical="top"/>
    </xf>
    <xf numFmtId="0" fontId="6" fillId="0" borderId="2" xfId="0" applyFont="1" applyBorder="1" applyAlignment="1">
      <alignment horizontal="center" vertical="center"/>
    </xf>
    <xf numFmtId="0" fontId="2" fillId="0" borderId="3" xfId="0" applyFont="1" applyBorder="1"/>
    <xf numFmtId="0" fontId="6" fillId="0" borderId="2" xfId="0" applyFont="1" applyBorder="1" applyAlignment="1">
      <alignment horizontal="left" vertical="center"/>
    </xf>
    <xf numFmtId="43" fontId="6" fillId="0" borderId="2" xfId="1" applyNumberFormat="1" applyFont="1" applyFill="1" applyBorder="1" applyAlignment="1">
      <alignment horizontal="center" vertical="center"/>
    </xf>
    <xf numFmtId="165" fontId="6" fillId="0" borderId="2" xfId="1" applyNumberFormat="1" applyFont="1" applyFill="1" applyBorder="1" applyAlignment="1">
      <alignment horizontal="center" vertical="center"/>
    </xf>
    <xf numFmtId="164" fontId="6" fillId="0" borderId="2" xfId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center" vertical="center"/>
    </xf>
    <xf numFmtId="43" fontId="6" fillId="3" borderId="2" xfId="1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wrapText="1"/>
    </xf>
    <xf numFmtId="0" fontId="5" fillId="0" borderId="2" xfId="0" applyFont="1" applyBorder="1" applyAlignment="1">
      <alignment horizontal="left" vertical="center"/>
    </xf>
    <xf numFmtId="4" fontId="4" fillId="0" borderId="3" xfId="0" applyNumberFormat="1" applyFont="1" applyBorder="1"/>
    <xf numFmtId="0" fontId="3" fillId="0" borderId="2" xfId="0" applyFont="1" applyBorder="1"/>
    <xf numFmtId="0" fontId="3" fillId="2" borderId="6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top" wrapText="1"/>
    </xf>
    <xf numFmtId="0" fontId="7" fillId="0" borderId="3" xfId="0" applyFont="1" applyBorder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vertical="top"/>
    </xf>
    <xf numFmtId="0" fontId="2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/>
    </xf>
    <xf numFmtId="43" fontId="5" fillId="0" borderId="2" xfId="0" applyNumberFormat="1" applyFont="1" applyBorder="1" applyAlignment="1">
      <alignment horizontal="left" vertical="top"/>
    </xf>
    <xf numFmtId="4" fontId="5" fillId="0" borderId="4" xfId="0" applyNumberFormat="1" applyFont="1" applyBorder="1" applyAlignment="1">
      <alignment horizontal="left" vertical="top"/>
    </xf>
    <xf numFmtId="0" fontId="8" fillId="0" borderId="3" xfId="0" applyFont="1" applyBorder="1"/>
    <xf numFmtId="0" fontId="9" fillId="0" borderId="2" xfId="0" applyFont="1" applyBorder="1" applyAlignment="1">
      <alignment horizontal="left" vertical="center"/>
    </xf>
    <xf numFmtId="0" fontId="10" fillId="4" borderId="7" xfId="0" applyFont="1" applyFill="1" applyBorder="1" applyAlignment="1">
      <alignment vertical="top" wrapText="1"/>
    </xf>
    <xf numFmtId="0" fontId="4" fillId="0" borderId="3" xfId="0" applyFont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  <xf numFmtId="0" fontId="3" fillId="2" borderId="0" xfId="0" applyFont="1" applyFill="1" applyAlignment="1">
      <alignment horizontal="center"/>
    </xf>
    <xf numFmtId="0" fontId="3" fillId="0" borderId="0" xfId="0" applyFont="1"/>
    <xf numFmtId="4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top"/>
    </xf>
    <xf numFmtId="168" fontId="6" fillId="0" borderId="2" xfId="1" applyNumberFormat="1" applyFont="1" applyFill="1" applyBorder="1" applyAlignment="1">
      <alignment horizontal="right" vertical="center"/>
    </xf>
    <xf numFmtId="168" fontId="6" fillId="3" borderId="2" xfId="1" applyNumberFormat="1" applyFont="1" applyFill="1" applyBorder="1" applyAlignment="1">
      <alignment horizontal="right" vertical="center"/>
    </xf>
    <xf numFmtId="0" fontId="1" fillId="0" borderId="0" xfId="0" applyFont="1"/>
    <xf numFmtId="168" fontId="1" fillId="0" borderId="0" xfId="0" applyNumberFormat="1" applyFont="1"/>
    <xf numFmtId="168" fontId="0" fillId="0" borderId="0" xfId="0" applyNumberFormat="1"/>
    <xf numFmtId="168" fontId="0" fillId="5" borderId="0" xfId="0" applyNumberFormat="1" applyFill="1"/>
    <xf numFmtId="0" fontId="0" fillId="0" borderId="0" xfId="0" applyNumberFormat="1"/>
  </cellXfs>
  <cellStyles count="2">
    <cellStyle name="Comma" xfId="1" builtinId="3"/>
    <cellStyle name="Normal" xfId="0" builtinId="0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21167</xdr:rowOff>
    </xdr:from>
    <xdr:ext cx="971550" cy="7620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21167"/>
          <a:ext cx="971550" cy="7620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I97"/>
  <sheetViews>
    <sheetView showGridLines="0" topLeftCell="B1" zoomScale="136" zoomScaleNormal="136" workbookViewId="0">
      <selection activeCell="G7" sqref="G7"/>
    </sheetView>
  </sheetViews>
  <sheetFormatPr defaultColWidth="9.21875" defaultRowHeight="11.4" x14ac:dyDescent="0.2"/>
  <cols>
    <col min="1" max="1" width="2.44140625" style="2" customWidth="1"/>
    <col min="2" max="2" width="3.77734375" style="2" customWidth="1"/>
    <col min="3" max="3" width="10.44140625" style="4" customWidth="1"/>
    <col min="4" max="4" width="5.21875" style="4" bestFit="1" customWidth="1"/>
    <col min="5" max="5" width="32.88671875" style="22" bestFit="1" customWidth="1"/>
    <col min="6" max="6" width="31.21875" style="4" hidden="1" customWidth="1"/>
    <col min="7" max="7" width="5.21875" style="5" customWidth="1"/>
    <col min="8" max="8" width="16.44140625" style="2" customWidth="1"/>
    <col min="9" max="9" width="16.109375" style="2" customWidth="1"/>
    <col min="10" max="16384" width="9.21875" style="2"/>
  </cols>
  <sheetData>
    <row r="1" spans="1:9" x14ac:dyDescent="0.2">
      <c r="C1" s="2"/>
      <c r="D1" s="2"/>
      <c r="E1" s="2"/>
      <c r="F1" s="2"/>
      <c r="G1" s="3"/>
    </row>
    <row r="2" spans="1:9" ht="15.75" customHeight="1" x14ac:dyDescent="0.2">
      <c r="B2" s="6"/>
      <c r="C2" s="7"/>
      <c r="D2" s="6"/>
      <c r="E2" s="40" t="s">
        <v>2</v>
      </c>
      <c r="F2" s="41"/>
      <c r="G2" s="6"/>
      <c r="H2" s="7"/>
      <c r="I2" s="7"/>
    </row>
    <row r="3" spans="1:9" ht="15.75" customHeight="1" x14ac:dyDescent="0.2">
      <c r="B3" s="6"/>
      <c r="C3" s="7"/>
      <c r="D3" s="6"/>
      <c r="E3" s="42" t="s">
        <v>98</v>
      </c>
      <c r="F3" s="41"/>
      <c r="G3" s="8"/>
      <c r="H3" s="8"/>
      <c r="I3" s="8"/>
    </row>
    <row r="4" spans="1:9" ht="15.75" customHeight="1" x14ac:dyDescent="0.2">
      <c r="B4" s="6"/>
      <c r="C4" s="7"/>
      <c r="D4" s="6"/>
      <c r="E4" s="43" t="s">
        <v>171</v>
      </c>
      <c r="F4" s="41"/>
      <c r="G4" s="6"/>
      <c r="H4" s="7"/>
      <c r="I4" s="7"/>
    </row>
    <row r="5" spans="1:9" x14ac:dyDescent="0.2">
      <c r="C5" s="2"/>
      <c r="D5" s="2"/>
      <c r="E5" s="2"/>
      <c r="F5" s="2"/>
      <c r="G5" s="3"/>
    </row>
    <row r="6" spans="1:9" ht="23.55" customHeight="1" x14ac:dyDescent="0.2">
      <c r="B6" s="9" t="s">
        <v>3</v>
      </c>
      <c r="C6" s="38" t="s">
        <v>0</v>
      </c>
      <c r="D6" s="31" t="s">
        <v>1</v>
      </c>
      <c r="E6" s="38" t="s">
        <v>159</v>
      </c>
      <c r="F6" s="39" t="s">
        <v>160</v>
      </c>
      <c r="G6" s="32" t="s">
        <v>95</v>
      </c>
      <c r="H6" s="33" t="s">
        <v>96</v>
      </c>
      <c r="I6" s="34" t="s">
        <v>97</v>
      </c>
    </row>
    <row r="7" spans="1:9" ht="15" customHeight="1" x14ac:dyDescent="0.2">
      <c r="B7" s="10">
        <v>1</v>
      </c>
      <c r="C7" s="11">
        <v>4000000023</v>
      </c>
      <c r="D7" s="11" t="s">
        <v>99</v>
      </c>
      <c r="E7" s="11" t="s">
        <v>4</v>
      </c>
      <c r="F7" s="12" t="s">
        <v>4</v>
      </c>
      <c r="G7" s="10">
        <v>1</v>
      </c>
      <c r="H7" s="13">
        <f>698250+227190+227190+229315+163937+173610+171170</f>
        <v>1890662</v>
      </c>
      <c r="I7" s="14"/>
    </row>
    <row r="8" spans="1:9" s="4" customFormat="1" ht="15" customHeight="1" x14ac:dyDescent="0.2">
      <c r="A8" s="2"/>
      <c r="B8" s="10">
        <v>2</v>
      </c>
      <c r="C8" s="11">
        <v>4000000062</v>
      </c>
      <c r="D8" s="11" t="s">
        <v>99</v>
      </c>
      <c r="E8" s="11" t="s">
        <v>5</v>
      </c>
      <c r="F8" s="12" t="s">
        <v>5</v>
      </c>
      <c r="G8" s="10">
        <v>2</v>
      </c>
      <c r="H8" s="13">
        <f>136890+45630+45630+45630+46710+46710+63630</f>
        <v>430830</v>
      </c>
      <c r="I8" s="14"/>
    </row>
    <row r="9" spans="1:9" s="4" customFormat="1" ht="15" customHeight="1" x14ac:dyDescent="0.2">
      <c r="A9" s="2"/>
      <c r="B9" s="10">
        <v>3</v>
      </c>
      <c r="C9" s="11">
        <v>4000000082</v>
      </c>
      <c r="D9" s="11" t="s">
        <v>99</v>
      </c>
      <c r="E9" s="11" t="s">
        <v>6</v>
      </c>
      <c r="F9" s="12" t="s">
        <v>6</v>
      </c>
      <c r="G9" s="10">
        <v>3</v>
      </c>
      <c r="H9" s="13">
        <f>54000+7500+7500+7500</f>
        <v>76500</v>
      </c>
      <c r="I9" s="15"/>
    </row>
    <row r="10" spans="1:9" s="4" customFormat="1" ht="15" customHeight="1" x14ac:dyDescent="0.2">
      <c r="A10" s="2"/>
      <c r="B10" s="10">
        <v>4</v>
      </c>
      <c r="C10" s="11">
        <v>4000000083</v>
      </c>
      <c r="D10" s="11" t="s">
        <v>99</v>
      </c>
      <c r="E10" s="11" t="s">
        <v>7</v>
      </c>
      <c r="F10" s="12" t="s">
        <v>7</v>
      </c>
      <c r="G10" s="10">
        <v>4</v>
      </c>
      <c r="H10" s="13">
        <f>36000+18000</f>
        <v>54000</v>
      </c>
      <c r="I10" s="15"/>
    </row>
    <row r="11" spans="1:9" s="4" customFormat="1" ht="15" customHeight="1" x14ac:dyDescent="0.2">
      <c r="A11" s="2"/>
      <c r="B11" s="10">
        <v>5</v>
      </c>
      <c r="C11" s="11">
        <v>4000000102</v>
      </c>
      <c r="D11" s="11" t="s">
        <v>99</v>
      </c>
      <c r="E11" s="11" t="s">
        <v>100</v>
      </c>
      <c r="F11" s="12" t="s">
        <v>8</v>
      </c>
      <c r="G11" s="10">
        <v>5</v>
      </c>
      <c r="H11" s="13">
        <f>355180.5+118393.5+118393.5+119456+87121.85+92011.5+90669.5</f>
        <v>981226.35</v>
      </c>
      <c r="I11" s="14"/>
    </row>
    <row r="12" spans="1:9" s="4" customFormat="1" ht="15" customHeight="1" x14ac:dyDescent="0.2">
      <c r="A12" s="2"/>
      <c r="B12" s="10">
        <v>6</v>
      </c>
      <c r="C12" s="11">
        <v>4000000103</v>
      </c>
      <c r="D12" s="11" t="s">
        <v>99</v>
      </c>
      <c r="E12" s="11" t="s">
        <v>9</v>
      </c>
      <c r="F12" s="12" t="s">
        <v>9</v>
      </c>
      <c r="G12" s="10">
        <v>6</v>
      </c>
      <c r="H12" s="13">
        <f>82134+27378+27378+27378+28026+28026+38178</f>
        <v>258498</v>
      </c>
      <c r="I12" s="14"/>
    </row>
    <row r="13" spans="1:9" s="4" customFormat="1" ht="15" customHeight="1" x14ac:dyDescent="0.2">
      <c r="A13" s="2"/>
      <c r="B13" s="10">
        <v>7</v>
      </c>
      <c r="C13" s="11">
        <v>4000000268</v>
      </c>
      <c r="D13" s="11" t="s">
        <v>99</v>
      </c>
      <c r="E13" s="11" t="s">
        <v>101</v>
      </c>
      <c r="F13" s="12" t="s">
        <v>10</v>
      </c>
      <c r="G13" s="10">
        <v>7</v>
      </c>
      <c r="H13" s="13">
        <f>225+150+150+150+75+75+75</f>
        <v>900</v>
      </c>
      <c r="I13" s="14"/>
    </row>
    <row r="14" spans="1:9" s="4" customFormat="1" ht="15" customHeight="1" x14ac:dyDescent="0.2">
      <c r="A14" s="2"/>
      <c r="B14" s="10">
        <v>8</v>
      </c>
      <c r="C14" s="11">
        <v>4000000122</v>
      </c>
      <c r="D14" s="11" t="s">
        <v>99</v>
      </c>
      <c r="E14" s="11" t="s">
        <v>163</v>
      </c>
      <c r="F14" s="12" t="s">
        <v>11</v>
      </c>
      <c r="G14" s="10">
        <v>8</v>
      </c>
      <c r="H14" s="13">
        <v>54564</v>
      </c>
      <c r="I14" s="14"/>
    </row>
    <row r="15" spans="1:9" s="4" customFormat="1" ht="15" customHeight="1" x14ac:dyDescent="0.2">
      <c r="A15" s="2"/>
      <c r="B15" s="10">
        <v>9</v>
      </c>
      <c r="C15" s="11">
        <v>4000000132</v>
      </c>
      <c r="D15" s="11" t="s">
        <v>99</v>
      </c>
      <c r="E15" s="11" t="s">
        <v>12</v>
      </c>
      <c r="F15" s="12" t="s">
        <v>12</v>
      </c>
      <c r="G15" s="10">
        <v>11</v>
      </c>
      <c r="H15" s="13">
        <f>227190+227940</f>
        <v>455130</v>
      </c>
      <c r="I15" s="14"/>
    </row>
    <row r="16" spans="1:9" s="4" customFormat="1" ht="15" customHeight="1" x14ac:dyDescent="0.2">
      <c r="A16" s="2"/>
      <c r="B16" s="10">
        <v>10</v>
      </c>
      <c r="C16" s="11">
        <v>4000000133</v>
      </c>
      <c r="D16" s="11" t="s">
        <v>99</v>
      </c>
      <c r="E16" s="11" t="s">
        <v>13</v>
      </c>
      <c r="F16" s="12" t="s">
        <v>13</v>
      </c>
      <c r="G16" s="10">
        <v>12</v>
      </c>
      <c r="H16" s="13">
        <f>45630+45630</f>
        <v>91260</v>
      </c>
      <c r="I16" s="14"/>
    </row>
    <row r="17" spans="1:9" s="4" customFormat="1" ht="15" customHeight="1" x14ac:dyDescent="0.2">
      <c r="A17" s="2"/>
      <c r="B17" s="10">
        <v>11</v>
      </c>
      <c r="C17" s="11">
        <v>4000001066</v>
      </c>
      <c r="D17" s="11" t="s">
        <v>99</v>
      </c>
      <c r="E17" s="11" t="s">
        <v>14</v>
      </c>
      <c r="F17" s="12" t="s">
        <v>14</v>
      </c>
      <c r="G17" s="10">
        <v>13</v>
      </c>
      <c r="H17" s="13">
        <v>306675</v>
      </c>
      <c r="I17" s="14"/>
    </row>
    <row r="18" spans="1:9" s="4" customFormat="1" ht="15" customHeight="1" x14ac:dyDescent="0.2">
      <c r="A18" s="2"/>
      <c r="B18" s="10">
        <v>12</v>
      </c>
      <c r="C18" s="11">
        <v>4000001067</v>
      </c>
      <c r="D18" s="11" t="s">
        <v>99</v>
      </c>
      <c r="E18" s="11" t="s">
        <v>15</v>
      </c>
      <c r="F18" s="12" t="s">
        <v>15</v>
      </c>
      <c r="G18" s="10">
        <v>14</v>
      </c>
      <c r="H18" s="13">
        <v>114075</v>
      </c>
      <c r="I18" s="14"/>
    </row>
    <row r="19" spans="1:9" s="4" customFormat="1" ht="15" customHeight="1" x14ac:dyDescent="0.2">
      <c r="A19" s="2"/>
      <c r="B19" s="10">
        <v>13</v>
      </c>
      <c r="C19" s="11">
        <v>4000000142</v>
      </c>
      <c r="D19" s="11" t="s">
        <v>99</v>
      </c>
      <c r="E19" s="11" t="s">
        <v>164</v>
      </c>
      <c r="F19" s="12" t="s">
        <v>16</v>
      </c>
      <c r="G19" s="10">
        <v>15</v>
      </c>
      <c r="H19" s="13"/>
      <c r="I19" s="14">
        <v>6800</v>
      </c>
    </row>
    <row r="20" spans="1:9" s="4" customFormat="1" ht="15" customHeight="1" x14ac:dyDescent="0.2">
      <c r="A20" s="2"/>
      <c r="B20" s="10">
        <v>14</v>
      </c>
      <c r="C20" s="11">
        <v>4000000232</v>
      </c>
      <c r="D20" s="11" t="s">
        <v>99</v>
      </c>
      <c r="E20" s="11" t="s">
        <v>102</v>
      </c>
      <c r="F20" s="12" t="s">
        <v>17</v>
      </c>
      <c r="G20" s="10">
        <v>17</v>
      </c>
      <c r="H20" s="13">
        <f>83420+30780</f>
        <v>114200</v>
      </c>
      <c r="I20" s="14"/>
    </row>
    <row r="21" spans="1:9" s="4" customFormat="1" ht="15" customHeight="1" x14ac:dyDescent="0.2">
      <c r="A21" s="2"/>
      <c r="B21" s="10">
        <v>15</v>
      </c>
      <c r="C21" s="11">
        <v>4000000233</v>
      </c>
      <c r="D21" s="11" t="s">
        <v>99</v>
      </c>
      <c r="E21" s="11" t="s">
        <v>103</v>
      </c>
      <c r="F21" s="12" t="s">
        <v>18</v>
      </c>
      <c r="G21" s="10">
        <v>18</v>
      </c>
      <c r="H21" s="13">
        <v>11090</v>
      </c>
      <c r="I21" s="14"/>
    </row>
    <row r="22" spans="1:9" s="4" customFormat="1" ht="15" customHeight="1" x14ac:dyDescent="0.2">
      <c r="A22" s="2"/>
      <c r="B22" s="10">
        <v>16</v>
      </c>
      <c r="C22" s="11">
        <v>4000000161</v>
      </c>
      <c r="D22" s="11" t="s">
        <v>99</v>
      </c>
      <c r="E22" s="11" t="s">
        <v>19</v>
      </c>
      <c r="F22" s="12" t="s">
        <v>19</v>
      </c>
      <c r="G22" s="10">
        <v>20</v>
      </c>
      <c r="H22" s="13">
        <f>7200+3600</f>
        <v>10800</v>
      </c>
      <c r="I22" s="14"/>
    </row>
    <row r="23" spans="1:9" s="4" customFormat="1" ht="15" customHeight="1" x14ac:dyDescent="0.2">
      <c r="A23" s="2"/>
      <c r="B23" s="10">
        <v>17</v>
      </c>
      <c r="C23" s="11">
        <v>4000000291</v>
      </c>
      <c r="D23" s="11" t="s">
        <v>99</v>
      </c>
      <c r="E23" s="11" t="s">
        <v>104</v>
      </c>
      <c r="F23" s="12" t="s">
        <v>20</v>
      </c>
      <c r="G23" s="10">
        <v>21</v>
      </c>
      <c r="H23" s="13">
        <f>9000+8500+7500+4000</f>
        <v>29000</v>
      </c>
      <c r="I23" s="14"/>
    </row>
    <row r="24" spans="1:9" s="4" customFormat="1" ht="15" customHeight="1" x14ac:dyDescent="0.2">
      <c r="A24" s="2"/>
      <c r="B24" s="10">
        <v>18</v>
      </c>
      <c r="C24" s="11">
        <v>4000000721</v>
      </c>
      <c r="D24" s="11" t="s">
        <v>99</v>
      </c>
      <c r="E24" s="11" t="s">
        <v>21</v>
      </c>
      <c r="F24" s="12" t="s">
        <v>21</v>
      </c>
      <c r="G24" s="10">
        <v>22</v>
      </c>
      <c r="H24" s="13">
        <f>3850+1350+1380+1000+850+850+700</f>
        <v>9980</v>
      </c>
      <c r="I24" s="14"/>
    </row>
    <row r="25" spans="1:9" s="4" customFormat="1" ht="15" customHeight="1" x14ac:dyDescent="0.2">
      <c r="A25" s="2"/>
      <c r="B25" s="10">
        <v>19</v>
      </c>
      <c r="C25" s="11">
        <v>4000000416</v>
      </c>
      <c r="D25" s="11" t="s">
        <v>99</v>
      </c>
      <c r="E25" s="11" t="s">
        <v>105</v>
      </c>
      <c r="F25" s="12" t="s">
        <v>22</v>
      </c>
      <c r="G25" s="10">
        <v>23</v>
      </c>
      <c r="H25" s="13">
        <f>1629+793+5273</f>
        <v>7695</v>
      </c>
      <c r="I25" s="14"/>
    </row>
    <row r="26" spans="1:9" s="4" customFormat="1" ht="15" customHeight="1" x14ac:dyDescent="0.2">
      <c r="A26" s="2"/>
      <c r="B26" s="10">
        <v>20</v>
      </c>
      <c r="C26" s="11">
        <v>4000000417</v>
      </c>
      <c r="D26" s="11" t="s">
        <v>99</v>
      </c>
      <c r="E26" s="11" t="s">
        <v>106</v>
      </c>
      <c r="F26" s="12" t="s">
        <v>23</v>
      </c>
      <c r="G26" s="10">
        <v>24</v>
      </c>
      <c r="H26" s="13">
        <f>3600+2400+2400+2400+3600</f>
        <v>14400</v>
      </c>
      <c r="I26" s="14"/>
    </row>
    <row r="27" spans="1:9" s="4" customFormat="1" ht="15" customHeight="1" x14ac:dyDescent="0.2">
      <c r="A27" s="2"/>
      <c r="B27" s="10">
        <v>21</v>
      </c>
      <c r="C27" s="11">
        <v>4000000441</v>
      </c>
      <c r="D27" s="11" t="s">
        <v>99</v>
      </c>
      <c r="E27" s="11" t="s">
        <v>107</v>
      </c>
      <c r="F27" s="12" t="s">
        <v>24</v>
      </c>
      <c r="G27" s="10">
        <v>26</v>
      </c>
      <c r="H27" s="13">
        <f>120+32</f>
        <v>152</v>
      </c>
      <c r="I27" s="14"/>
    </row>
    <row r="28" spans="1:9" s="4" customFormat="1" ht="15" customHeight="1" x14ac:dyDescent="0.2">
      <c r="A28" s="2"/>
      <c r="B28" s="10">
        <v>22</v>
      </c>
      <c r="C28" s="11">
        <v>4000000531</v>
      </c>
      <c r="D28" s="11" t="s">
        <v>99</v>
      </c>
      <c r="E28" s="11" t="s">
        <v>108</v>
      </c>
      <c r="F28" s="12" t="s">
        <v>25</v>
      </c>
      <c r="G28" s="10">
        <v>27</v>
      </c>
      <c r="H28" s="13">
        <f>690+70+50+250+730</f>
        <v>1790</v>
      </c>
      <c r="I28" s="14"/>
    </row>
    <row r="29" spans="1:9" s="4" customFormat="1" ht="15" customHeight="1" x14ac:dyDescent="0.2">
      <c r="A29" s="2"/>
      <c r="B29" s="10">
        <v>23</v>
      </c>
      <c r="C29" s="11">
        <v>4000000552</v>
      </c>
      <c r="D29" s="11" t="s">
        <v>99</v>
      </c>
      <c r="E29" s="11" t="s">
        <v>165</v>
      </c>
      <c r="F29" s="12" t="s">
        <v>26</v>
      </c>
      <c r="G29" s="10">
        <v>28</v>
      </c>
      <c r="H29" s="13">
        <f>24947+7026+4130+5019</f>
        <v>41122</v>
      </c>
      <c r="I29" s="14"/>
    </row>
    <row r="30" spans="1:9" s="4" customFormat="1" ht="15" customHeight="1" x14ac:dyDescent="0.2">
      <c r="A30" s="2"/>
      <c r="B30" s="10">
        <v>24</v>
      </c>
      <c r="C30" s="11">
        <v>4000000162</v>
      </c>
      <c r="D30" s="11" t="s">
        <v>99</v>
      </c>
      <c r="E30" s="11" t="s">
        <v>27</v>
      </c>
      <c r="F30" s="12" t="s">
        <v>27</v>
      </c>
      <c r="G30" s="10">
        <v>33</v>
      </c>
      <c r="H30" s="13">
        <f>1200+600</f>
        <v>1800</v>
      </c>
      <c r="I30" s="14"/>
    </row>
    <row r="31" spans="1:9" s="4" customFormat="1" ht="15" customHeight="1" x14ac:dyDescent="0.2">
      <c r="A31" s="2"/>
      <c r="B31" s="10">
        <v>25</v>
      </c>
      <c r="C31" s="1">
        <v>4000000351</v>
      </c>
      <c r="D31" s="11" t="s">
        <v>99</v>
      </c>
      <c r="E31" s="11" t="s">
        <v>158</v>
      </c>
      <c r="F31" s="12" t="s">
        <v>28</v>
      </c>
      <c r="G31" s="10">
        <v>49</v>
      </c>
      <c r="H31" s="13">
        <f>4800+2400</f>
        <v>7200</v>
      </c>
      <c r="I31" s="14"/>
    </row>
    <row r="32" spans="1:9" s="4" customFormat="1" ht="15" customHeight="1" x14ac:dyDescent="0.2">
      <c r="A32" s="2"/>
      <c r="B32" s="10">
        <v>26</v>
      </c>
      <c r="C32" s="11">
        <v>4000000384</v>
      </c>
      <c r="D32" s="11" t="s">
        <v>99</v>
      </c>
      <c r="E32" s="11" t="s">
        <v>109</v>
      </c>
      <c r="F32" s="12" t="s">
        <v>29</v>
      </c>
      <c r="G32" s="10">
        <v>50</v>
      </c>
      <c r="H32" s="13">
        <f>6505+2585+1885+2240+1749+2170+2240</f>
        <v>19374</v>
      </c>
      <c r="I32" s="14"/>
    </row>
    <row r="33" spans="1:9" s="4" customFormat="1" ht="15" customHeight="1" x14ac:dyDescent="0.2">
      <c r="A33" s="2"/>
      <c r="B33" s="10">
        <v>27</v>
      </c>
      <c r="C33" s="11">
        <v>4000000591</v>
      </c>
      <c r="D33" s="11" t="s">
        <v>99</v>
      </c>
      <c r="E33" s="11" t="s">
        <v>30</v>
      </c>
      <c r="F33" s="12" t="s">
        <v>30</v>
      </c>
      <c r="G33" s="10">
        <v>57</v>
      </c>
      <c r="H33" s="13">
        <f>780+450+500+200+500+950</f>
        <v>3380</v>
      </c>
      <c r="I33" s="14"/>
    </row>
    <row r="34" spans="1:9" s="4" customFormat="1" ht="15" customHeight="1" x14ac:dyDescent="0.2">
      <c r="A34" s="2"/>
      <c r="B34" s="10">
        <v>28</v>
      </c>
      <c r="C34" s="11">
        <v>2000000531</v>
      </c>
      <c r="D34" s="11" t="s">
        <v>110</v>
      </c>
      <c r="E34" s="11" t="s">
        <v>111</v>
      </c>
      <c r="F34" s="12" t="s">
        <v>31</v>
      </c>
      <c r="G34" s="10">
        <v>58</v>
      </c>
      <c r="H34" s="13">
        <v>0</v>
      </c>
      <c r="I34" s="13">
        <v>0.5</v>
      </c>
    </row>
    <row r="35" spans="1:9" s="4" customFormat="1" ht="15" customHeight="1" x14ac:dyDescent="0.2">
      <c r="A35" s="2"/>
      <c r="B35" s="10">
        <v>29</v>
      </c>
      <c r="C35" s="11">
        <v>4000000641</v>
      </c>
      <c r="D35" s="11" t="s">
        <v>99</v>
      </c>
      <c r="E35" s="11" t="s">
        <v>112</v>
      </c>
      <c r="F35" s="12" t="s">
        <v>32</v>
      </c>
      <c r="G35" s="10">
        <v>63</v>
      </c>
      <c r="H35" s="13">
        <f>790+1000+480+350</f>
        <v>2620</v>
      </c>
      <c r="I35" s="14"/>
    </row>
    <row r="36" spans="1:9" ht="15.75" customHeight="1" x14ac:dyDescent="0.2">
      <c r="B36" s="10">
        <v>30</v>
      </c>
      <c r="C36" s="11">
        <v>4000000774</v>
      </c>
      <c r="D36" s="11" t="s">
        <v>99</v>
      </c>
      <c r="E36" s="11" t="s">
        <v>113</v>
      </c>
      <c r="F36" s="12" t="s">
        <v>33</v>
      </c>
      <c r="G36" s="10">
        <v>64</v>
      </c>
      <c r="H36" s="13">
        <f>108400+37400+29400+37200+29200+32200+33200</f>
        <v>307000</v>
      </c>
      <c r="I36" s="14"/>
    </row>
    <row r="37" spans="1:9" ht="14.25" customHeight="1" x14ac:dyDescent="0.2">
      <c r="B37" s="10">
        <v>31</v>
      </c>
      <c r="C37" s="11">
        <v>4000000693</v>
      </c>
      <c r="D37" s="11" t="s">
        <v>99</v>
      </c>
      <c r="E37" s="11" t="s">
        <v>167</v>
      </c>
      <c r="F37" s="12" t="s">
        <v>34</v>
      </c>
      <c r="G37" s="10">
        <v>66</v>
      </c>
      <c r="H37" s="15">
        <f>4710+1550+1180</f>
        <v>7440</v>
      </c>
      <c r="I37" s="14"/>
    </row>
    <row r="38" spans="1:9" ht="14.25" customHeight="1" x14ac:dyDescent="0.2">
      <c r="B38" s="10">
        <v>32</v>
      </c>
      <c r="C38" s="11">
        <v>4000000884</v>
      </c>
      <c r="D38" s="11" t="s">
        <v>99</v>
      </c>
      <c r="E38" s="11" t="s">
        <v>114</v>
      </c>
      <c r="F38" s="12" t="s">
        <v>35</v>
      </c>
      <c r="G38" s="10">
        <v>82</v>
      </c>
      <c r="H38" s="15">
        <v>30684</v>
      </c>
      <c r="I38" s="14"/>
    </row>
    <row r="39" spans="1:9" ht="15.75" customHeight="1" x14ac:dyDescent="0.2">
      <c r="B39" s="10">
        <v>33</v>
      </c>
      <c r="C39" s="11">
        <v>4000000812</v>
      </c>
      <c r="D39" s="11" t="s">
        <v>99</v>
      </c>
      <c r="E39" s="11" t="s">
        <v>115</v>
      </c>
      <c r="F39" s="12" t="s">
        <v>36</v>
      </c>
      <c r="G39" s="10">
        <v>83</v>
      </c>
      <c r="H39" s="13">
        <f>13153+4450+4420+4100+3920+2000+3850</f>
        <v>35893</v>
      </c>
      <c r="I39" s="14"/>
    </row>
    <row r="40" spans="1:9" ht="17.25" customHeight="1" x14ac:dyDescent="0.2">
      <c r="B40" s="10">
        <v>34</v>
      </c>
      <c r="C40" s="11">
        <v>4000000813</v>
      </c>
      <c r="D40" s="11" t="s">
        <v>99</v>
      </c>
      <c r="E40" s="11" t="s">
        <v>116</v>
      </c>
      <c r="F40" s="12" t="s">
        <v>37</v>
      </c>
      <c r="G40" s="10">
        <v>84</v>
      </c>
      <c r="H40" s="13">
        <f>630+190+180+228+208+240+252</f>
        <v>1928</v>
      </c>
      <c r="I40" s="14"/>
    </row>
    <row r="41" spans="1:9" ht="16.5" customHeight="1" x14ac:dyDescent="0.2">
      <c r="B41" s="10">
        <v>35</v>
      </c>
      <c r="C41" s="11">
        <v>4000000902</v>
      </c>
      <c r="D41" s="11" t="s">
        <v>99</v>
      </c>
      <c r="E41" s="11" t="s">
        <v>166</v>
      </c>
      <c r="F41" s="12" t="s">
        <v>38</v>
      </c>
      <c r="G41" s="10">
        <v>90</v>
      </c>
      <c r="H41" s="13">
        <v>0</v>
      </c>
      <c r="I41" s="14">
        <f>4000+5100</f>
        <v>9100</v>
      </c>
    </row>
    <row r="42" spans="1:9" ht="17.25" customHeight="1" x14ac:dyDescent="0.2">
      <c r="B42" s="10">
        <v>36</v>
      </c>
      <c r="C42" s="11">
        <v>4000000473</v>
      </c>
      <c r="D42" s="11" t="s">
        <v>99</v>
      </c>
      <c r="E42" s="11" t="s">
        <v>117</v>
      </c>
      <c r="F42" s="12" t="s">
        <v>39</v>
      </c>
      <c r="G42" s="10">
        <v>93</v>
      </c>
      <c r="H42" s="13">
        <f>700+1900</f>
        <v>2600</v>
      </c>
      <c r="I42" s="13"/>
    </row>
    <row r="43" spans="1:9" ht="17.25" customHeight="1" x14ac:dyDescent="0.2">
      <c r="B43" s="10">
        <v>37</v>
      </c>
      <c r="C43" s="11">
        <v>4000000474</v>
      </c>
      <c r="D43" s="11" t="s">
        <v>99</v>
      </c>
      <c r="E43" s="11" t="s">
        <v>118</v>
      </c>
      <c r="F43" s="12" t="s">
        <v>40</v>
      </c>
      <c r="G43" s="10">
        <v>94</v>
      </c>
      <c r="H43" s="13">
        <f>250+50+2000</f>
        <v>2300</v>
      </c>
      <c r="I43" s="13"/>
    </row>
    <row r="44" spans="1:9" s="4" customFormat="1" ht="15" customHeight="1" x14ac:dyDescent="0.2">
      <c r="A44" s="2"/>
      <c r="B44" s="10">
        <v>38</v>
      </c>
      <c r="C44" s="11">
        <v>4000000488</v>
      </c>
      <c r="D44" s="11" t="s">
        <v>99</v>
      </c>
      <c r="E44" s="11" t="s">
        <v>119</v>
      </c>
      <c r="F44" s="12" t="s">
        <v>41</v>
      </c>
      <c r="G44" s="10">
        <v>99</v>
      </c>
      <c r="H44" s="13">
        <f>750+250</f>
        <v>1000</v>
      </c>
      <c r="I44" s="13"/>
    </row>
    <row r="45" spans="1:9" s="4" customFormat="1" ht="15" customHeight="1" x14ac:dyDescent="0.2">
      <c r="A45" s="2"/>
      <c r="B45" s="10">
        <v>39</v>
      </c>
      <c r="C45" s="11">
        <v>4000000482</v>
      </c>
      <c r="D45" s="11" t="s">
        <v>99</v>
      </c>
      <c r="E45" s="11" t="s">
        <v>120</v>
      </c>
      <c r="F45" s="12" t="s">
        <v>42</v>
      </c>
      <c r="G45" s="10">
        <v>101</v>
      </c>
      <c r="H45" s="13">
        <f>3700+300+50+3150+600+950+1850</f>
        <v>10600</v>
      </c>
      <c r="I45" s="13"/>
    </row>
    <row r="46" spans="1:9" s="4" customFormat="1" ht="15" customHeight="1" x14ac:dyDescent="0.2">
      <c r="A46" s="2"/>
      <c r="B46" s="10">
        <v>40</v>
      </c>
      <c r="C46" s="11">
        <v>4000000483</v>
      </c>
      <c r="D46" s="11" t="s">
        <v>99</v>
      </c>
      <c r="E46" s="11" t="s">
        <v>121</v>
      </c>
      <c r="F46" s="12" t="s">
        <v>43</v>
      </c>
      <c r="G46" s="10">
        <v>102</v>
      </c>
      <c r="H46" s="13">
        <v>750</v>
      </c>
      <c r="I46" s="13"/>
    </row>
    <row r="47" spans="1:9" s="4" customFormat="1" ht="15" customHeight="1" x14ac:dyDescent="0.2">
      <c r="A47" s="2"/>
      <c r="B47" s="10">
        <v>41</v>
      </c>
      <c r="C47" s="11">
        <v>4000000485</v>
      </c>
      <c r="D47" s="11" t="s">
        <v>99</v>
      </c>
      <c r="E47" s="11" t="s">
        <v>122</v>
      </c>
      <c r="F47" s="12" t="s">
        <v>44</v>
      </c>
      <c r="G47" s="10">
        <v>103</v>
      </c>
      <c r="H47" s="13">
        <v>1530</v>
      </c>
      <c r="I47" s="13"/>
    </row>
    <row r="48" spans="1:9" s="4" customFormat="1" ht="15" customHeight="1" x14ac:dyDescent="0.2">
      <c r="A48" s="2"/>
      <c r="B48" s="10">
        <v>42</v>
      </c>
      <c r="C48" s="11">
        <v>4000000486</v>
      </c>
      <c r="D48" s="11" t="s">
        <v>99</v>
      </c>
      <c r="E48" s="11" t="s">
        <v>123</v>
      </c>
      <c r="F48" s="12" t="s">
        <v>45</v>
      </c>
      <c r="G48" s="10">
        <v>104</v>
      </c>
      <c r="H48" s="13">
        <v>300</v>
      </c>
      <c r="I48" s="13"/>
    </row>
    <row r="49" spans="1:9" s="4" customFormat="1" ht="15" customHeight="1" x14ac:dyDescent="0.2">
      <c r="A49" s="2"/>
      <c r="B49" s="10">
        <v>43</v>
      </c>
      <c r="C49" s="11">
        <v>1000000494</v>
      </c>
      <c r="D49" s="11" t="s">
        <v>124</v>
      </c>
      <c r="E49" s="11" t="s">
        <v>46</v>
      </c>
      <c r="F49" s="12" t="s">
        <v>46</v>
      </c>
      <c r="G49" s="10">
        <v>111</v>
      </c>
      <c r="H49" s="13">
        <v>4000</v>
      </c>
      <c r="I49" s="13"/>
    </row>
    <row r="50" spans="1:9" s="4" customFormat="1" ht="15" customHeight="1" x14ac:dyDescent="0.2">
      <c r="A50" s="2"/>
      <c r="B50" s="10">
        <v>44</v>
      </c>
      <c r="C50" s="11">
        <v>1000000500</v>
      </c>
      <c r="D50" s="11" t="s">
        <v>124</v>
      </c>
      <c r="E50" s="11" t="s">
        <v>47</v>
      </c>
      <c r="F50" s="12" t="s">
        <v>47</v>
      </c>
      <c r="G50" s="10">
        <v>115</v>
      </c>
      <c r="H50" s="13">
        <v>166.1</v>
      </c>
      <c r="I50" s="13"/>
    </row>
    <row r="51" spans="1:9" s="4" customFormat="1" ht="15" customHeight="1" x14ac:dyDescent="0.2">
      <c r="A51" s="2"/>
      <c r="B51" s="10">
        <v>45</v>
      </c>
      <c r="C51" s="11">
        <v>1000001317</v>
      </c>
      <c r="D51" s="11" t="s">
        <v>124</v>
      </c>
      <c r="E51" s="11" t="s">
        <v>48</v>
      </c>
      <c r="F51" s="12" t="s">
        <v>48</v>
      </c>
      <c r="G51" s="10">
        <v>116</v>
      </c>
      <c r="H51" s="13">
        <v>45576</v>
      </c>
      <c r="I51" s="13">
        <v>0</v>
      </c>
    </row>
    <row r="52" spans="1:9" s="4" customFormat="1" ht="15" customHeight="1" x14ac:dyDescent="0.2">
      <c r="A52" s="2"/>
      <c r="B52" s="10">
        <v>46</v>
      </c>
      <c r="C52" s="11">
        <v>1000001319</v>
      </c>
      <c r="D52" s="11" t="s">
        <v>124</v>
      </c>
      <c r="E52" s="11" t="s">
        <v>49</v>
      </c>
      <c r="F52" s="12" t="s">
        <v>49</v>
      </c>
      <c r="G52" s="10">
        <v>118</v>
      </c>
      <c r="H52" s="13">
        <v>200</v>
      </c>
      <c r="I52" s="13">
        <v>0</v>
      </c>
    </row>
    <row r="53" spans="1:9" s="4" customFormat="1" ht="15" customHeight="1" x14ac:dyDescent="0.2">
      <c r="A53" s="2"/>
      <c r="B53" s="10">
        <v>47</v>
      </c>
      <c r="C53" s="11">
        <v>1000000015</v>
      </c>
      <c r="D53" s="11" t="s">
        <v>124</v>
      </c>
      <c r="E53" s="35" t="s">
        <v>125</v>
      </c>
      <c r="F53" s="36" t="s">
        <v>50</v>
      </c>
      <c r="G53" s="10">
        <v>119</v>
      </c>
      <c r="H53" s="13">
        <v>215114</v>
      </c>
      <c r="I53" s="13">
        <v>0</v>
      </c>
    </row>
    <row r="54" spans="1:9" s="4" customFormat="1" ht="15" customHeight="1" x14ac:dyDescent="0.2">
      <c r="A54" s="2"/>
      <c r="B54" s="10">
        <v>48</v>
      </c>
      <c r="C54" s="11">
        <v>1000000502</v>
      </c>
      <c r="D54" s="11" t="s">
        <v>124</v>
      </c>
      <c r="E54" s="11" t="s">
        <v>161</v>
      </c>
      <c r="F54" s="12" t="s">
        <v>51</v>
      </c>
      <c r="G54" s="10">
        <v>122</v>
      </c>
      <c r="H54" s="13">
        <v>18643</v>
      </c>
      <c r="I54" s="13"/>
    </row>
    <row r="55" spans="1:9" s="4" customFormat="1" ht="15" customHeight="1" x14ac:dyDescent="0.2">
      <c r="A55" s="2"/>
      <c r="B55" s="10">
        <v>49</v>
      </c>
      <c r="C55" s="11">
        <v>1000000497</v>
      </c>
      <c r="D55" s="11" t="s">
        <v>124</v>
      </c>
      <c r="E55" s="11" t="s">
        <v>126</v>
      </c>
      <c r="F55" s="12" t="s">
        <v>52</v>
      </c>
      <c r="G55" s="10">
        <v>127</v>
      </c>
      <c r="H55" s="13">
        <v>0</v>
      </c>
      <c r="I55" s="13"/>
    </row>
    <row r="56" spans="1:9" s="4" customFormat="1" ht="15" customHeight="1" x14ac:dyDescent="0.2">
      <c r="A56" s="2"/>
      <c r="B56" s="10">
        <v>50</v>
      </c>
      <c r="C56" s="11">
        <v>3000000154</v>
      </c>
      <c r="D56" s="11" t="s">
        <v>127</v>
      </c>
      <c r="E56" s="11" t="s">
        <v>53</v>
      </c>
      <c r="F56" s="12" t="s">
        <v>53</v>
      </c>
      <c r="G56" s="10">
        <v>136</v>
      </c>
      <c r="H56" s="13"/>
      <c r="I56" s="13">
        <f>3858947+395404+822019+362849+18635</f>
        <v>5457854</v>
      </c>
    </row>
    <row r="57" spans="1:9" s="4" customFormat="1" ht="15" customHeight="1" x14ac:dyDescent="0.2">
      <c r="A57" s="2"/>
      <c r="B57" s="10">
        <v>51</v>
      </c>
      <c r="C57" s="11">
        <v>3000000155</v>
      </c>
      <c r="D57" s="11" t="s">
        <v>127</v>
      </c>
      <c r="E57" s="11" t="s">
        <v>54</v>
      </c>
      <c r="F57" s="12" t="s">
        <v>54</v>
      </c>
      <c r="G57" s="10">
        <v>137</v>
      </c>
      <c r="H57" s="13"/>
      <c r="I57" s="13">
        <f>4710+1392+106420+855670+4598</f>
        <v>972790</v>
      </c>
    </row>
    <row r="58" spans="1:9" ht="16.2" customHeight="1" x14ac:dyDescent="0.2">
      <c r="B58" s="10">
        <v>52</v>
      </c>
      <c r="C58" s="11">
        <v>3000000157</v>
      </c>
      <c r="D58" s="11" t="s">
        <v>127</v>
      </c>
      <c r="E58" s="11" t="s">
        <v>128</v>
      </c>
      <c r="F58" s="12" t="s">
        <v>55</v>
      </c>
      <c r="G58" s="10">
        <v>138</v>
      </c>
      <c r="H58" s="13"/>
      <c r="I58" s="13">
        <f>6052099+2003156+2871340+3069160+1786763+336525+70372+212346+2276778+4816426+991365</f>
        <v>24486330</v>
      </c>
    </row>
    <row r="59" spans="1:9" ht="18" customHeight="1" x14ac:dyDescent="0.2">
      <c r="B59" s="10">
        <v>53</v>
      </c>
      <c r="C59" s="11">
        <v>3000000158</v>
      </c>
      <c r="D59" s="11" t="s">
        <v>127</v>
      </c>
      <c r="E59" s="11" t="s">
        <v>129</v>
      </c>
      <c r="F59" s="12" t="s">
        <v>56</v>
      </c>
      <c r="G59" s="10">
        <v>142</v>
      </c>
      <c r="H59" s="13"/>
      <c r="I59" s="13">
        <f>2968055+649236+74048+2645555+1586843+856792+2784938</f>
        <v>11565467</v>
      </c>
    </row>
    <row r="60" spans="1:9" ht="17.399999999999999" customHeight="1" x14ac:dyDescent="0.2">
      <c r="B60" s="10">
        <v>54</v>
      </c>
      <c r="C60" s="11">
        <v>3000000164</v>
      </c>
      <c r="D60" s="11" t="s">
        <v>127</v>
      </c>
      <c r="E60" s="11" t="s">
        <v>57</v>
      </c>
      <c r="F60" s="12" t="s">
        <v>57</v>
      </c>
      <c r="G60" s="10">
        <v>143</v>
      </c>
      <c r="H60" s="13"/>
      <c r="I60" s="13">
        <f>427653+5254+3392+121470</f>
        <v>557769</v>
      </c>
    </row>
    <row r="61" spans="1:9" ht="16.5" customHeight="1" x14ac:dyDescent="0.2">
      <c r="B61" s="10">
        <v>55</v>
      </c>
      <c r="C61" s="11">
        <v>3000000178</v>
      </c>
      <c r="D61" s="11" t="s">
        <v>127</v>
      </c>
      <c r="E61" s="11" t="s">
        <v>130</v>
      </c>
      <c r="F61" s="12" t="s">
        <v>58</v>
      </c>
      <c r="G61" s="10">
        <v>144</v>
      </c>
      <c r="H61" s="13"/>
      <c r="I61" s="13">
        <f>5386686+1304671+188551+621260+1921400</f>
        <v>9422568</v>
      </c>
    </row>
    <row r="62" spans="1:9" ht="14.55" customHeight="1" x14ac:dyDescent="0.2">
      <c r="B62" s="10">
        <v>56</v>
      </c>
      <c r="C62" s="11">
        <v>3000000184</v>
      </c>
      <c r="D62" s="11" t="s">
        <v>127</v>
      </c>
      <c r="E62" s="11" t="s">
        <v>131</v>
      </c>
      <c r="F62" s="12" t="s">
        <v>59</v>
      </c>
      <c r="G62" s="10">
        <v>148</v>
      </c>
      <c r="H62" s="13"/>
      <c r="I62" s="13">
        <f>54614+14345+35640+64161</f>
        <v>168760</v>
      </c>
    </row>
    <row r="63" spans="1:9" ht="15" customHeight="1" x14ac:dyDescent="0.2">
      <c r="B63" s="10">
        <v>57</v>
      </c>
      <c r="C63" s="11">
        <v>3000000181</v>
      </c>
      <c r="D63" s="11" t="s">
        <v>127</v>
      </c>
      <c r="E63" s="11" t="s">
        <v>60</v>
      </c>
      <c r="F63" s="16" t="s">
        <v>60</v>
      </c>
      <c r="G63" s="17">
        <v>150</v>
      </c>
      <c r="H63" s="18"/>
      <c r="I63" s="18">
        <f>807484+219347+56093+750+7950+1391058+506033</f>
        <v>2988715</v>
      </c>
    </row>
    <row r="64" spans="1:9" ht="13.2" customHeight="1" x14ac:dyDescent="0.2">
      <c r="B64" s="10">
        <v>58</v>
      </c>
      <c r="C64" s="11">
        <v>3000000182</v>
      </c>
      <c r="D64" s="11" t="s">
        <v>127</v>
      </c>
      <c r="E64" s="11" t="s">
        <v>61</v>
      </c>
      <c r="F64" s="12" t="s">
        <v>61</v>
      </c>
      <c r="G64" s="10">
        <v>151</v>
      </c>
      <c r="H64" s="13"/>
      <c r="I64" s="13">
        <v>12572</v>
      </c>
    </row>
    <row r="65" spans="1:9" ht="13.5" customHeight="1" x14ac:dyDescent="0.2">
      <c r="B65" s="10">
        <v>59</v>
      </c>
      <c r="C65" s="11">
        <v>2000000206</v>
      </c>
      <c r="D65" s="11" t="s">
        <v>110</v>
      </c>
      <c r="E65" s="11" t="s">
        <v>132</v>
      </c>
      <c r="F65" s="12" t="s">
        <v>62</v>
      </c>
      <c r="G65" s="10">
        <v>190</v>
      </c>
      <c r="H65" s="13">
        <v>0</v>
      </c>
      <c r="I65" s="13">
        <v>64271641</v>
      </c>
    </row>
    <row r="66" spans="1:9" ht="13.05" customHeight="1" x14ac:dyDescent="0.2">
      <c r="B66" s="10">
        <v>60</v>
      </c>
      <c r="C66" s="11">
        <v>2000000207</v>
      </c>
      <c r="D66" s="11" t="s">
        <v>110</v>
      </c>
      <c r="E66" s="11" t="s">
        <v>133</v>
      </c>
      <c r="F66" s="12" t="s">
        <v>63</v>
      </c>
      <c r="G66" s="10">
        <v>191</v>
      </c>
      <c r="H66" s="13"/>
      <c r="I66" s="13">
        <v>5791</v>
      </c>
    </row>
    <row r="67" spans="1:9" x14ac:dyDescent="0.2">
      <c r="B67" s="10">
        <v>61</v>
      </c>
      <c r="C67" s="11">
        <v>1000001451</v>
      </c>
      <c r="D67" s="11"/>
      <c r="E67" s="12" t="s">
        <v>64</v>
      </c>
      <c r="F67" s="12" t="s">
        <v>64</v>
      </c>
      <c r="G67" s="10">
        <v>202</v>
      </c>
      <c r="H67" s="13">
        <v>113253873.95</v>
      </c>
      <c r="I67" s="15"/>
    </row>
    <row r="68" spans="1:9" x14ac:dyDescent="0.2">
      <c r="B68" s="10">
        <v>62</v>
      </c>
      <c r="C68" s="11">
        <v>3000000015</v>
      </c>
      <c r="D68" s="11" t="s">
        <v>127</v>
      </c>
      <c r="E68" s="11" t="s">
        <v>134</v>
      </c>
      <c r="F68" s="12" t="s">
        <v>65</v>
      </c>
      <c r="G68" s="10">
        <v>204</v>
      </c>
      <c r="H68" s="13"/>
      <c r="I68" s="13">
        <f>3864+552+552+276+552+276+552+276+552</f>
        <v>7452</v>
      </c>
    </row>
    <row r="69" spans="1:9" ht="15" customHeight="1" x14ac:dyDescent="0.2">
      <c r="B69" s="10">
        <v>63</v>
      </c>
      <c r="C69" s="11">
        <v>3000000014</v>
      </c>
      <c r="D69" s="11" t="s">
        <v>127</v>
      </c>
      <c r="E69" s="11" t="s">
        <v>162</v>
      </c>
      <c r="F69" s="12" t="s">
        <v>66</v>
      </c>
      <c r="G69" s="10">
        <v>205</v>
      </c>
      <c r="H69" s="13"/>
      <c r="I69" s="13">
        <v>82362</v>
      </c>
    </row>
    <row r="70" spans="1:9" x14ac:dyDescent="0.2">
      <c r="B70" s="10">
        <v>64</v>
      </c>
      <c r="C70" s="11">
        <v>4000001263</v>
      </c>
      <c r="D70" s="11" t="s">
        <v>99</v>
      </c>
      <c r="E70" s="11" t="s">
        <v>135</v>
      </c>
      <c r="F70" s="12" t="s">
        <v>67</v>
      </c>
      <c r="G70" s="10">
        <v>223</v>
      </c>
      <c r="H70" s="13">
        <f>85315+3000+1340+124140+4800+4650+4155.25+1400+167450+1470</f>
        <v>397720.25</v>
      </c>
      <c r="I70" s="13"/>
    </row>
    <row r="71" spans="1:9" s="4" customFormat="1" ht="15" customHeight="1" x14ac:dyDescent="0.2">
      <c r="A71" s="2"/>
      <c r="B71" s="10">
        <v>65</v>
      </c>
      <c r="C71" s="11">
        <v>4000001264</v>
      </c>
      <c r="D71" s="11" t="s">
        <v>99</v>
      </c>
      <c r="E71" s="11" t="s">
        <v>136</v>
      </c>
      <c r="F71" s="12" t="s">
        <v>68</v>
      </c>
      <c r="G71" s="10">
        <v>224</v>
      </c>
      <c r="H71" s="13">
        <f>20728+1500+7300+4800+18958+1900</f>
        <v>55186</v>
      </c>
      <c r="I71" s="13"/>
    </row>
    <row r="72" spans="1:9" s="4" customFormat="1" ht="15" customHeight="1" x14ac:dyDescent="0.2">
      <c r="A72" s="2"/>
      <c r="B72" s="10">
        <v>66</v>
      </c>
      <c r="C72" s="11">
        <v>2000000458</v>
      </c>
      <c r="D72" s="11" t="s">
        <v>110</v>
      </c>
      <c r="E72" s="35" t="s">
        <v>137</v>
      </c>
      <c r="F72" s="36" t="s">
        <v>69</v>
      </c>
      <c r="G72" s="10">
        <v>233</v>
      </c>
      <c r="H72" s="13"/>
      <c r="I72" s="13"/>
    </row>
    <row r="73" spans="1:9" s="4" customFormat="1" ht="15" customHeight="1" x14ac:dyDescent="0.2">
      <c r="A73" s="2"/>
      <c r="B73" s="10">
        <v>67</v>
      </c>
      <c r="C73" s="11">
        <v>1000000576</v>
      </c>
      <c r="D73" s="11" t="s">
        <v>124</v>
      </c>
      <c r="E73" s="11" t="s">
        <v>138</v>
      </c>
      <c r="F73" s="12" t="s">
        <v>70</v>
      </c>
      <c r="G73" s="10">
        <v>235</v>
      </c>
      <c r="H73" s="13"/>
      <c r="I73" s="13"/>
    </row>
    <row r="74" spans="1:9" s="4" customFormat="1" ht="15" customHeight="1" x14ac:dyDescent="0.2">
      <c r="A74" s="2"/>
      <c r="B74" s="10">
        <v>68</v>
      </c>
      <c r="C74" s="11">
        <v>2000000940</v>
      </c>
      <c r="D74" s="11" t="s">
        <v>110</v>
      </c>
      <c r="E74" s="35" t="s">
        <v>139</v>
      </c>
      <c r="F74" s="36" t="s">
        <v>71</v>
      </c>
      <c r="G74" s="10">
        <v>236</v>
      </c>
      <c r="H74" s="13"/>
      <c r="I74" s="13"/>
    </row>
    <row r="75" spans="1:9" s="4" customFormat="1" ht="15" customHeight="1" x14ac:dyDescent="0.2">
      <c r="A75" s="2"/>
      <c r="B75" s="10">
        <v>69</v>
      </c>
      <c r="C75" s="11">
        <v>2000000436</v>
      </c>
      <c r="D75" s="11" t="s">
        <v>110</v>
      </c>
      <c r="E75" s="11" t="s">
        <v>140</v>
      </c>
      <c r="F75" s="12" t="s">
        <v>72</v>
      </c>
      <c r="G75" s="10">
        <v>238</v>
      </c>
      <c r="H75" s="13"/>
      <c r="I75" s="13">
        <v>60</v>
      </c>
    </row>
    <row r="76" spans="1:9" s="4" customFormat="1" ht="15" customHeight="1" x14ac:dyDescent="0.2">
      <c r="A76" s="2"/>
      <c r="B76" s="10">
        <v>70</v>
      </c>
      <c r="C76" s="11">
        <v>3000000125</v>
      </c>
      <c r="D76" s="11" t="s">
        <v>127</v>
      </c>
      <c r="E76" s="11" t="s">
        <v>141</v>
      </c>
      <c r="F76" s="12" t="s">
        <v>73</v>
      </c>
      <c r="G76" s="10">
        <v>241</v>
      </c>
      <c r="H76" s="13"/>
      <c r="I76" s="13">
        <f>28800+9600+9600+9600+19756+19756+19756</f>
        <v>116868</v>
      </c>
    </row>
    <row r="77" spans="1:9" s="4" customFormat="1" ht="15" customHeight="1" x14ac:dyDescent="0.2">
      <c r="A77" s="2"/>
      <c r="B77" s="10">
        <v>71</v>
      </c>
      <c r="C77" s="11">
        <v>1000001402</v>
      </c>
      <c r="D77" s="11" t="s">
        <v>124</v>
      </c>
      <c r="E77" s="11" t="s">
        <v>74</v>
      </c>
      <c r="F77" s="12" t="s">
        <v>74</v>
      </c>
      <c r="G77" s="10">
        <v>242</v>
      </c>
      <c r="H77" s="13"/>
      <c r="I77" s="13">
        <v>10222126.6</v>
      </c>
    </row>
    <row r="78" spans="1:9" s="4" customFormat="1" ht="15" customHeight="1" x14ac:dyDescent="0.2">
      <c r="A78" s="2"/>
      <c r="B78" s="10">
        <v>72</v>
      </c>
      <c r="C78" s="11">
        <v>4000000701</v>
      </c>
      <c r="D78" s="11" t="s">
        <v>99</v>
      </c>
      <c r="E78" s="11" t="s">
        <v>142</v>
      </c>
      <c r="F78" s="12" t="s">
        <v>75</v>
      </c>
      <c r="G78" s="10">
        <v>251</v>
      </c>
      <c r="H78" s="13">
        <f>660+85+90+865+850</f>
        <v>2550</v>
      </c>
      <c r="I78" s="13"/>
    </row>
    <row r="79" spans="1:9" s="4" customFormat="1" ht="15" customHeight="1" x14ac:dyDescent="0.2">
      <c r="A79" s="2"/>
      <c r="B79" s="10">
        <v>73</v>
      </c>
      <c r="C79" s="1">
        <v>4000000498</v>
      </c>
      <c r="D79" s="11" t="s">
        <v>99</v>
      </c>
      <c r="E79" s="12" t="s">
        <v>76</v>
      </c>
      <c r="F79" s="12" t="s">
        <v>76</v>
      </c>
      <c r="G79" s="10">
        <v>282</v>
      </c>
      <c r="H79" s="13">
        <v>20</v>
      </c>
      <c r="I79" s="13"/>
    </row>
    <row r="80" spans="1:9" s="4" customFormat="1" ht="15" customHeight="1" x14ac:dyDescent="0.2">
      <c r="A80" s="2"/>
      <c r="B80" s="10">
        <v>74</v>
      </c>
      <c r="C80" s="11">
        <v>3000000123</v>
      </c>
      <c r="D80" s="11" t="s">
        <v>127</v>
      </c>
      <c r="E80" s="11" t="s">
        <v>143</v>
      </c>
      <c r="F80" s="12" t="s">
        <v>77</v>
      </c>
      <c r="G80" s="10">
        <v>294</v>
      </c>
      <c r="H80" s="13"/>
      <c r="I80" s="13">
        <f>2925+975+975+975+1950+2580+2160</f>
        <v>12540</v>
      </c>
    </row>
    <row r="81" spans="1:9" s="4" customFormat="1" ht="15" customHeight="1" x14ac:dyDescent="0.2">
      <c r="A81" s="2"/>
      <c r="B81" s="10">
        <v>75</v>
      </c>
      <c r="C81" s="23">
        <v>1000001276</v>
      </c>
      <c r="D81" s="24" t="s">
        <v>124</v>
      </c>
      <c r="E81" s="37" t="s">
        <v>144</v>
      </c>
      <c r="F81" s="36" t="s">
        <v>78</v>
      </c>
      <c r="G81" s="10">
        <v>313</v>
      </c>
      <c r="H81" s="13">
        <v>8236</v>
      </c>
      <c r="I81" s="13"/>
    </row>
    <row r="82" spans="1:9" s="4" customFormat="1" ht="12" customHeight="1" x14ac:dyDescent="0.3">
      <c r="A82" s="2"/>
      <c r="B82" s="10">
        <v>76</v>
      </c>
      <c r="C82" s="25">
        <v>3000000122</v>
      </c>
      <c r="D82" s="25" t="s">
        <v>127</v>
      </c>
      <c r="E82" s="25" t="s">
        <v>79</v>
      </c>
      <c r="F82" s="12" t="s">
        <v>79</v>
      </c>
      <c r="G82" s="10">
        <v>316</v>
      </c>
      <c r="H82" s="13"/>
      <c r="I82" s="13">
        <f>1320+440+440+440+420+420+420</f>
        <v>3900</v>
      </c>
    </row>
    <row r="83" spans="1:9" s="4" customFormat="1" ht="14.25" customHeight="1" x14ac:dyDescent="0.2">
      <c r="A83" s="2"/>
      <c r="B83" s="10">
        <v>77</v>
      </c>
      <c r="C83" s="26">
        <v>2000000623</v>
      </c>
      <c r="D83" s="27" t="s">
        <v>110</v>
      </c>
      <c r="E83" s="28" t="s">
        <v>149</v>
      </c>
      <c r="F83" s="12" t="s">
        <v>80</v>
      </c>
      <c r="G83" s="10">
        <v>319</v>
      </c>
      <c r="H83" s="13"/>
      <c r="I83" s="13">
        <f>578842+59311+123304+54427+2796</f>
        <v>818680</v>
      </c>
    </row>
    <row r="84" spans="1:9" s="4" customFormat="1" ht="15" customHeight="1" x14ac:dyDescent="0.2">
      <c r="A84" s="2"/>
      <c r="B84" s="10">
        <v>78</v>
      </c>
      <c r="C84" s="26">
        <v>2000000624</v>
      </c>
      <c r="D84" s="27" t="s">
        <v>110</v>
      </c>
      <c r="E84" s="28" t="s">
        <v>150</v>
      </c>
      <c r="F84" s="12" t="s">
        <v>81</v>
      </c>
      <c r="G84" s="10">
        <v>320</v>
      </c>
      <c r="H84" s="13"/>
      <c r="I84" s="13">
        <f>916+15963+128351+690</f>
        <v>145920</v>
      </c>
    </row>
    <row r="85" spans="1:9" s="4" customFormat="1" ht="13.5" customHeight="1" x14ac:dyDescent="0.2">
      <c r="A85" s="2"/>
      <c r="B85" s="10">
        <v>79</v>
      </c>
      <c r="C85" s="26">
        <v>2000000626</v>
      </c>
      <c r="D85" s="27" t="s">
        <v>110</v>
      </c>
      <c r="E85" s="28" t="s">
        <v>151</v>
      </c>
      <c r="F85" s="12" t="s">
        <v>82</v>
      </c>
      <c r="G85" s="10">
        <v>321</v>
      </c>
      <c r="H85" s="13"/>
      <c r="I85" s="13">
        <f>907819+300475+430702+460375+268014+50480+10556+31852+341522+722469+148705</f>
        <v>3672969</v>
      </c>
    </row>
    <row r="86" spans="1:9" s="4" customFormat="1" ht="15" customHeight="1" x14ac:dyDescent="0.2">
      <c r="A86" s="2"/>
      <c r="B86" s="10">
        <v>80</v>
      </c>
      <c r="C86" s="26">
        <v>2000000632</v>
      </c>
      <c r="D86" s="27" t="s">
        <v>110</v>
      </c>
      <c r="E86" s="28" t="s">
        <v>152</v>
      </c>
      <c r="F86" s="12" t="s">
        <v>83</v>
      </c>
      <c r="G86" s="10">
        <v>323</v>
      </c>
      <c r="H86" s="13"/>
      <c r="I86" s="13">
        <f>445216+97384+11107+396833+238028+128519+417737</f>
        <v>1734824</v>
      </c>
    </row>
    <row r="87" spans="1:9" ht="13.5" customHeight="1" x14ac:dyDescent="0.2">
      <c r="B87" s="10">
        <v>81</v>
      </c>
      <c r="C87" s="26">
        <v>2000000633</v>
      </c>
      <c r="D87" s="27" t="s">
        <v>110</v>
      </c>
      <c r="E87" s="28" t="s">
        <v>153</v>
      </c>
      <c r="F87" s="12" t="s">
        <v>84</v>
      </c>
      <c r="G87" s="10">
        <v>324</v>
      </c>
      <c r="H87" s="13"/>
      <c r="I87" s="13">
        <f>64149+788+509+18221</f>
        <v>83667</v>
      </c>
    </row>
    <row r="88" spans="1:9" s="4" customFormat="1" ht="15" customHeight="1" x14ac:dyDescent="0.2">
      <c r="A88" s="2"/>
      <c r="B88" s="10">
        <v>82</v>
      </c>
      <c r="C88" s="26">
        <v>2000000638</v>
      </c>
      <c r="D88" s="27" t="s">
        <v>110</v>
      </c>
      <c r="E88" s="28" t="s">
        <v>154</v>
      </c>
      <c r="F88" s="12" t="s">
        <v>85</v>
      </c>
      <c r="G88" s="10">
        <v>325</v>
      </c>
      <c r="H88" s="13"/>
      <c r="I88" s="13">
        <f>808004+195701+28282+93189+288210</f>
        <v>1413386</v>
      </c>
    </row>
    <row r="89" spans="1:9" ht="15" customHeight="1" x14ac:dyDescent="0.2">
      <c r="B89" s="10">
        <v>83</v>
      </c>
      <c r="C89" s="26">
        <v>2000000641</v>
      </c>
      <c r="D89" s="27" t="s">
        <v>110</v>
      </c>
      <c r="E89" s="28" t="s">
        <v>155</v>
      </c>
      <c r="F89" s="12" t="s">
        <v>86</v>
      </c>
      <c r="G89" s="10">
        <v>327</v>
      </c>
      <c r="H89" s="13"/>
      <c r="I89" s="13">
        <f>8192+2152+5346+9624</f>
        <v>25314</v>
      </c>
    </row>
    <row r="90" spans="1:9" ht="15" customHeight="1" x14ac:dyDescent="0.2">
      <c r="B90" s="10">
        <v>84</v>
      </c>
      <c r="C90" s="26">
        <v>2000000635</v>
      </c>
      <c r="D90" s="27" t="s">
        <v>110</v>
      </c>
      <c r="E90" s="28" t="s">
        <v>156</v>
      </c>
      <c r="F90" s="12" t="s">
        <v>87</v>
      </c>
      <c r="G90" s="10">
        <v>328</v>
      </c>
      <c r="H90" s="13"/>
      <c r="I90" s="13">
        <f>121125+32902+8414+113+1193+208662+75905</f>
        <v>448314</v>
      </c>
    </row>
    <row r="91" spans="1:9" ht="12.75" customHeight="1" x14ac:dyDescent="0.2">
      <c r="B91" s="10">
        <v>85</v>
      </c>
      <c r="C91" s="26">
        <v>2000000636</v>
      </c>
      <c r="D91" s="27" t="s">
        <v>110</v>
      </c>
      <c r="E91" s="28" t="s">
        <v>157</v>
      </c>
      <c r="F91" s="12" t="s">
        <v>88</v>
      </c>
      <c r="G91" s="10">
        <v>329</v>
      </c>
      <c r="H91" s="13"/>
      <c r="I91" s="13">
        <v>1887</v>
      </c>
    </row>
    <row r="92" spans="1:9" s="4" customFormat="1" ht="15" customHeight="1" x14ac:dyDescent="0.2">
      <c r="A92" s="2"/>
      <c r="B92" s="10">
        <v>86</v>
      </c>
      <c r="C92" s="27">
        <v>1000000818</v>
      </c>
      <c r="D92" s="11" t="s">
        <v>124</v>
      </c>
      <c r="E92" s="29" t="s">
        <v>148</v>
      </c>
      <c r="F92" s="12" t="s">
        <v>89</v>
      </c>
      <c r="G92" s="10">
        <v>335</v>
      </c>
      <c r="H92" s="13">
        <v>19314648.449999999</v>
      </c>
      <c r="I92" s="13"/>
    </row>
    <row r="93" spans="1:9" s="4" customFormat="1" ht="15" customHeight="1" x14ac:dyDescent="0.2">
      <c r="A93" s="2"/>
      <c r="B93" s="10">
        <v>87</v>
      </c>
      <c r="C93" s="1">
        <v>4000000781</v>
      </c>
      <c r="D93" s="11" t="s">
        <v>99</v>
      </c>
      <c r="E93" s="12" t="s">
        <v>145</v>
      </c>
      <c r="F93" s="12" t="s">
        <v>90</v>
      </c>
      <c r="G93" s="10">
        <v>343</v>
      </c>
      <c r="H93" s="13">
        <v>9000</v>
      </c>
      <c r="I93" s="13"/>
    </row>
    <row r="94" spans="1:9" s="4" customFormat="1" ht="15" customHeight="1" x14ac:dyDescent="0.2">
      <c r="A94" s="2"/>
      <c r="B94" s="10">
        <v>88</v>
      </c>
      <c r="C94" s="30">
        <v>2000000648</v>
      </c>
      <c r="D94" s="11" t="s">
        <v>110</v>
      </c>
      <c r="E94" s="11" t="s">
        <v>146</v>
      </c>
      <c r="F94" s="12" t="s">
        <v>91</v>
      </c>
      <c r="G94" s="10">
        <v>362</v>
      </c>
      <c r="H94" s="13"/>
      <c r="I94" s="13">
        <v>30</v>
      </c>
    </row>
    <row r="95" spans="1:9" s="4" customFormat="1" ht="15" customHeight="1" x14ac:dyDescent="0.2">
      <c r="A95" s="2"/>
      <c r="B95" s="10">
        <v>89</v>
      </c>
      <c r="C95" s="1">
        <v>3000000200</v>
      </c>
      <c r="D95" s="11" t="s">
        <v>127</v>
      </c>
      <c r="E95" s="11" t="s">
        <v>92</v>
      </c>
      <c r="F95" s="12" t="s">
        <v>92</v>
      </c>
      <c r="G95" s="10">
        <v>386</v>
      </c>
      <c r="H95" s="13"/>
      <c r="I95" s="13">
        <v>200</v>
      </c>
    </row>
    <row r="96" spans="1:9" s="4" customFormat="1" ht="15" customHeight="1" x14ac:dyDescent="0.2">
      <c r="A96" s="2"/>
      <c r="B96" s="10">
        <v>90</v>
      </c>
      <c r="C96" s="1">
        <v>4000000936</v>
      </c>
      <c r="D96" s="11"/>
      <c r="E96" s="11" t="s">
        <v>147</v>
      </c>
      <c r="F96" s="12" t="s">
        <v>93</v>
      </c>
      <c r="G96" s="10">
        <v>387</v>
      </c>
      <c r="H96" s="13">
        <f>420+355</f>
        <v>775</v>
      </c>
      <c r="I96" s="13"/>
    </row>
    <row r="97" spans="1:9" s="4" customFormat="1" ht="15" customHeight="1" x14ac:dyDescent="0.2">
      <c r="A97" s="2"/>
      <c r="B97" s="19"/>
      <c r="C97" s="11"/>
      <c r="D97" s="11"/>
      <c r="E97" s="11"/>
      <c r="F97" s="20" t="s">
        <v>94</v>
      </c>
      <c r="G97" s="11"/>
      <c r="H97" s="21">
        <f>SUM(H7:H96)</f>
        <v>138716657.09999999</v>
      </c>
      <c r="I97" s="21">
        <f>SUM(I7:I96)</f>
        <v>138716657.09999999</v>
      </c>
    </row>
  </sheetData>
  <autoFilter ref="C6:I97" xr:uid="{00000000-0009-0000-0000-000000000000}">
    <sortState xmlns:xlrd2="http://schemas.microsoft.com/office/spreadsheetml/2017/richdata2" ref="C2:I569">
      <sortCondition ref="C1:C569"/>
    </sortState>
  </autoFilter>
  <sortState xmlns:xlrd2="http://schemas.microsoft.com/office/spreadsheetml/2017/richdata2" ref="C2:J568">
    <sortCondition ref="G2:G568"/>
  </sortState>
  <mergeCells count="3">
    <mergeCell ref="E2:F2"/>
    <mergeCell ref="E3:F3"/>
    <mergeCell ref="E4:F4"/>
  </mergeCells>
  <conditionalFormatting sqref="C6">
    <cfRule type="duplicateValues" dxfId="45" priority="45"/>
  </conditionalFormatting>
  <conditionalFormatting sqref="C2:C4">
    <cfRule type="duplicateValues" dxfId="44" priority="44"/>
  </conditionalFormatting>
  <conditionalFormatting sqref="D98:E1048576">
    <cfRule type="dataBar" priority="5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{C0E794AA-D2D7-4813-8B27-5D65D1CC6D3D}</x14:id>
        </ext>
      </extLst>
    </cfRule>
  </conditionalFormatting>
  <conditionalFormatting sqref="C97">
    <cfRule type="duplicateValues" dxfId="43" priority="532"/>
  </conditionalFormatting>
  <conditionalFormatting sqref="C7:C18">
    <cfRule type="duplicateValues" dxfId="42" priority="43"/>
  </conditionalFormatting>
  <conditionalFormatting sqref="C20:C29">
    <cfRule type="duplicateValues" dxfId="41" priority="42"/>
  </conditionalFormatting>
  <conditionalFormatting sqref="C30">
    <cfRule type="duplicateValues" dxfId="40" priority="41"/>
  </conditionalFormatting>
  <conditionalFormatting sqref="C32">
    <cfRule type="duplicateValues" dxfId="39" priority="40"/>
  </conditionalFormatting>
  <conditionalFormatting sqref="C33:C35">
    <cfRule type="duplicateValues" dxfId="38" priority="39"/>
  </conditionalFormatting>
  <conditionalFormatting sqref="C36:C37">
    <cfRule type="duplicateValues" dxfId="37" priority="38"/>
  </conditionalFormatting>
  <conditionalFormatting sqref="C38:C40">
    <cfRule type="duplicateValues" dxfId="36" priority="37"/>
  </conditionalFormatting>
  <conditionalFormatting sqref="C41:C44">
    <cfRule type="duplicateValues" dxfId="35" priority="36"/>
  </conditionalFormatting>
  <conditionalFormatting sqref="C45:C48">
    <cfRule type="duplicateValues" dxfId="34" priority="35"/>
  </conditionalFormatting>
  <conditionalFormatting sqref="C49">
    <cfRule type="duplicateValues" dxfId="33" priority="34"/>
  </conditionalFormatting>
  <conditionalFormatting sqref="C50">
    <cfRule type="duplicateValues" dxfId="32" priority="33"/>
  </conditionalFormatting>
  <conditionalFormatting sqref="C51">
    <cfRule type="duplicateValues" dxfId="31" priority="32"/>
  </conditionalFormatting>
  <conditionalFormatting sqref="C52:C53">
    <cfRule type="duplicateValues" dxfId="30" priority="31"/>
  </conditionalFormatting>
  <conditionalFormatting sqref="C55">
    <cfRule type="duplicateValues" dxfId="29" priority="30"/>
  </conditionalFormatting>
  <conditionalFormatting sqref="C56:C59">
    <cfRule type="duplicateValues" dxfId="28" priority="29"/>
  </conditionalFormatting>
  <conditionalFormatting sqref="C60:C61">
    <cfRule type="duplicateValues" dxfId="27" priority="28"/>
  </conditionalFormatting>
  <conditionalFormatting sqref="C62">
    <cfRule type="duplicateValues" dxfId="26" priority="27"/>
  </conditionalFormatting>
  <conditionalFormatting sqref="C63">
    <cfRule type="duplicateValues" dxfId="25" priority="26"/>
  </conditionalFormatting>
  <conditionalFormatting sqref="C64">
    <cfRule type="duplicateValues" dxfId="24" priority="25"/>
  </conditionalFormatting>
  <conditionalFormatting sqref="C65:C66">
    <cfRule type="duplicateValues" dxfId="23" priority="24"/>
  </conditionalFormatting>
  <conditionalFormatting sqref="C69">
    <cfRule type="duplicateValues" dxfId="22" priority="23"/>
  </conditionalFormatting>
  <conditionalFormatting sqref="C68">
    <cfRule type="duplicateValues" dxfId="21" priority="22"/>
  </conditionalFormatting>
  <conditionalFormatting sqref="C70:C71">
    <cfRule type="duplicateValues" dxfId="20" priority="21"/>
  </conditionalFormatting>
  <conditionalFormatting sqref="C72:C73">
    <cfRule type="duplicateValues" dxfId="19" priority="20"/>
  </conditionalFormatting>
  <conditionalFormatting sqref="C74:C77">
    <cfRule type="duplicateValues" dxfId="18" priority="19"/>
  </conditionalFormatting>
  <conditionalFormatting sqref="C78">
    <cfRule type="duplicateValues" dxfId="17" priority="18"/>
  </conditionalFormatting>
  <conditionalFormatting sqref="C80">
    <cfRule type="duplicateValues" dxfId="16" priority="17"/>
  </conditionalFormatting>
  <conditionalFormatting sqref="C81">
    <cfRule type="duplicateValues" dxfId="15" priority="16"/>
  </conditionalFormatting>
  <conditionalFormatting sqref="C82">
    <cfRule type="duplicateValues" dxfId="14" priority="15"/>
  </conditionalFormatting>
  <conditionalFormatting sqref="C83:C85">
    <cfRule type="containsText" dxfId="13" priority="14" operator="containsText" text="not">
      <formula>NOT(ISERROR(SEARCH(("not"),(C83))))</formula>
    </cfRule>
  </conditionalFormatting>
  <conditionalFormatting sqref="C83:C85">
    <cfRule type="duplicateValues" dxfId="12" priority="13"/>
  </conditionalFormatting>
  <conditionalFormatting sqref="C86:C87">
    <cfRule type="containsText" dxfId="11" priority="12" operator="containsText" text="not">
      <formula>NOT(ISERROR(SEARCH(("not"),(C86))))</formula>
    </cfRule>
  </conditionalFormatting>
  <conditionalFormatting sqref="C86:C87">
    <cfRule type="duplicateValues" dxfId="10" priority="11"/>
  </conditionalFormatting>
  <conditionalFormatting sqref="C88">
    <cfRule type="containsText" dxfId="9" priority="10" operator="containsText" text="not">
      <formula>NOT(ISERROR(SEARCH(("not"),(C88))))</formula>
    </cfRule>
  </conditionalFormatting>
  <conditionalFormatting sqref="C88">
    <cfRule type="duplicateValues" dxfId="8" priority="9"/>
  </conditionalFormatting>
  <conditionalFormatting sqref="C89">
    <cfRule type="containsText" dxfId="7" priority="8" operator="containsText" text="not">
      <formula>NOT(ISERROR(SEARCH(("not"),(C89))))</formula>
    </cfRule>
  </conditionalFormatting>
  <conditionalFormatting sqref="C89">
    <cfRule type="duplicateValues" dxfId="6" priority="7"/>
  </conditionalFormatting>
  <conditionalFormatting sqref="C90:C91">
    <cfRule type="containsText" dxfId="5" priority="6" operator="containsText" text="not">
      <formula>NOT(ISERROR(SEARCH(("not"),(C90))))</formula>
    </cfRule>
  </conditionalFormatting>
  <conditionalFormatting sqref="C90:C91">
    <cfRule type="duplicateValues" dxfId="4" priority="5"/>
  </conditionalFormatting>
  <conditionalFormatting sqref="C94">
    <cfRule type="cellIs" dxfId="3" priority="4" operator="equal">
      <formula>5</formula>
    </cfRule>
  </conditionalFormatting>
  <conditionalFormatting sqref="C19">
    <cfRule type="duplicateValues" dxfId="2" priority="3"/>
  </conditionalFormatting>
  <conditionalFormatting sqref="C54">
    <cfRule type="duplicateValues" dxfId="1" priority="2"/>
  </conditionalFormatting>
  <conditionalFormatting sqref="C67">
    <cfRule type="duplicateValues" dxfId="0" priority="1"/>
  </conditionalFormatting>
  <pageMargins left="0.31496062992125984" right="0.27559055118110237" top="0.39370078740157483" bottom="0.35433070866141736" header="0.51181102362204722" footer="0.51181102362204722"/>
  <pageSetup paperSize="9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0E794AA-D2D7-4813-8B27-5D65D1CC6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D98:E1048576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47509-CB6B-45CD-949B-3F5C6EA5CA3E}">
  <dimension ref="B1:G172"/>
  <sheetViews>
    <sheetView tabSelected="1" topLeftCell="A85" workbookViewId="0">
      <selection activeCell="F2" sqref="F2:F89"/>
    </sheetView>
  </sheetViews>
  <sheetFormatPr defaultRowHeight="14.4" x14ac:dyDescent="0.3"/>
  <cols>
    <col min="2" max="3" width="13.6640625" bestFit="1" customWidth="1"/>
    <col min="4" max="4" width="14.33203125" style="48" bestFit="1" customWidth="1"/>
    <col min="7" max="7" width="13.5546875" style="48" bestFit="1" customWidth="1"/>
  </cols>
  <sheetData>
    <row r="1" spans="2:7" x14ac:dyDescent="0.3">
      <c r="B1" s="46" t="s">
        <v>168</v>
      </c>
      <c r="C1" s="46" t="s">
        <v>169</v>
      </c>
      <c r="D1" s="47" t="s">
        <v>170</v>
      </c>
      <c r="F1" s="46" t="s">
        <v>226</v>
      </c>
    </row>
    <row r="2" spans="2:7" x14ac:dyDescent="0.3">
      <c r="B2" s="44">
        <f>698250+227190+227190+229315+163937+173610+171170</f>
        <v>1890662</v>
      </c>
      <c r="C2" s="44"/>
      <c r="D2" s="48">
        <f>IF(B2=0,C2,B2*(-1))</f>
        <v>-1890662</v>
      </c>
      <c r="F2" s="50">
        <v>1</v>
      </c>
      <c r="G2" s="48" t="s">
        <v>215</v>
      </c>
    </row>
    <row r="3" spans="2:7" x14ac:dyDescent="0.3">
      <c r="B3" s="44">
        <f>136890+45630+45630+45630+46710+46710+63630</f>
        <v>430830</v>
      </c>
      <c r="C3" s="44"/>
      <c r="D3" s="48">
        <f t="shared" ref="D3:D67" si="0">IF(B3=0,C3,B3*(-1))</f>
        <v>-430830</v>
      </c>
      <c r="F3" s="50">
        <v>2</v>
      </c>
      <c r="G3" s="48" t="s">
        <v>216</v>
      </c>
    </row>
    <row r="4" spans="2:7" x14ac:dyDescent="0.3">
      <c r="B4" s="44">
        <f>54000+7500+7500+7500</f>
        <v>76500</v>
      </c>
      <c r="C4" s="44"/>
      <c r="D4" s="48">
        <f t="shared" si="0"/>
        <v>-76500</v>
      </c>
      <c r="F4" s="50">
        <v>3</v>
      </c>
      <c r="G4" s="48" t="s">
        <v>217</v>
      </c>
    </row>
    <row r="5" spans="2:7" x14ac:dyDescent="0.3">
      <c r="B5" s="44">
        <f>36000+18000</f>
        <v>54000</v>
      </c>
      <c r="C5" s="44"/>
      <c r="D5" s="48">
        <f t="shared" si="0"/>
        <v>-54000</v>
      </c>
      <c r="F5" s="50">
        <v>4</v>
      </c>
      <c r="G5" s="48" t="s">
        <v>218</v>
      </c>
    </row>
    <row r="6" spans="2:7" x14ac:dyDescent="0.3">
      <c r="B6" s="44">
        <f>355180.5+118393.5+118393.5+119456+87121.85+92011.5+90669.5</f>
        <v>981226.35</v>
      </c>
      <c r="C6" s="44"/>
      <c r="D6" s="48">
        <f t="shared" si="0"/>
        <v>-981226.35</v>
      </c>
      <c r="F6" s="50">
        <v>5</v>
      </c>
      <c r="G6" s="48" t="s">
        <v>219</v>
      </c>
    </row>
    <row r="7" spans="2:7" x14ac:dyDescent="0.3">
      <c r="B7" s="44">
        <f>82134+27378+27378+27378+28026+28026+38178</f>
        <v>258498</v>
      </c>
      <c r="C7" s="44"/>
      <c r="D7" s="48">
        <f t="shared" si="0"/>
        <v>-258498</v>
      </c>
      <c r="F7" s="50">
        <v>6</v>
      </c>
    </row>
    <row r="8" spans="2:7" x14ac:dyDescent="0.3">
      <c r="B8" s="44">
        <f>225+150+150+150+75+75+75</f>
        <v>900</v>
      </c>
      <c r="C8" s="44"/>
      <c r="D8" s="48">
        <f t="shared" si="0"/>
        <v>-900</v>
      </c>
      <c r="F8" s="50">
        <v>7</v>
      </c>
    </row>
    <row r="9" spans="2:7" x14ac:dyDescent="0.3">
      <c r="B9" s="44">
        <v>54564</v>
      </c>
      <c r="C9" s="44"/>
      <c r="D9" s="48">
        <f t="shared" si="0"/>
        <v>-54564</v>
      </c>
      <c r="F9" s="50">
        <v>8</v>
      </c>
    </row>
    <row r="10" spans="2:7" x14ac:dyDescent="0.3">
      <c r="B10" s="44">
        <f>227190+227940</f>
        <v>455130</v>
      </c>
      <c r="C10" s="44"/>
      <c r="D10" s="48">
        <f t="shared" si="0"/>
        <v>-455130</v>
      </c>
      <c r="F10" s="50">
        <v>11</v>
      </c>
    </row>
    <row r="11" spans="2:7" x14ac:dyDescent="0.3">
      <c r="B11" s="44">
        <f>45630+45630</f>
        <v>91260</v>
      </c>
      <c r="C11" s="44"/>
      <c r="D11" s="48">
        <f t="shared" si="0"/>
        <v>-91260</v>
      </c>
      <c r="F11" s="50">
        <v>12</v>
      </c>
    </row>
    <row r="12" spans="2:7" x14ac:dyDescent="0.3">
      <c r="B12" s="44">
        <v>306675</v>
      </c>
      <c r="C12" s="44"/>
      <c r="D12" s="48">
        <f t="shared" si="0"/>
        <v>-306675</v>
      </c>
      <c r="F12" s="50">
        <v>13</v>
      </c>
    </row>
    <row r="13" spans="2:7" x14ac:dyDescent="0.3">
      <c r="B13" s="44">
        <v>114075</v>
      </c>
      <c r="C13" s="44"/>
      <c r="D13" s="48">
        <f t="shared" si="0"/>
        <v>-114075</v>
      </c>
      <c r="F13" s="50">
        <v>14</v>
      </c>
    </row>
    <row r="14" spans="2:7" x14ac:dyDescent="0.3">
      <c r="B14" s="44"/>
      <c r="C14" s="44">
        <v>6800</v>
      </c>
      <c r="D14" s="48">
        <f t="shared" si="0"/>
        <v>6800</v>
      </c>
      <c r="F14" s="50">
        <v>15</v>
      </c>
    </row>
    <row r="15" spans="2:7" x14ac:dyDescent="0.3">
      <c r="B15" s="44">
        <f>83420+30780</f>
        <v>114200</v>
      </c>
      <c r="C15" s="44"/>
      <c r="D15" s="48">
        <f t="shared" si="0"/>
        <v>-114200</v>
      </c>
      <c r="F15" s="50">
        <v>17</v>
      </c>
    </row>
    <row r="16" spans="2:7" x14ac:dyDescent="0.3">
      <c r="B16" s="44">
        <v>11090</v>
      </c>
      <c r="C16" s="44"/>
      <c r="D16" s="48">
        <f t="shared" si="0"/>
        <v>-11090</v>
      </c>
      <c r="F16" s="50">
        <v>18</v>
      </c>
    </row>
    <row r="17" spans="2:7" x14ac:dyDescent="0.3">
      <c r="B17" s="44">
        <f>7200+3600</f>
        <v>10800</v>
      </c>
      <c r="C17" s="44"/>
      <c r="D17" s="48">
        <f t="shared" si="0"/>
        <v>-10800</v>
      </c>
      <c r="F17" s="50">
        <v>20</v>
      </c>
    </row>
    <row r="18" spans="2:7" x14ac:dyDescent="0.3">
      <c r="B18" s="44">
        <f>9000+8500+7500+4000</f>
        <v>29000</v>
      </c>
      <c r="C18" s="44"/>
      <c r="D18" s="48">
        <f t="shared" si="0"/>
        <v>-29000</v>
      </c>
      <c r="F18" s="50">
        <v>21</v>
      </c>
    </row>
    <row r="19" spans="2:7" x14ac:dyDescent="0.3">
      <c r="B19" s="44">
        <f>3850+1350+1380+1000+850+850+700</f>
        <v>9980</v>
      </c>
      <c r="C19" s="44"/>
      <c r="D19" s="48">
        <f t="shared" si="0"/>
        <v>-9980</v>
      </c>
      <c r="F19" s="50">
        <v>22</v>
      </c>
    </row>
    <row r="20" spans="2:7" x14ac:dyDescent="0.3">
      <c r="B20" s="44">
        <f>1629+793+5273</f>
        <v>7695</v>
      </c>
      <c r="C20" s="44"/>
      <c r="D20" s="48">
        <f t="shared" si="0"/>
        <v>-7695</v>
      </c>
      <c r="F20" s="50">
        <v>23</v>
      </c>
    </row>
    <row r="21" spans="2:7" x14ac:dyDescent="0.3">
      <c r="B21" s="44">
        <f>3600+2400+2400+2400+3600</f>
        <v>14400</v>
      </c>
      <c r="C21" s="44"/>
      <c r="D21" s="48">
        <f t="shared" si="0"/>
        <v>-14400</v>
      </c>
      <c r="F21" s="50">
        <v>24</v>
      </c>
    </row>
    <row r="22" spans="2:7" x14ac:dyDescent="0.3">
      <c r="B22" s="44">
        <f>120+32</f>
        <v>152</v>
      </c>
      <c r="C22" s="44"/>
      <c r="D22" s="48">
        <f t="shared" si="0"/>
        <v>-152</v>
      </c>
      <c r="F22" s="50">
        <v>26</v>
      </c>
    </row>
    <row r="23" spans="2:7" x14ac:dyDescent="0.3">
      <c r="B23" s="44">
        <f>690+70+50+250+730</f>
        <v>1790</v>
      </c>
      <c r="C23" s="44"/>
      <c r="D23" s="48">
        <f t="shared" si="0"/>
        <v>-1790</v>
      </c>
      <c r="F23" s="50">
        <v>27</v>
      </c>
    </row>
    <row r="24" spans="2:7" x14ac:dyDescent="0.3">
      <c r="B24" s="44">
        <f>24947+7026+4130+5019</f>
        <v>41122</v>
      </c>
      <c r="C24" s="44"/>
      <c r="D24" s="48">
        <f t="shared" si="0"/>
        <v>-41122</v>
      </c>
      <c r="F24" s="50">
        <v>28</v>
      </c>
    </row>
    <row r="25" spans="2:7" x14ac:dyDescent="0.3">
      <c r="B25" s="44">
        <f>1200+600</f>
        <v>1800</v>
      </c>
      <c r="C25" s="44"/>
      <c r="D25" s="48">
        <f t="shared" si="0"/>
        <v>-1800</v>
      </c>
      <c r="F25" s="50">
        <v>33</v>
      </c>
    </row>
    <row r="26" spans="2:7" x14ac:dyDescent="0.3">
      <c r="B26" s="44">
        <f>4800+2400</f>
        <v>7200</v>
      </c>
      <c r="C26" s="44"/>
      <c r="D26" s="48">
        <f t="shared" si="0"/>
        <v>-7200</v>
      </c>
      <c r="F26" s="50">
        <v>49</v>
      </c>
    </row>
    <row r="27" spans="2:7" x14ac:dyDescent="0.3">
      <c r="B27" s="44">
        <f>6505+2585+1885+2240+1749+2170+2240</f>
        <v>19374</v>
      </c>
      <c r="C27" s="44"/>
      <c r="D27" s="48">
        <f t="shared" si="0"/>
        <v>-19374</v>
      </c>
      <c r="F27" s="50">
        <v>50</v>
      </c>
    </row>
    <row r="28" spans="2:7" x14ac:dyDescent="0.3">
      <c r="B28" s="44">
        <f>780+450+500+200+500+950</f>
        <v>3380</v>
      </c>
      <c r="C28" s="44"/>
      <c r="D28" s="48">
        <f t="shared" si="0"/>
        <v>-3380</v>
      </c>
      <c r="F28" s="50">
        <v>57</v>
      </c>
    </row>
    <row r="29" spans="2:7" x14ac:dyDescent="0.3">
      <c r="B29" s="44">
        <v>0</v>
      </c>
      <c r="C29" s="44">
        <v>0.5</v>
      </c>
      <c r="D29" s="48">
        <f t="shared" si="0"/>
        <v>0.5</v>
      </c>
      <c r="F29" s="50">
        <v>58</v>
      </c>
      <c r="G29" s="48" t="s">
        <v>188</v>
      </c>
    </row>
    <row r="30" spans="2:7" x14ac:dyDescent="0.3">
      <c r="B30" s="44">
        <f>790+1000+480+350</f>
        <v>2620</v>
      </c>
      <c r="C30" s="44"/>
      <c r="D30" s="48">
        <f t="shared" si="0"/>
        <v>-2620</v>
      </c>
      <c r="F30" s="50">
        <v>63</v>
      </c>
    </row>
    <row r="31" spans="2:7" x14ac:dyDescent="0.3">
      <c r="B31" s="44">
        <f>108400+37400+29400+37200+29200+32200+33200</f>
        <v>307000</v>
      </c>
      <c r="C31" s="44"/>
      <c r="D31" s="48">
        <f t="shared" si="0"/>
        <v>-307000</v>
      </c>
      <c r="F31" s="50">
        <v>64</v>
      </c>
    </row>
    <row r="32" spans="2:7" x14ac:dyDescent="0.3">
      <c r="B32" s="44">
        <f>4710+1550+1180</f>
        <v>7440</v>
      </c>
      <c r="C32" s="44"/>
      <c r="D32" s="48">
        <f t="shared" si="0"/>
        <v>-7440</v>
      </c>
      <c r="F32" s="50">
        <v>66</v>
      </c>
    </row>
    <row r="33" spans="2:7" x14ac:dyDescent="0.3">
      <c r="B33" s="44">
        <v>30684</v>
      </c>
      <c r="C33" s="44"/>
      <c r="D33" s="48">
        <f t="shared" si="0"/>
        <v>-30684</v>
      </c>
      <c r="F33" s="50">
        <v>82</v>
      </c>
    </row>
    <row r="34" spans="2:7" x14ac:dyDescent="0.3">
      <c r="B34" s="44">
        <f>13153+4450+4420+4100+3920+2000+3850</f>
        <v>35893</v>
      </c>
      <c r="C34" s="44"/>
      <c r="D34" s="48">
        <f t="shared" si="0"/>
        <v>-35893</v>
      </c>
      <c r="F34" s="50">
        <v>83</v>
      </c>
    </row>
    <row r="35" spans="2:7" x14ac:dyDescent="0.3">
      <c r="B35" s="44">
        <f>630+190+180+228+208+240+252</f>
        <v>1928</v>
      </c>
      <c r="C35" s="44"/>
      <c r="D35" s="48">
        <f t="shared" si="0"/>
        <v>-1928</v>
      </c>
      <c r="F35" s="50">
        <v>84</v>
      </c>
    </row>
    <row r="36" spans="2:7" x14ac:dyDescent="0.3">
      <c r="B36" s="44">
        <v>0</v>
      </c>
      <c r="C36" s="44">
        <f>4000+5100</f>
        <v>9100</v>
      </c>
      <c r="D36" s="48">
        <f t="shared" si="0"/>
        <v>9100</v>
      </c>
      <c r="F36" s="50">
        <v>90</v>
      </c>
    </row>
    <row r="37" spans="2:7" x14ac:dyDescent="0.3">
      <c r="B37" s="44">
        <f>700+1900</f>
        <v>2600</v>
      </c>
      <c r="C37" s="44"/>
      <c r="D37" s="48">
        <f t="shared" si="0"/>
        <v>-2600</v>
      </c>
      <c r="F37" s="50">
        <v>93</v>
      </c>
    </row>
    <row r="38" spans="2:7" x14ac:dyDescent="0.3">
      <c r="B38" s="44">
        <f>250+50+2000</f>
        <v>2300</v>
      </c>
      <c r="C38" s="44"/>
      <c r="D38" s="48">
        <f t="shared" si="0"/>
        <v>-2300</v>
      </c>
      <c r="F38" s="50">
        <v>94</v>
      </c>
    </row>
    <row r="39" spans="2:7" x14ac:dyDescent="0.3">
      <c r="B39" s="44">
        <f>750+250</f>
        <v>1000</v>
      </c>
      <c r="C39" s="44"/>
      <c r="D39" s="48">
        <f t="shared" si="0"/>
        <v>-1000</v>
      </c>
      <c r="F39" s="50">
        <v>99</v>
      </c>
    </row>
    <row r="40" spans="2:7" x14ac:dyDescent="0.3">
      <c r="B40" s="44">
        <f>3700+300+50+3150+600+950+1850</f>
        <v>10600</v>
      </c>
      <c r="C40" s="44"/>
      <c r="D40" s="48">
        <f t="shared" si="0"/>
        <v>-10600</v>
      </c>
      <c r="F40" s="50">
        <v>101</v>
      </c>
    </row>
    <row r="41" spans="2:7" x14ac:dyDescent="0.3">
      <c r="B41" s="44">
        <v>750</v>
      </c>
      <c r="C41" s="44"/>
      <c r="D41" s="48">
        <f t="shared" si="0"/>
        <v>-750</v>
      </c>
      <c r="F41" s="50">
        <v>102</v>
      </c>
    </row>
    <row r="42" spans="2:7" x14ac:dyDescent="0.3">
      <c r="B42" s="44">
        <v>1530</v>
      </c>
      <c r="C42" s="44"/>
      <c r="D42" s="48">
        <f t="shared" si="0"/>
        <v>-1530</v>
      </c>
      <c r="F42" s="50">
        <v>103</v>
      </c>
    </row>
    <row r="43" spans="2:7" x14ac:dyDescent="0.3">
      <c r="B43" s="44">
        <v>300</v>
      </c>
      <c r="C43" s="44"/>
      <c r="D43" s="48">
        <f t="shared" si="0"/>
        <v>-300</v>
      </c>
      <c r="F43" s="50">
        <v>104</v>
      </c>
    </row>
    <row r="44" spans="2:7" x14ac:dyDescent="0.3">
      <c r="B44" s="44">
        <v>4000</v>
      </c>
      <c r="C44" s="44"/>
      <c r="D44" s="48">
        <f t="shared" si="0"/>
        <v>-4000</v>
      </c>
      <c r="F44" s="50">
        <v>111</v>
      </c>
      <c r="G44" s="48" t="s">
        <v>174</v>
      </c>
    </row>
    <row r="45" spans="2:7" x14ac:dyDescent="0.3">
      <c r="B45" s="44">
        <v>166.1</v>
      </c>
      <c r="C45" s="44"/>
      <c r="D45" s="48">
        <f t="shared" si="0"/>
        <v>-166.1</v>
      </c>
      <c r="F45" s="50">
        <v>115</v>
      </c>
      <c r="G45" s="48" t="s">
        <v>176</v>
      </c>
    </row>
    <row r="46" spans="2:7" x14ac:dyDescent="0.3">
      <c r="B46" s="44">
        <v>45576</v>
      </c>
      <c r="C46" s="44">
        <v>0</v>
      </c>
      <c r="D46" s="48">
        <f t="shared" si="0"/>
        <v>-45576</v>
      </c>
      <c r="F46" s="50">
        <v>116</v>
      </c>
      <c r="G46" s="48" t="s">
        <v>179</v>
      </c>
    </row>
    <row r="47" spans="2:7" x14ac:dyDescent="0.3">
      <c r="B47" s="44">
        <v>200</v>
      </c>
      <c r="C47" s="44">
        <v>0</v>
      </c>
      <c r="D47" s="48">
        <f t="shared" si="0"/>
        <v>-200</v>
      </c>
      <c r="F47" s="50">
        <v>118</v>
      </c>
      <c r="G47" s="48" t="s">
        <v>181</v>
      </c>
    </row>
    <row r="48" spans="2:7" x14ac:dyDescent="0.3">
      <c r="B48" s="44">
        <v>215114</v>
      </c>
      <c r="C48" s="44">
        <v>0</v>
      </c>
      <c r="D48" s="48">
        <f t="shared" si="0"/>
        <v>-215114</v>
      </c>
      <c r="F48" s="50">
        <v>119</v>
      </c>
      <c r="G48" s="48" t="s">
        <v>172</v>
      </c>
    </row>
    <row r="49" spans="2:7" x14ac:dyDescent="0.3">
      <c r="B49" s="44">
        <v>18643</v>
      </c>
      <c r="C49" s="44"/>
      <c r="D49" s="48">
        <f t="shared" si="0"/>
        <v>-18643</v>
      </c>
      <c r="F49" s="50">
        <v>122</v>
      </c>
      <c r="G49" s="48" t="s">
        <v>177</v>
      </c>
    </row>
    <row r="50" spans="2:7" x14ac:dyDescent="0.3">
      <c r="B50" s="44">
        <v>0</v>
      </c>
      <c r="C50" s="44"/>
      <c r="D50" s="48">
        <f t="shared" si="0"/>
        <v>0</v>
      </c>
      <c r="F50" s="50">
        <v>127</v>
      </c>
      <c r="G50" s="48" t="s">
        <v>175</v>
      </c>
    </row>
    <row r="51" spans="2:7" x14ac:dyDescent="0.3">
      <c r="B51" s="44"/>
      <c r="C51" s="44">
        <f>3858947+395404+822019+362849+18635</f>
        <v>5457854</v>
      </c>
      <c r="D51" s="48">
        <f t="shared" si="0"/>
        <v>5457854</v>
      </c>
      <c r="F51" s="50">
        <v>136</v>
      </c>
      <c r="G51" s="48" t="s">
        <v>205</v>
      </c>
    </row>
    <row r="52" spans="2:7" x14ac:dyDescent="0.3">
      <c r="B52" s="44"/>
      <c r="C52" s="44">
        <f>4710+1392+106420+855670+4598</f>
        <v>972790</v>
      </c>
      <c r="D52" s="48">
        <f t="shared" si="0"/>
        <v>972790</v>
      </c>
      <c r="F52" s="50">
        <v>137</v>
      </c>
      <c r="G52" s="48" t="s">
        <v>206</v>
      </c>
    </row>
    <row r="53" spans="2:7" x14ac:dyDescent="0.3">
      <c r="B53" s="44"/>
      <c r="C53" s="44">
        <f>6052099+2003156+2871340+3069160+1786763+336525+70372+212346+2276778+4816426+991365</f>
        <v>24486330</v>
      </c>
      <c r="D53" s="48">
        <f t="shared" si="0"/>
        <v>24486330</v>
      </c>
      <c r="F53" s="50">
        <v>138</v>
      </c>
      <c r="G53" s="48" t="s">
        <v>207</v>
      </c>
    </row>
    <row r="54" spans="2:7" x14ac:dyDescent="0.3">
      <c r="B54" s="44"/>
      <c r="C54" s="44">
        <f>2968055+649236+74048+2645555+1586843+856792+2784938</f>
        <v>11565467</v>
      </c>
      <c r="D54" s="48">
        <f t="shared" si="0"/>
        <v>11565467</v>
      </c>
      <c r="F54" s="50">
        <v>142</v>
      </c>
      <c r="G54" s="48" t="s">
        <v>208</v>
      </c>
    </row>
    <row r="55" spans="2:7" x14ac:dyDescent="0.3">
      <c r="B55" s="44"/>
      <c r="C55" s="44">
        <f>427653+5254+3392+121470</f>
        <v>557769</v>
      </c>
      <c r="D55" s="48">
        <f t="shared" si="0"/>
        <v>557769</v>
      </c>
      <c r="F55" s="50">
        <v>143</v>
      </c>
      <c r="G55" s="48" t="s">
        <v>209</v>
      </c>
    </row>
    <row r="56" spans="2:7" x14ac:dyDescent="0.3">
      <c r="B56" s="44"/>
      <c r="C56" s="44">
        <f>5386686+1304671+188551+621260+1921400</f>
        <v>9422568</v>
      </c>
      <c r="D56" s="48">
        <f t="shared" si="0"/>
        <v>9422568</v>
      </c>
      <c r="F56" s="50">
        <v>144</v>
      </c>
      <c r="G56" s="48" t="s">
        <v>210</v>
      </c>
    </row>
    <row r="57" spans="2:7" x14ac:dyDescent="0.3">
      <c r="B57" s="44"/>
      <c r="C57" s="44">
        <f>54614+14345+35640+64161</f>
        <v>168760</v>
      </c>
      <c r="D57" s="48">
        <f t="shared" si="0"/>
        <v>168760</v>
      </c>
      <c r="F57" s="50">
        <v>148</v>
      </c>
      <c r="G57" s="48" t="s">
        <v>213</v>
      </c>
    </row>
    <row r="58" spans="2:7" x14ac:dyDescent="0.3">
      <c r="B58" s="45"/>
      <c r="C58" s="45">
        <f>807484+219347+56093+750+7950+1391058+506033</f>
        <v>2988715</v>
      </c>
      <c r="D58" s="48">
        <f t="shared" si="0"/>
        <v>2988715</v>
      </c>
      <c r="F58" s="50">
        <v>150</v>
      </c>
      <c r="G58" s="48" t="s">
        <v>211</v>
      </c>
    </row>
    <row r="59" spans="2:7" x14ac:dyDescent="0.3">
      <c r="B59" s="44"/>
      <c r="C59" s="44">
        <v>12572</v>
      </c>
      <c r="D59" s="48">
        <f t="shared" si="0"/>
        <v>12572</v>
      </c>
      <c r="F59" s="50">
        <v>151</v>
      </c>
      <c r="G59" s="48" t="s">
        <v>212</v>
      </c>
    </row>
    <row r="60" spans="2:7" x14ac:dyDescent="0.3">
      <c r="B60" s="44">
        <v>0</v>
      </c>
      <c r="C60" s="44">
        <v>64271641</v>
      </c>
      <c r="D60" s="48">
        <f t="shared" si="0"/>
        <v>64271641</v>
      </c>
      <c r="F60" s="50">
        <v>190</v>
      </c>
      <c r="G60" s="48" t="s">
        <v>184</v>
      </c>
    </row>
    <row r="61" spans="2:7" x14ac:dyDescent="0.3">
      <c r="B61" s="44"/>
      <c r="C61" s="44">
        <v>5791</v>
      </c>
      <c r="D61" s="48">
        <f t="shared" si="0"/>
        <v>5791</v>
      </c>
      <c r="F61" s="50">
        <v>191</v>
      </c>
      <c r="G61" s="48" t="s">
        <v>185</v>
      </c>
    </row>
    <row r="62" spans="2:7" x14ac:dyDescent="0.3">
      <c r="B62" s="44">
        <v>113253873.95</v>
      </c>
      <c r="C62" s="44"/>
      <c r="D62" s="48">
        <f t="shared" si="0"/>
        <v>-113253873.95</v>
      </c>
      <c r="F62" s="50">
        <v>202</v>
      </c>
      <c r="G62" s="48" t="s">
        <v>183</v>
      </c>
    </row>
    <row r="63" spans="2:7" x14ac:dyDescent="0.3">
      <c r="B63" s="44"/>
      <c r="C63" s="44">
        <f>3864+552+552+276+552+276+552+276+552</f>
        <v>7452</v>
      </c>
      <c r="D63" s="48">
        <f t="shared" si="0"/>
        <v>7452</v>
      </c>
      <c r="F63" s="50">
        <v>204</v>
      </c>
      <c r="G63" s="48" t="s">
        <v>201</v>
      </c>
    </row>
    <row r="64" spans="2:7" x14ac:dyDescent="0.3">
      <c r="B64" s="44"/>
      <c r="C64" s="44">
        <v>82362</v>
      </c>
      <c r="D64" s="48">
        <f t="shared" si="0"/>
        <v>82362</v>
      </c>
      <c r="F64" s="50">
        <v>205</v>
      </c>
      <c r="G64" s="48" t="s">
        <v>200</v>
      </c>
    </row>
    <row r="65" spans="2:7" x14ac:dyDescent="0.3">
      <c r="B65" s="44">
        <f>85315+3000+1340+124140+4800+4650+4155.25+1400+167450+1470</f>
        <v>397720.25</v>
      </c>
      <c r="C65" s="44"/>
      <c r="D65" s="48">
        <f t="shared" si="0"/>
        <v>-397720.25</v>
      </c>
      <c r="F65" s="50">
        <v>223</v>
      </c>
    </row>
    <row r="66" spans="2:7" x14ac:dyDescent="0.3">
      <c r="B66" s="44">
        <f>20728+1500+7300+4800+18958+1900</f>
        <v>55186</v>
      </c>
      <c r="C66" s="44"/>
      <c r="D66" s="48">
        <f t="shared" si="0"/>
        <v>-55186</v>
      </c>
      <c r="F66" s="50">
        <v>224</v>
      </c>
    </row>
    <row r="67" spans="2:7" x14ac:dyDescent="0.3">
      <c r="B67" s="44">
        <v>0</v>
      </c>
      <c r="C67" s="44">
        <v>0</v>
      </c>
      <c r="D67" s="48">
        <f t="shared" si="0"/>
        <v>0</v>
      </c>
      <c r="F67" s="50">
        <v>233</v>
      </c>
      <c r="G67" s="48" t="s">
        <v>187</v>
      </c>
    </row>
    <row r="68" spans="2:7" x14ac:dyDescent="0.3">
      <c r="B68" s="44">
        <v>0</v>
      </c>
      <c r="C68" s="44">
        <v>0</v>
      </c>
      <c r="D68" s="48">
        <f t="shared" ref="D68:D91" si="1">IF(B68=0,C68,B68*(-1))</f>
        <v>0</v>
      </c>
      <c r="F68" s="50">
        <v>235</v>
      </c>
      <c r="G68" s="48" t="s">
        <v>178</v>
      </c>
    </row>
    <row r="69" spans="2:7" x14ac:dyDescent="0.3">
      <c r="B69" s="44">
        <v>0</v>
      </c>
      <c r="C69" s="44">
        <v>0</v>
      </c>
      <c r="D69" s="48">
        <f t="shared" si="1"/>
        <v>0</v>
      </c>
      <c r="F69" s="50">
        <v>236</v>
      </c>
      <c r="G69" s="48" t="s">
        <v>199</v>
      </c>
    </row>
    <row r="70" spans="2:7" x14ac:dyDescent="0.3">
      <c r="B70" s="44"/>
      <c r="C70" s="44">
        <v>60</v>
      </c>
      <c r="D70" s="48">
        <f t="shared" si="1"/>
        <v>60</v>
      </c>
      <c r="F70" s="50">
        <v>238</v>
      </c>
      <c r="G70" s="48" t="s">
        <v>186</v>
      </c>
    </row>
    <row r="71" spans="2:7" x14ac:dyDescent="0.3">
      <c r="B71" s="44"/>
      <c r="C71" s="44">
        <f>28800+9600+9600+9600+19756+19756+19756</f>
        <v>116868</v>
      </c>
      <c r="D71" s="48">
        <f t="shared" si="1"/>
        <v>116868</v>
      </c>
      <c r="F71" s="50">
        <v>241</v>
      </c>
      <c r="G71" s="48" t="s">
        <v>204</v>
      </c>
    </row>
    <row r="72" spans="2:7" x14ac:dyDescent="0.3">
      <c r="B72" s="44"/>
      <c r="C72" s="44">
        <v>10222126.6</v>
      </c>
      <c r="D72" s="48">
        <f t="shared" si="1"/>
        <v>10222126.6</v>
      </c>
      <c r="F72" s="50">
        <v>242</v>
      </c>
      <c r="G72" s="48" t="s">
        <v>182</v>
      </c>
    </row>
    <row r="73" spans="2:7" x14ac:dyDescent="0.3">
      <c r="B73" s="44">
        <f>660+85+90+865+850</f>
        <v>2550</v>
      </c>
      <c r="C73" s="44"/>
      <c r="D73" s="48">
        <f t="shared" si="1"/>
        <v>-2550</v>
      </c>
      <c r="F73" s="50">
        <v>251</v>
      </c>
    </row>
    <row r="74" spans="2:7" x14ac:dyDescent="0.3">
      <c r="B74" s="44">
        <v>20</v>
      </c>
      <c r="C74" s="44"/>
      <c r="D74" s="48">
        <f t="shared" si="1"/>
        <v>-20</v>
      </c>
      <c r="F74" s="50">
        <v>282</v>
      </c>
    </row>
    <row r="75" spans="2:7" x14ac:dyDescent="0.3">
      <c r="B75" s="44"/>
      <c r="C75" s="44">
        <f>2925+975+975+975+1950+2580+2160</f>
        <v>12540</v>
      </c>
      <c r="D75" s="48">
        <f t="shared" si="1"/>
        <v>12540</v>
      </c>
      <c r="F75" s="50">
        <v>294</v>
      </c>
      <c r="G75" s="48" t="s">
        <v>203</v>
      </c>
    </row>
    <row r="76" spans="2:7" x14ac:dyDescent="0.3">
      <c r="B76" s="44">
        <v>8236</v>
      </c>
      <c r="C76" s="44"/>
      <c r="D76" s="48">
        <f t="shared" si="1"/>
        <v>-8236</v>
      </c>
      <c r="F76" s="50">
        <v>316</v>
      </c>
      <c r="G76" s="48" t="s">
        <v>202</v>
      </c>
    </row>
    <row r="77" spans="2:7" x14ac:dyDescent="0.3">
      <c r="B77" s="44"/>
      <c r="C77" s="44">
        <f>1320+440+440+440+420+420+420</f>
        <v>3900</v>
      </c>
      <c r="D77" s="48">
        <f t="shared" si="1"/>
        <v>3900</v>
      </c>
      <c r="F77" s="50">
        <v>319</v>
      </c>
      <c r="G77" s="48" t="s">
        <v>189</v>
      </c>
    </row>
    <row r="78" spans="2:7" x14ac:dyDescent="0.3">
      <c r="B78" s="44"/>
      <c r="C78" s="44">
        <f>578842+59311+123304+54427+2796</f>
        <v>818680</v>
      </c>
      <c r="D78" s="48">
        <f t="shared" si="1"/>
        <v>818680</v>
      </c>
      <c r="F78" s="50">
        <v>320</v>
      </c>
      <c r="G78" s="48" t="s">
        <v>190</v>
      </c>
    </row>
    <row r="79" spans="2:7" x14ac:dyDescent="0.3">
      <c r="B79" s="44"/>
      <c r="C79" s="44">
        <f>916+15963+128351+690</f>
        <v>145920</v>
      </c>
      <c r="D79" s="48">
        <f t="shared" si="1"/>
        <v>145920</v>
      </c>
      <c r="F79" s="50">
        <v>321</v>
      </c>
      <c r="G79" s="48" t="s">
        <v>191</v>
      </c>
    </row>
    <row r="80" spans="2:7" x14ac:dyDescent="0.3">
      <c r="B80" s="44"/>
      <c r="C80" s="44">
        <f>907819+300475+430702+460375+268014+50480+10556+31852+341522+722469+148705</f>
        <v>3672969</v>
      </c>
      <c r="D80" s="48">
        <f t="shared" si="1"/>
        <v>3672969</v>
      </c>
      <c r="F80" s="50">
        <v>323</v>
      </c>
      <c r="G80" s="48" t="s">
        <v>192</v>
      </c>
    </row>
    <row r="81" spans="2:7" x14ac:dyDescent="0.3">
      <c r="B81" s="44"/>
      <c r="C81" s="44">
        <f>445216+97384+11107+396833+238028+128519+417737</f>
        <v>1734824</v>
      </c>
      <c r="D81" s="48">
        <f t="shared" si="1"/>
        <v>1734824</v>
      </c>
      <c r="F81" s="50">
        <v>324</v>
      </c>
      <c r="G81" s="48" t="s">
        <v>193</v>
      </c>
    </row>
    <row r="82" spans="2:7" x14ac:dyDescent="0.3">
      <c r="B82" s="44"/>
      <c r="C82" s="44">
        <f>64149+788+509+18221</f>
        <v>83667</v>
      </c>
      <c r="D82" s="48">
        <f t="shared" si="1"/>
        <v>83667</v>
      </c>
      <c r="F82" s="50">
        <v>325</v>
      </c>
      <c r="G82" s="48" t="s">
        <v>196</v>
      </c>
    </row>
    <row r="83" spans="2:7" x14ac:dyDescent="0.3">
      <c r="B83" s="44"/>
      <c r="C83" s="44">
        <f>808004+195701+28282+93189+288210</f>
        <v>1413386</v>
      </c>
      <c r="D83" s="48">
        <f t="shared" si="1"/>
        <v>1413386</v>
      </c>
      <c r="F83" s="50">
        <v>327</v>
      </c>
      <c r="G83" s="48" t="s">
        <v>197</v>
      </c>
    </row>
    <row r="84" spans="2:7" x14ac:dyDescent="0.3">
      <c r="B84" s="44"/>
      <c r="C84" s="44">
        <f>8192+2152+5346+9624</f>
        <v>25314</v>
      </c>
      <c r="D84" s="48">
        <f t="shared" si="1"/>
        <v>25314</v>
      </c>
      <c r="F84" s="50">
        <v>328</v>
      </c>
      <c r="G84" s="48" t="s">
        <v>194</v>
      </c>
    </row>
    <row r="85" spans="2:7" x14ac:dyDescent="0.3">
      <c r="B85" s="44"/>
      <c r="C85" s="44">
        <f>121125+32902+8414+113+1193+208662+75905</f>
        <v>448314</v>
      </c>
      <c r="D85" s="48">
        <f t="shared" si="1"/>
        <v>448314</v>
      </c>
      <c r="F85" s="50">
        <v>329</v>
      </c>
      <c r="G85" s="48" t="s">
        <v>195</v>
      </c>
    </row>
    <row r="86" spans="2:7" x14ac:dyDescent="0.3">
      <c r="B86" s="44"/>
      <c r="C86" s="44">
        <v>1887</v>
      </c>
      <c r="D86" s="48">
        <f t="shared" si="1"/>
        <v>1887</v>
      </c>
      <c r="F86" s="50">
        <v>343</v>
      </c>
    </row>
    <row r="87" spans="2:7" x14ac:dyDescent="0.3">
      <c r="B87" s="44">
        <v>19314648.449999999</v>
      </c>
      <c r="C87" s="44"/>
      <c r="D87" s="48">
        <f t="shared" si="1"/>
        <v>-19314648.449999999</v>
      </c>
      <c r="F87" s="50">
        <v>362</v>
      </c>
      <c r="G87" s="48" t="s">
        <v>198</v>
      </c>
    </row>
    <row r="88" spans="2:7" x14ac:dyDescent="0.3">
      <c r="B88" s="44">
        <v>9000</v>
      </c>
      <c r="C88" s="44"/>
      <c r="D88" s="48">
        <f t="shared" si="1"/>
        <v>-9000</v>
      </c>
      <c r="F88" s="50">
        <v>386</v>
      </c>
      <c r="G88" s="48" t="s">
        <v>214</v>
      </c>
    </row>
    <row r="89" spans="2:7" x14ac:dyDescent="0.3">
      <c r="B89" s="44"/>
      <c r="C89" s="44">
        <v>30</v>
      </c>
      <c r="D89" s="48">
        <f t="shared" si="1"/>
        <v>30</v>
      </c>
      <c r="F89" s="50">
        <v>387</v>
      </c>
    </row>
    <row r="90" spans="2:7" x14ac:dyDescent="0.3">
      <c r="B90" s="44"/>
      <c r="C90" s="44">
        <v>200</v>
      </c>
      <c r="D90" s="48">
        <f t="shared" si="1"/>
        <v>200</v>
      </c>
    </row>
    <row r="91" spans="2:7" x14ac:dyDescent="0.3">
      <c r="B91" s="44">
        <f>420+355</f>
        <v>775</v>
      </c>
      <c r="C91" s="44"/>
      <c r="D91" s="48">
        <f t="shared" si="1"/>
        <v>-775</v>
      </c>
    </row>
    <row r="92" spans="2:7" x14ac:dyDescent="0.3">
      <c r="B92" s="49">
        <f>SUM(B2:B91)</f>
        <v>138716657.09999999</v>
      </c>
      <c r="C92" s="49">
        <f>SUM(C2:C91)</f>
        <v>138716657.09999999</v>
      </c>
      <c r="D92" s="49">
        <f>SUM(D2:D91)</f>
        <v>-3.7252902984619141E-9</v>
      </c>
    </row>
    <row r="159" spans="7:7" x14ac:dyDescent="0.3">
      <c r="G159" s="48" t="s">
        <v>180</v>
      </c>
    </row>
    <row r="160" spans="7:7" x14ac:dyDescent="0.3">
      <c r="G160" s="48" t="s">
        <v>220</v>
      </c>
    </row>
    <row r="161" spans="7:7" x14ac:dyDescent="0.3">
      <c r="G161" s="48" t="s">
        <v>173</v>
      </c>
    </row>
    <row r="162" spans="7:7" x14ac:dyDescent="0.3">
      <c r="G162" s="48" t="s">
        <v>173</v>
      </c>
    </row>
    <row r="163" spans="7:7" x14ac:dyDescent="0.3">
      <c r="G163" s="48" t="s">
        <v>221</v>
      </c>
    </row>
    <row r="164" spans="7:7" x14ac:dyDescent="0.3">
      <c r="G164" s="48" t="s">
        <v>173</v>
      </c>
    </row>
    <row r="165" spans="7:7" x14ac:dyDescent="0.3">
      <c r="G165" s="48" t="s">
        <v>173</v>
      </c>
    </row>
    <row r="166" spans="7:7" x14ac:dyDescent="0.3">
      <c r="G166" s="48" t="s">
        <v>222</v>
      </c>
    </row>
    <row r="167" spans="7:7" x14ac:dyDescent="0.3">
      <c r="G167" s="48" t="s">
        <v>223</v>
      </c>
    </row>
    <row r="168" spans="7:7" x14ac:dyDescent="0.3">
      <c r="G168" s="48" t="s">
        <v>173</v>
      </c>
    </row>
    <row r="169" spans="7:7" x14ac:dyDescent="0.3">
      <c r="G169" s="48" t="s">
        <v>173</v>
      </c>
    </row>
    <row r="170" spans="7:7" x14ac:dyDescent="0.3">
      <c r="G170" s="48" t="s">
        <v>173</v>
      </c>
    </row>
    <row r="171" spans="7:7" x14ac:dyDescent="0.3">
      <c r="G171" s="48" t="s">
        <v>224</v>
      </c>
    </row>
    <row r="172" spans="7:7" x14ac:dyDescent="0.3">
      <c r="G172" s="48" t="s">
        <v>225</v>
      </c>
    </row>
  </sheetData>
  <autoFilter ref="F1:G89" xr:uid="{CB047509-CB6B-45CD-949B-3F5C6EA5CA3E}">
    <sortState xmlns:xlrd2="http://schemas.microsoft.com/office/spreadsheetml/2017/richdata2" ref="F2:G89">
      <sortCondition ref="F1:F89"/>
    </sortState>
  </autoFilter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SBC COA Mapping</vt:lpstr>
      <vt:lpstr>OPENING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ZAKIR HOSSAIN</dc:creator>
  <dc:description/>
  <cp:lastModifiedBy>DELL-PC</cp:lastModifiedBy>
  <cp:revision>38</cp:revision>
  <cp:lastPrinted>2023-02-01T08:36:57Z</cp:lastPrinted>
  <dcterms:created xsi:type="dcterms:W3CDTF">2022-10-24T03:52:05Z</dcterms:created>
  <dcterms:modified xsi:type="dcterms:W3CDTF">2023-04-03T07:11:17Z</dcterms:modified>
  <dc:language>en-US</dc:language>
</cp:coreProperties>
</file>