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mc:AlternateContent xmlns:mc="http://schemas.openxmlformats.org/markup-compatibility/2006">
    <mc:Choice Requires="x15">
      <x15ac:absPath xmlns:x15ac="http://schemas.microsoft.com/office/spreadsheetml/2010/11/ac" url="https://edheccom-my.sharepoint.com/personal/issa_elzein_edhec_com/Documents/EDHEC/3A/Cours 3A/Financial Diagnosis/Financial Diagnosis - Dashboard/"/>
    </mc:Choice>
  </mc:AlternateContent>
  <xr:revisionPtr revIDLastSave="2" documentId="8_{80171983-CACC-0345-A6D3-E06FC6535A46}" xr6:coauthVersionLast="47" xr6:coauthVersionMax="47" xr10:uidLastSave="{A7D593F3-AB18-B543-8446-70B2801636B9}"/>
  <bookViews>
    <workbookView xWindow="0" yWindow="660" windowWidth="28800" windowHeight="16820" activeTab="1" xr2:uid="{00000000-000D-0000-FFFF-FFFF00000000}"/>
  </bookViews>
  <sheets>
    <sheet name="Schneider Electric" sheetId="6" r:id="rId1"/>
    <sheet name="Income Statement" sheetId="2" r:id="rId2"/>
    <sheet name="Balance Sheet" sheetId="1" r:id="rId3"/>
    <sheet name="Cash Flow Statement" sheetId="3" r:id="rId4"/>
    <sheet name="Ratios" sheetId="4" r:id="rId5"/>
    <sheet name="Final Financial Analysis"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4" i="4" l="1"/>
  <c r="Q16" i="1"/>
  <c r="W8" i="1"/>
  <c r="W16" i="1"/>
  <c r="T16" i="1"/>
  <c r="Z16" i="1"/>
  <c r="Z21" i="1"/>
  <c r="Z8" i="1"/>
  <c r="W21" i="1"/>
  <c r="T8" i="1"/>
  <c r="T21" i="1"/>
  <c r="Q21" i="1"/>
  <c r="Q8" i="1"/>
  <c r="Q13" i="2"/>
  <c r="N37" i="4" s="1"/>
  <c r="N13" i="2"/>
  <c r="S13" i="2"/>
  <c r="AC13" i="2"/>
  <c r="Z13" i="2"/>
  <c r="W13" i="2"/>
  <c r="T13" i="2"/>
  <c r="N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E47" i="4" s="1"/>
  <c r="M95" i="4"/>
  <c r="M96" i="4"/>
  <c r="M97" i="4"/>
  <c r="M98" i="4"/>
  <c r="M99" i="4"/>
  <c r="M100" i="4"/>
  <c r="M101" i="4"/>
  <c r="M102" i="4"/>
  <c r="M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J47" i="4" s="1"/>
  <c r="R95" i="4"/>
  <c r="R96" i="4"/>
  <c r="R97" i="4"/>
  <c r="R98" i="4"/>
  <c r="R99" i="4"/>
  <c r="R100" i="4"/>
  <c r="R101" i="4"/>
  <c r="R102"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I47" i="4" s="1"/>
  <c r="Q95" i="4"/>
  <c r="Q96" i="4"/>
  <c r="Q97" i="4"/>
  <c r="Q98" i="4"/>
  <c r="Q99" i="4"/>
  <c r="Q100" i="4"/>
  <c r="Q101" i="4"/>
  <c r="Q102"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H47" i="4" s="1"/>
  <c r="P95" i="4"/>
  <c r="P96" i="4"/>
  <c r="P97" i="4"/>
  <c r="P98" i="4"/>
  <c r="P99" i="4"/>
  <c r="P100" i="4"/>
  <c r="P101" i="4"/>
  <c r="P102"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G47" i="4" s="1"/>
  <c r="O95" i="4"/>
  <c r="O96" i="4"/>
  <c r="O97" i="4"/>
  <c r="O98" i="4"/>
  <c r="O99" i="4"/>
  <c r="O100" i="4"/>
  <c r="O101" i="4"/>
  <c r="O102"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F47" i="4" s="1"/>
  <c r="N95" i="4"/>
  <c r="N96" i="4"/>
  <c r="N97" i="4"/>
  <c r="N98" i="4"/>
  <c r="N99" i="4"/>
  <c r="N100" i="4"/>
  <c r="N101" i="4"/>
  <c r="N102" i="4"/>
  <c r="R59" i="4"/>
  <c r="Q59" i="4"/>
  <c r="P59" i="4"/>
  <c r="O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5" i="4"/>
  <c r="L96" i="4"/>
  <c r="L97" i="4"/>
  <c r="L98" i="4"/>
  <c r="L99" i="4"/>
  <c r="L100" i="4"/>
  <c r="L101" i="4"/>
  <c r="L102" i="4"/>
  <c r="L59" i="4"/>
  <c r="M3" i="4"/>
  <c r="M4" i="4"/>
  <c r="M5" i="4"/>
  <c r="M6" i="4"/>
  <c r="M7" i="4"/>
  <c r="M8" i="4"/>
  <c r="M9" i="4"/>
  <c r="M10" i="4"/>
  <c r="M11" i="4"/>
  <c r="M12" i="4"/>
  <c r="M13" i="4"/>
  <c r="M14" i="4"/>
  <c r="M15" i="4"/>
  <c r="M16" i="4"/>
  <c r="M17" i="4"/>
  <c r="M18" i="4"/>
  <c r="M19" i="4"/>
  <c r="M20" i="4"/>
  <c r="M21" i="4"/>
  <c r="M22" i="4"/>
  <c r="M23" i="4"/>
  <c r="M24" i="4"/>
  <c r="M25" i="4"/>
  <c r="M2" i="4"/>
  <c r="AL12" i="2"/>
  <c r="AK12" i="2"/>
  <c r="AJ12" i="2"/>
  <c r="O29" i="4"/>
  <c r="P29" i="4"/>
  <c r="Q29" i="4"/>
  <c r="R29" i="4"/>
  <c r="O30" i="4"/>
  <c r="P30" i="4"/>
  <c r="Q30" i="4"/>
  <c r="R30" i="4"/>
  <c r="O31" i="4"/>
  <c r="P31" i="4"/>
  <c r="Q31" i="4"/>
  <c r="R31" i="4"/>
  <c r="O32" i="4"/>
  <c r="P32" i="4"/>
  <c r="Q32" i="4"/>
  <c r="R32" i="4"/>
  <c r="O33" i="4"/>
  <c r="P33" i="4"/>
  <c r="Q33" i="4"/>
  <c r="R33" i="4"/>
  <c r="O34" i="4"/>
  <c r="P34" i="4"/>
  <c r="Q34" i="4"/>
  <c r="R34" i="4"/>
  <c r="O35" i="4"/>
  <c r="P35" i="4"/>
  <c r="Q35" i="4"/>
  <c r="R35" i="4"/>
  <c r="O36" i="4"/>
  <c r="P36" i="4"/>
  <c r="Q36" i="4"/>
  <c r="R36" i="4"/>
  <c r="O38" i="4"/>
  <c r="P38" i="4"/>
  <c r="Q38" i="4"/>
  <c r="R38" i="4"/>
  <c r="O39" i="4"/>
  <c r="P39" i="4"/>
  <c r="Q39" i="4"/>
  <c r="R39" i="4"/>
  <c r="O40" i="4"/>
  <c r="P40" i="4"/>
  <c r="Q40" i="4"/>
  <c r="R40" i="4"/>
  <c r="O41" i="4"/>
  <c r="P41" i="4"/>
  <c r="Q41" i="4"/>
  <c r="R41" i="4"/>
  <c r="O42" i="4"/>
  <c r="P42" i="4"/>
  <c r="Q42" i="4"/>
  <c r="R42" i="4"/>
  <c r="O43" i="4"/>
  <c r="P43" i="4"/>
  <c r="Q43" i="4"/>
  <c r="R43" i="4"/>
  <c r="O44" i="4"/>
  <c r="P44" i="4"/>
  <c r="Q44" i="4"/>
  <c r="R44" i="4"/>
  <c r="O45" i="4"/>
  <c r="P45" i="4"/>
  <c r="Q45" i="4"/>
  <c r="R45" i="4"/>
  <c r="O46" i="4"/>
  <c r="P46" i="4"/>
  <c r="Q46" i="4"/>
  <c r="R46" i="4"/>
  <c r="O47" i="4"/>
  <c r="P47" i="4"/>
  <c r="Q47" i="4"/>
  <c r="R47" i="4"/>
  <c r="O48" i="4"/>
  <c r="P48" i="4"/>
  <c r="Q48" i="4"/>
  <c r="R48" i="4"/>
  <c r="O49" i="4"/>
  <c r="P49" i="4"/>
  <c r="Q49" i="4"/>
  <c r="R49" i="4"/>
  <c r="O50" i="4"/>
  <c r="P50" i="4"/>
  <c r="Q50" i="4"/>
  <c r="R50" i="4"/>
  <c r="O51" i="4"/>
  <c r="P51" i="4"/>
  <c r="Q51" i="4"/>
  <c r="R51" i="4"/>
  <c r="O52" i="4"/>
  <c r="P52" i="4"/>
  <c r="Q52" i="4"/>
  <c r="R52" i="4"/>
  <c r="O53" i="4"/>
  <c r="P53" i="4"/>
  <c r="Q53" i="4"/>
  <c r="R53" i="4"/>
  <c r="R28" i="4"/>
  <c r="Q28" i="4"/>
  <c r="P28" i="4"/>
  <c r="O28" i="4"/>
  <c r="N31" i="4"/>
  <c r="N32" i="4"/>
  <c r="N33" i="4"/>
  <c r="N34" i="4"/>
  <c r="N35" i="4"/>
  <c r="N36" i="4"/>
  <c r="N38" i="4"/>
  <c r="N39" i="4"/>
  <c r="N40" i="4"/>
  <c r="N41" i="4"/>
  <c r="N42" i="4"/>
  <c r="N43" i="4"/>
  <c r="N44" i="4"/>
  <c r="N45" i="4"/>
  <c r="N46" i="4"/>
  <c r="N47" i="4"/>
  <c r="N48" i="4"/>
  <c r="N49" i="4"/>
  <c r="N50" i="4"/>
  <c r="N51" i="4"/>
  <c r="N52" i="4"/>
  <c r="N53" i="4"/>
  <c r="N30" i="4"/>
  <c r="N29" i="4"/>
  <c r="N28" i="4"/>
  <c r="M29" i="4"/>
  <c r="M30" i="4"/>
  <c r="M31" i="4"/>
  <c r="M32" i="4"/>
  <c r="M33" i="4"/>
  <c r="M34" i="4"/>
  <c r="M35" i="4"/>
  <c r="M36" i="4"/>
  <c r="M38" i="4"/>
  <c r="M39" i="4"/>
  <c r="M40" i="4"/>
  <c r="M41" i="4"/>
  <c r="M42" i="4"/>
  <c r="M43" i="4"/>
  <c r="M44" i="4"/>
  <c r="M45" i="4"/>
  <c r="M46" i="4"/>
  <c r="M47" i="4"/>
  <c r="M48" i="4"/>
  <c r="M49" i="4"/>
  <c r="M50" i="4"/>
  <c r="M51" i="4"/>
  <c r="M52" i="4"/>
  <c r="M53" i="4"/>
  <c r="M28" i="4"/>
  <c r="AI8" i="2"/>
  <c r="AJ8" i="2"/>
  <c r="AK8" i="2"/>
  <c r="AL8" i="2"/>
  <c r="AI10" i="2"/>
  <c r="AJ10" i="2"/>
  <c r="AK10" i="2"/>
  <c r="AL10" i="2"/>
  <c r="AI12" i="2"/>
  <c r="AH10" i="2"/>
  <c r="AH12" i="2"/>
  <c r="AI7" i="2"/>
  <c r="AJ7" i="2"/>
  <c r="AK7" i="2"/>
  <c r="AL7" i="2"/>
  <c r="AI5" i="2"/>
  <c r="AJ5" i="2"/>
  <c r="AK5" i="2"/>
  <c r="AL5" i="2"/>
  <c r="AH4" i="2"/>
  <c r="AI4" i="2"/>
  <c r="AI6" i="2" s="1"/>
  <c r="AI9" i="2" s="1"/>
  <c r="AI11" i="2" s="1"/>
  <c r="AI13" i="2" s="1"/>
  <c r="AJ4" i="2"/>
  <c r="AJ6" i="2" s="1"/>
  <c r="AJ9" i="2" s="1"/>
  <c r="AJ11" i="2" s="1"/>
  <c r="AK4" i="2"/>
  <c r="AK6" i="2" s="1"/>
  <c r="AK9" i="2" s="1"/>
  <c r="AK11" i="2" s="1"/>
  <c r="AK13" i="2" s="1"/>
  <c r="AL4" i="2"/>
  <c r="AL6" i="2" s="1"/>
  <c r="AL9" i="2" s="1"/>
  <c r="AL11" i="2" s="1"/>
  <c r="AL13" i="2" s="1"/>
  <c r="R3" i="4"/>
  <c r="R4" i="4"/>
  <c r="R6" i="4"/>
  <c r="R7" i="4"/>
  <c r="R8" i="4"/>
  <c r="R9" i="4"/>
  <c r="R12" i="4"/>
  <c r="R13" i="4"/>
  <c r="R14" i="4"/>
  <c r="R15" i="4"/>
  <c r="R17" i="4"/>
  <c r="R18" i="4"/>
  <c r="R20" i="4"/>
  <c r="R21" i="4"/>
  <c r="R22" i="4"/>
  <c r="R23" i="4"/>
  <c r="R2" i="4"/>
  <c r="Q3" i="4"/>
  <c r="Q4" i="4"/>
  <c r="Q6" i="4"/>
  <c r="Q7" i="4"/>
  <c r="Q8" i="4"/>
  <c r="Q9" i="4"/>
  <c r="Q12" i="4"/>
  <c r="Q13" i="4"/>
  <c r="Q14" i="4"/>
  <c r="Q15" i="4"/>
  <c r="Q17" i="4"/>
  <c r="Q18" i="4"/>
  <c r="Q20" i="4"/>
  <c r="Q21" i="4"/>
  <c r="Q22" i="4"/>
  <c r="Q23" i="4"/>
  <c r="Q2" i="4"/>
  <c r="P3" i="4"/>
  <c r="P4" i="4"/>
  <c r="P6" i="4"/>
  <c r="P7" i="4"/>
  <c r="P8" i="4"/>
  <c r="P9" i="4"/>
  <c r="P12" i="4"/>
  <c r="P13" i="4"/>
  <c r="P14" i="4"/>
  <c r="P15" i="4"/>
  <c r="P17" i="4"/>
  <c r="P18" i="4"/>
  <c r="P20" i="4"/>
  <c r="P21" i="4"/>
  <c r="P22" i="4"/>
  <c r="P23" i="4"/>
  <c r="P2" i="4"/>
  <c r="O3" i="4"/>
  <c r="O4" i="4"/>
  <c r="O6" i="4"/>
  <c r="O7" i="4"/>
  <c r="O8" i="4"/>
  <c r="O9" i="4"/>
  <c r="O12" i="4"/>
  <c r="O13" i="4"/>
  <c r="O14" i="4"/>
  <c r="O15" i="4"/>
  <c r="O17" i="4"/>
  <c r="O18" i="4"/>
  <c r="O20" i="4"/>
  <c r="O21" i="4"/>
  <c r="O22" i="4"/>
  <c r="O23" i="4"/>
  <c r="O2" i="4"/>
  <c r="N3" i="4"/>
  <c r="N4" i="4"/>
  <c r="N6" i="4"/>
  <c r="N7" i="4"/>
  <c r="N8" i="4"/>
  <c r="N9" i="4"/>
  <c r="N12" i="4"/>
  <c r="N14" i="4"/>
  <c r="N15" i="4"/>
  <c r="N17" i="4"/>
  <c r="N18" i="4"/>
  <c r="N20" i="4"/>
  <c r="N21" i="4"/>
  <c r="N22" i="4"/>
  <c r="N23" i="4"/>
  <c r="N2" i="4"/>
  <c r="L3" i="4"/>
  <c r="L4" i="4"/>
  <c r="L5" i="4"/>
  <c r="L6" i="4"/>
  <c r="L7" i="4"/>
  <c r="L8" i="4"/>
  <c r="L9" i="4"/>
  <c r="L10" i="4"/>
  <c r="L11" i="4"/>
  <c r="L12" i="4"/>
  <c r="L13" i="4"/>
  <c r="L14" i="4"/>
  <c r="L15" i="4"/>
  <c r="L16" i="4"/>
  <c r="L17" i="4"/>
  <c r="L18" i="4"/>
  <c r="L19" i="4"/>
  <c r="L20" i="4"/>
  <c r="L21" i="4"/>
  <c r="L22" i="4"/>
  <c r="L23" i="4"/>
  <c r="L24" i="4"/>
  <c r="L25" i="4"/>
  <c r="L2" i="4"/>
  <c r="P14" i="1"/>
  <c r="W53" i="3"/>
  <c r="AA54" i="3"/>
  <c r="Y54" i="3"/>
  <c r="Z54" i="3" s="1"/>
  <c r="W54" i="3"/>
  <c r="AH8" i="2"/>
  <c r="AH7" i="2"/>
  <c r="AH5" i="2"/>
  <c r="R24" i="2"/>
  <c r="R28" i="2"/>
  <c r="S54" i="3"/>
  <c r="T54" i="3" s="1"/>
  <c r="W58" i="3"/>
  <c r="W57" i="3"/>
  <c r="W56" i="3"/>
  <c r="W55" i="3"/>
  <c r="U53" i="3"/>
  <c r="Y53" i="3"/>
  <c r="AA53" i="3"/>
  <c r="U54" i="3"/>
  <c r="V54" i="3" s="1"/>
  <c r="U55" i="3"/>
  <c r="Y55" i="3"/>
  <c r="AA55" i="3"/>
  <c r="U56" i="3"/>
  <c r="Y56" i="3"/>
  <c r="AA56" i="3"/>
  <c r="U57" i="3"/>
  <c r="Y57" i="3"/>
  <c r="AA57" i="3"/>
  <c r="U58" i="3"/>
  <c r="Y58" i="3"/>
  <c r="AA58" i="3"/>
  <c r="S58" i="3"/>
  <c r="T58" i="3" s="1"/>
  <c r="S57" i="3"/>
  <c r="T57" i="3" s="1"/>
  <c r="S56" i="3"/>
  <c r="T56" i="3" s="1"/>
  <c r="S55" i="3"/>
  <c r="T55" i="3" s="1"/>
  <c r="S53" i="3"/>
  <c r="X30" i="3"/>
  <c r="V30" i="3"/>
  <c r="X41" i="3"/>
  <c r="T34" i="3"/>
  <c r="T30" i="3"/>
  <c r="T13" i="3"/>
  <c r="T11" i="3"/>
  <c r="T4" i="3"/>
  <c r="Z3" i="3"/>
  <c r="Z5" i="3"/>
  <c r="Z6" i="3"/>
  <c r="Z7" i="3"/>
  <c r="Z8" i="3"/>
  <c r="Z9" i="3"/>
  <c r="Z10" i="3"/>
  <c r="Z12" i="3"/>
  <c r="Z14" i="3"/>
  <c r="Z15" i="3"/>
  <c r="Z16" i="3"/>
  <c r="Z17" i="3"/>
  <c r="Z18" i="3"/>
  <c r="Z19" i="3"/>
  <c r="Z20" i="3"/>
  <c r="Z21" i="3"/>
  <c r="Z22" i="3"/>
  <c r="Z23" i="3"/>
  <c r="Z24" i="3"/>
  <c r="Z25" i="3"/>
  <c r="Z26" i="3"/>
  <c r="Z27" i="3"/>
  <c r="Z28" i="3"/>
  <c r="Z29" i="3"/>
  <c r="Z31" i="3"/>
  <c r="Z32" i="3"/>
  <c r="Z33" i="3"/>
  <c r="Z35" i="3"/>
  <c r="Z36" i="3"/>
  <c r="Z37" i="3"/>
  <c r="Z38" i="3"/>
  <c r="Z39" i="3"/>
  <c r="Z40" i="3"/>
  <c r="Z42" i="3"/>
  <c r="Z43" i="3"/>
  <c r="Z44" i="3"/>
  <c r="Z45" i="3"/>
  <c r="X3" i="3"/>
  <c r="X5" i="3"/>
  <c r="X6" i="3"/>
  <c r="X7" i="3"/>
  <c r="X8" i="3"/>
  <c r="X9" i="3"/>
  <c r="X10" i="3"/>
  <c r="X12" i="3"/>
  <c r="X14" i="3"/>
  <c r="X15" i="3"/>
  <c r="X16" i="3"/>
  <c r="X17" i="3"/>
  <c r="X18" i="3"/>
  <c r="X19" i="3"/>
  <c r="X20" i="3"/>
  <c r="X21" i="3"/>
  <c r="X22" i="3"/>
  <c r="X23" i="3"/>
  <c r="X24" i="3"/>
  <c r="X25" i="3"/>
  <c r="X26" i="3"/>
  <c r="X27" i="3"/>
  <c r="X28" i="3"/>
  <c r="X29" i="3"/>
  <c r="X31" i="3"/>
  <c r="X32" i="3"/>
  <c r="X33" i="3"/>
  <c r="X35" i="3"/>
  <c r="X36" i="3"/>
  <c r="X37" i="3"/>
  <c r="X38" i="3"/>
  <c r="X39" i="3"/>
  <c r="X40" i="3"/>
  <c r="X42" i="3"/>
  <c r="X43" i="3"/>
  <c r="X44" i="3"/>
  <c r="X45" i="3"/>
  <c r="Z2" i="3"/>
  <c r="V2" i="3"/>
  <c r="X2" i="3"/>
  <c r="V3" i="3"/>
  <c r="V6" i="3"/>
  <c r="V7" i="3"/>
  <c r="V8" i="3"/>
  <c r="V9" i="3"/>
  <c r="V10" i="3"/>
  <c r="V12" i="3"/>
  <c r="V14" i="3"/>
  <c r="V15" i="3"/>
  <c r="V16" i="3"/>
  <c r="V17" i="3"/>
  <c r="V18" i="3"/>
  <c r="V19" i="3"/>
  <c r="V20" i="3"/>
  <c r="V21" i="3"/>
  <c r="V22" i="3"/>
  <c r="V23" i="3"/>
  <c r="V24" i="3"/>
  <c r="V25" i="3"/>
  <c r="V26" i="3"/>
  <c r="V27" i="3"/>
  <c r="V28" i="3"/>
  <c r="V29" i="3"/>
  <c r="V31" i="3"/>
  <c r="V32" i="3"/>
  <c r="V33" i="3"/>
  <c r="V35" i="3"/>
  <c r="V36" i="3"/>
  <c r="V37" i="3"/>
  <c r="V38" i="3"/>
  <c r="V39" i="3"/>
  <c r="V40" i="3"/>
  <c r="V42" i="3"/>
  <c r="V43" i="3"/>
  <c r="V44" i="3"/>
  <c r="V45" i="3"/>
  <c r="T3" i="3"/>
  <c r="T6" i="3"/>
  <c r="T7" i="3"/>
  <c r="T8" i="3"/>
  <c r="T9" i="3"/>
  <c r="T10" i="3"/>
  <c r="T12" i="3"/>
  <c r="T14" i="3"/>
  <c r="T15" i="3"/>
  <c r="T16" i="3"/>
  <c r="T17" i="3"/>
  <c r="T18" i="3"/>
  <c r="T19" i="3"/>
  <c r="T20" i="3"/>
  <c r="T21" i="3"/>
  <c r="T22" i="3"/>
  <c r="T23" i="3"/>
  <c r="T24" i="3"/>
  <c r="T25" i="3"/>
  <c r="T26" i="3"/>
  <c r="T27" i="3"/>
  <c r="T28" i="3"/>
  <c r="T29" i="3"/>
  <c r="T31" i="3"/>
  <c r="T32" i="3"/>
  <c r="T33" i="3"/>
  <c r="T35" i="3"/>
  <c r="T36" i="3"/>
  <c r="T37" i="3"/>
  <c r="T38" i="3"/>
  <c r="T39" i="3"/>
  <c r="T40" i="3"/>
  <c r="T42" i="3"/>
  <c r="T43" i="3"/>
  <c r="T44" i="3"/>
  <c r="T45" i="3"/>
  <c r="T2" i="3"/>
  <c r="AF10" i="2"/>
  <c r="AF7" i="2"/>
  <c r="AD5" i="2"/>
  <c r="AD6" i="2"/>
  <c r="AD7" i="2"/>
  <c r="AD8" i="2"/>
  <c r="AD9" i="2"/>
  <c r="AD10" i="2"/>
  <c r="AD11" i="2"/>
  <c r="AD12" i="2"/>
  <c r="AD14" i="2"/>
  <c r="AD15" i="2"/>
  <c r="AD16" i="2"/>
  <c r="AD17" i="2"/>
  <c r="AD18" i="2"/>
  <c r="AD19" i="2"/>
  <c r="AD20" i="2"/>
  <c r="AD21" i="2"/>
  <c r="AD22" i="2"/>
  <c r="AD23" i="2"/>
  <c r="AD25" i="2"/>
  <c r="AD26" i="2"/>
  <c r="AD27" i="2"/>
  <c r="AD28" i="2"/>
  <c r="AD29" i="2"/>
  <c r="AD4" i="2"/>
  <c r="AB5" i="2"/>
  <c r="AB6" i="2"/>
  <c r="AB7" i="2"/>
  <c r="AB8" i="2"/>
  <c r="AB9" i="2"/>
  <c r="AB10" i="2"/>
  <c r="AB11" i="2"/>
  <c r="AB12" i="2"/>
  <c r="AB14" i="2"/>
  <c r="AB15" i="2"/>
  <c r="AB16" i="2"/>
  <c r="AB17" i="2"/>
  <c r="AB18" i="2"/>
  <c r="AB19" i="2"/>
  <c r="AB20" i="2"/>
  <c r="AB21" i="2"/>
  <c r="AB22" i="2"/>
  <c r="AB23" i="2"/>
  <c r="AB25" i="2"/>
  <c r="AB26" i="2"/>
  <c r="AB27" i="2"/>
  <c r="AB28" i="2"/>
  <c r="AB29" i="2"/>
  <c r="AB4" i="2"/>
  <c r="Y5" i="2"/>
  <c r="Y6" i="2"/>
  <c r="Y7" i="2"/>
  <c r="Y8" i="2"/>
  <c r="Y9" i="2"/>
  <c r="Y10" i="2"/>
  <c r="Y11" i="2"/>
  <c r="Y12" i="2"/>
  <c r="Y14" i="2"/>
  <c r="Y15" i="2"/>
  <c r="Y16" i="2"/>
  <c r="Y17" i="2"/>
  <c r="Y18" i="2"/>
  <c r="Y19" i="2"/>
  <c r="Y20" i="2"/>
  <c r="Y21" i="2"/>
  <c r="Y22" i="2"/>
  <c r="Y23" i="2"/>
  <c r="Y25" i="2"/>
  <c r="Y26" i="2"/>
  <c r="Y27" i="2"/>
  <c r="Y28" i="2"/>
  <c r="Y29" i="2"/>
  <c r="Y4" i="2"/>
  <c r="V5" i="2"/>
  <c r="V6" i="2"/>
  <c r="V7" i="2"/>
  <c r="V8" i="2"/>
  <c r="V9" i="2"/>
  <c r="V10" i="2"/>
  <c r="V11" i="2"/>
  <c r="V12" i="2"/>
  <c r="V14" i="2"/>
  <c r="V15" i="2"/>
  <c r="V16" i="2"/>
  <c r="V17" i="2"/>
  <c r="V18" i="2"/>
  <c r="V19" i="2"/>
  <c r="V20" i="2"/>
  <c r="V21" i="2"/>
  <c r="V22" i="2"/>
  <c r="V23" i="2"/>
  <c r="V24" i="2"/>
  <c r="V25" i="2"/>
  <c r="V26" i="2"/>
  <c r="V27" i="2"/>
  <c r="V28" i="2"/>
  <c r="V29" i="2"/>
  <c r="V4" i="2"/>
  <c r="AA5" i="2"/>
  <c r="AA6" i="2"/>
  <c r="AA7" i="2"/>
  <c r="AA8" i="2"/>
  <c r="AA9" i="2"/>
  <c r="AA10" i="2"/>
  <c r="AA11" i="2"/>
  <c r="AA12" i="2"/>
  <c r="AA14" i="2"/>
  <c r="AA15" i="2"/>
  <c r="AA16" i="2"/>
  <c r="AA17" i="2"/>
  <c r="AA18" i="2"/>
  <c r="AA19" i="2"/>
  <c r="AA20" i="2"/>
  <c r="AA21" i="2"/>
  <c r="AA22" i="2"/>
  <c r="AA23" i="2"/>
  <c r="AA25" i="2"/>
  <c r="AA26" i="2"/>
  <c r="AA27" i="2"/>
  <c r="AA28" i="2"/>
  <c r="AA29" i="2"/>
  <c r="AA4" i="2"/>
  <c r="X5" i="2"/>
  <c r="X6" i="2"/>
  <c r="X7" i="2"/>
  <c r="X8" i="2"/>
  <c r="X9" i="2"/>
  <c r="X10" i="2"/>
  <c r="X11" i="2"/>
  <c r="X12" i="2"/>
  <c r="X14" i="2"/>
  <c r="X15" i="2"/>
  <c r="X16" i="2"/>
  <c r="X17" i="2"/>
  <c r="X18" i="2"/>
  <c r="X19" i="2"/>
  <c r="X20" i="2"/>
  <c r="X21" i="2"/>
  <c r="X22" i="2"/>
  <c r="X23" i="2"/>
  <c r="X25" i="2"/>
  <c r="X26" i="2"/>
  <c r="X27" i="2"/>
  <c r="X28" i="2"/>
  <c r="X29" i="2"/>
  <c r="X4" i="2"/>
  <c r="U5" i="2"/>
  <c r="U6" i="2"/>
  <c r="U7" i="2"/>
  <c r="U8" i="2"/>
  <c r="U9" i="2"/>
  <c r="U10" i="2"/>
  <c r="U11" i="2"/>
  <c r="U12" i="2"/>
  <c r="U14" i="2"/>
  <c r="U15" i="2"/>
  <c r="U16" i="2"/>
  <c r="U17" i="2"/>
  <c r="U18" i="2"/>
  <c r="U19" i="2"/>
  <c r="U20" i="2"/>
  <c r="U21" i="2"/>
  <c r="U22" i="2"/>
  <c r="U23" i="2"/>
  <c r="U25" i="2"/>
  <c r="U26" i="2"/>
  <c r="U27" i="2"/>
  <c r="U28" i="2"/>
  <c r="U29" i="2"/>
  <c r="U4" i="2"/>
  <c r="R5" i="2"/>
  <c r="R6" i="2"/>
  <c r="R7" i="2"/>
  <c r="R8" i="2"/>
  <c r="R9" i="2"/>
  <c r="R10" i="2"/>
  <c r="R11" i="2"/>
  <c r="R12" i="2"/>
  <c r="R14" i="2"/>
  <c r="R15" i="2"/>
  <c r="R16" i="2"/>
  <c r="R17" i="2"/>
  <c r="R18" i="2"/>
  <c r="R19" i="2"/>
  <c r="R20" i="2"/>
  <c r="R21" i="2"/>
  <c r="R22" i="2"/>
  <c r="R23" i="2"/>
  <c r="R25" i="2"/>
  <c r="R26" i="2"/>
  <c r="R27" i="2"/>
  <c r="R29" i="2"/>
  <c r="R4" i="2"/>
  <c r="P17" i="1"/>
  <c r="N16" i="4" s="1"/>
  <c r="S17" i="1"/>
  <c r="O16" i="4" s="1"/>
  <c r="R43" i="1"/>
  <c r="R41" i="1"/>
  <c r="R36" i="1"/>
  <c r="R35" i="1"/>
  <c r="R46" i="1"/>
  <c r="T35" i="1"/>
  <c r="R48" i="1"/>
  <c r="T46" i="1"/>
  <c r="T36" i="1"/>
  <c r="R34" i="1"/>
  <c r="R32" i="1"/>
  <c r="R31" i="1"/>
  <c r="R30" i="1"/>
  <c r="T31" i="1"/>
  <c r="T30" i="1"/>
  <c r="O64" i="1"/>
  <c r="O60" i="1"/>
  <c r="O59" i="1"/>
  <c r="O58" i="1"/>
  <c r="S58" i="1"/>
  <c r="Q58" i="1"/>
  <c r="W58" i="1"/>
  <c r="S59" i="1"/>
  <c r="Q59" i="1"/>
  <c r="Q4" i="1"/>
  <c r="Q5" i="1"/>
  <c r="Q7" i="1"/>
  <c r="Q9" i="1"/>
  <c r="Q10" i="1"/>
  <c r="Q13" i="1"/>
  <c r="Q18" i="1"/>
  <c r="Q19" i="1"/>
  <c r="Q23" i="1"/>
  <c r="Q24" i="1"/>
  <c r="Q3" i="1"/>
  <c r="P25" i="1"/>
  <c r="P20" i="1"/>
  <c r="Z4" i="1"/>
  <c r="Z5" i="1"/>
  <c r="Z7" i="1"/>
  <c r="Z9" i="1"/>
  <c r="Z10" i="1"/>
  <c r="Z13" i="1"/>
  <c r="Z14" i="1"/>
  <c r="Z18" i="1"/>
  <c r="Z19" i="1"/>
  <c r="Z23" i="1"/>
  <c r="Z24" i="1"/>
  <c r="Z3" i="1"/>
  <c r="W4" i="1"/>
  <c r="W5" i="1"/>
  <c r="W7" i="1"/>
  <c r="W9" i="1"/>
  <c r="W10" i="1"/>
  <c r="W13" i="1"/>
  <c r="W14" i="1"/>
  <c r="W18" i="1"/>
  <c r="W19" i="1"/>
  <c r="W23" i="1"/>
  <c r="W24" i="1"/>
  <c r="W3" i="1"/>
  <c r="T23" i="1"/>
  <c r="T24" i="1"/>
  <c r="T4" i="1"/>
  <c r="T5" i="1"/>
  <c r="T7" i="1"/>
  <c r="T9" i="1"/>
  <c r="T10" i="1"/>
  <c r="T13" i="1"/>
  <c r="T14" i="1"/>
  <c r="T18" i="1"/>
  <c r="T19" i="1"/>
  <c r="T3" i="1"/>
  <c r="W59" i="1"/>
  <c r="W60" i="1"/>
  <c r="W64" i="1"/>
  <c r="Z30" i="1"/>
  <c r="S30" i="1" s="1"/>
  <c r="Z31" i="1"/>
  <c r="Z32" i="1"/>
  <c r="Z34" i="1"/>
  <c r="Z35" i="1"/>
  <c r="Z36" i="1"/>
  <c r="Z41" i="1"/>
  <c r="Z42" i="1"/>
  <c r="Z43" i="1"/>
  <c r="Z46" i="1"/>
  <c r="Z48" i="1"/>
  <c r="T48" i="1"/>
  <c r="U48" i="1" s="1"/>
  <c r="U46" i="1"/>
  <c r="T43" i="1"/>
  <c r="T42" i="1"/>
  <c r="U42" i="1" s="1"/>
  <c r="T41" i="1"/>
  <c r="U58" i="1"/>
  <c r="U59" i="1"/>
  <c r="S60" i="1"/>
  <c r="T60" i="1" s="1"/>
  <c r="U60" i="1"/>
  <c r="V60" i="1" s="1"/>
  <c r="S64" i="1"/>
  <c r="T64" i="1" s="1"/>
  <c r="U64" i="1"/>
  <c r="V64" i="1" s="1"/>
  <c r="Q64" i="1"/>
  <c r="R64" i="1" s="1"/>
  <c r="V48" i="1"/>
  <c r="X48" i="1"/>
  <c r="V41" i="1"/>
  <c r="X41" i="1"/>
  <c r="V42" i="1"/>
  <c r="X42" i="1"/>
  <c r="V43" i="1"/>
  <c r="X43" i="1"/>
  <c r="V46" i="1"/>
  <c r="X46" i="1"/>
  <c r="V30" i="1"/>
  <c r="X30" i="1"/>
  <c r="V31" i="1"/>
  <c r="X31" i="1"/>
  <c r="V32" i="1"/>
  <c r="X32" i="1"/>
  <c r="V34" i="1"/>
  <c r="X34" i="1"/>
  <c r="V35" i="1"/>
  <c r="X35" i="1"/>
  <c r="V36" i="1"/>
  <c r="X36" i="1"/>
  <c r="Q60" i="1"/>
  <c r="R60" i="1" s="1"/>
  <c r="X44" i="1"/>
  <c r="T34" i="1"/>
  <c r="T32" i="1"/>
  <c r="P11" i="1"/>
  <c r="N10" i="4" s="1"/>
  <c r="P6" i="1"/>
  <c r="V25" i="1"/>
  <c r="P24" i="4" s="1"/>
  <c r="Y25" i="1"/>
  <c r="AB25" i="1"/>
  <c r="R24" i="4" s="1"/>
  <c r="S25" i="1"/>
  <c r="O24" i="4" s="1"/>
  <c r="V20" i="1"/>
  <c r="Y20" i="1"/>
  <c r="AB20" i="1"/>
  <c r="S20" i="1"/>
  <c r="V17" i="1"/>
  <c r="P16" i="4" s="1"/>
  <c r="Y17" i="1"/>
  <c r="Q16" i="4" s="1"/>
  <c r="AB17" i="1"/>
  <c r="R16" i="4" s="1"/>
  <c r="V11" i="1"/>
  <c r="Y11" i="1"/>
  <c r="Q10" i="4" s="1"/>
  <c r="AB11" i="1"/>
  <c r="S11" i="1"/>
  <c r="V6" i="1"/>
  <c r="P5" i="4" s="1"/>
  <c r="Y6" i="1"/>
  <c r="Q5" i="4" s="1"/>
  <c r="AB6" i="1"/>
  <c r="R5" i="4" s="1"/>
  <c r="S6" i="1"/>
  <c r="O5" i="4" s="1"/>
  <c r="Z6" i="1"/>
  <c r="W6" i="1"/>
  <c r="F35" i="4" l="1"/>
  <c r="Z56" i="3"/>
  <c r="F23" i="4"/>
  <c r="F18" i="4"/>
  <c r="F20" i="4"/>
  <c r="F19" i="4"/>
  <c r="F11" i="4"/>
  <c r="U13" i="2"/>
  <c r="O37" i="4"/>
  <c r="G15" i="4" s="1"/>
  <c r="V13" i="2"/>
  <c r="X13" i="2"/>
  <c r="P37" i="4"/>
  <c r="H15" i="4" s="1"/>
  <c r="Y13" i="2"/>
  <c r="Q37" i="4"/>
  <c r="AB13" i="2"/>
  <c r="AA13" i="2"/>
  <c r="R37" i="4"/>
  <c r="AD13" i="2"/>
  <c r="R13" i="2"/>
  <c r="M37" i="4"/>
  <c r="E15" i="4" s="1"/>
  <c r="P13" i="2"/>
  <c r="O13" i="2"/>
  <c r="P10" i="4"/>
  <c r="V12" i="1"/>
  <c r="T58" i="1"/>
  <c r="P64" i="1"/>
  <c r="F16" i="4"/>
  <c r="F14" i="4"/>
  <c r="F12" i="4"/>
  <c r="I13" i="4"/>
  <c r="I15" i="4"/>
  <c r="H13" i="4"/>
  <c r="G13" i="4"/>
  <c r="E13" i="4"/>
  <c r="E33" i="4"/>
  <c r="F15" i="4"/>
  <c r="F13" i="4"/>
  <c r="E14" i="4"/>
  <c r="E12" i="4"/>
  <c r="J13" i="4"/>
  <c r="J15" i="4"/>
  <c r="F5" i="4"/>
  <c r="J18" i="4"/>
  <c r="P55" i="4"/>
  <c r="O55" i="4"/>
  <c r="M55" i="4"/>
  <c r="E44" i="4" s="1"/>
  <c r="F29" i="4"/>
  <c r="I20" i="4"/>
  <c r="F4" i="4"/>
  <c r="E4" i="4"/>
  <c r="G23" i="4"/>
  <c r="I19" i="4"/>
  <c r="H23" i="4"/>
  <c r="J20" i="4"/>
  <c r="J19" i="4"/>
  <c r="G18" i="4"/>
  <c r="I23" i="4"/>
  <c r="H20" i="4"/>
  <c r="H18" i="4"/>
  <c r="R55" i="4"/>
  <c r="H19" i="4"/>
  <c r="I18" i="4"/>
  <c r="N55" i="4"/>
  <c r="Q55" i="4"/>
  <c r="T44" i="1"/>
  <c r="H27" i="4"/>
  <c r="G27" i="4"/>
  <c r="V59" i="1"/>
  <c r="R10" i="4"/>
  <c r="J25" i="4" s="1"/>
  <c r="Z11" i="1"/>
  <c r="AB12" i="1"/>
  <c r="O10" i="4"/>
  <c r="T11" i="1"/>
  <c r="S12" i="1"/>
  <c r="E5" i="4"/>
  <c r="E11" i="4"/>
  <c r="E18" i="4"/>
  <c r="H11" i="4"/>
  <c r="E23" i="4"/>
  <c r="E19" i="4"/>
  <c r="E20" i="4"/>
  <c r="I11" i="4"/>
  <c r="G11" i="4"/>
  <c r="J11" i="4"/>
  <c r="F31" i="4"/>
  <c r="F45" i="4"/>
  <c r="F36" i="4" s="1"/>
  <c r="E31" i="4"/>
  <c r="E16" i="4"/>
  <c r="E35" i="4"/>
  <c r="E45" i="4"/>
  <c r="E37" i="4" s="1"/>
  <c r="E38" i="4" s="1"/>
  <c r="E26" i="4"/>
  <c r="J23" i="4"/>
  <c r="E27" i="4"/>
  <c r="AH6" i="2"/>
  <c r="AH9" i="2" s="1"/>
  <c r="AH11" i="2" s="1"/>
  <c r="AH13" i="2" s="1"/>
  <c r="G19" i="4"/>
  <c r="G20" i="4"/>
  <c r="G12" i="4"/>
  <c r="G14" i="4"/>
  <c r="H12" i="4"/>
  <c r="H14" i="4"/>
  <c r="I12" i="4"/>
  <c r="I14" i="4"/>
  <c r="J12" i="4"/>
  <c r="J14" i="4"/>
  <c r="G31" i="4"/>
  <c r="G16" i="4"/>
  <c r="H16" i="4"/>
  <c r="H31" i="4"/>
  <c r="I16" i="4"/>
  <c r="I31" i="4"/>
  <c r="J31" i="4"/>
  <c r="J16" i="4"/>
  <c r="G45" i="4"/>
  <c r="G37" i="4" s="1"/>
  <c r="G38" i="4" s="1"/>
  <c r="G35" i="4"/>
  <c r="H45" i="4"/>
  <c r="H37" i="4" s="1"/>
  <c r="H38" i="4" s="1"/>
  <c r="H35" i="4"/>
  <c r="I45" i="4"/>
  <c r="I37" i="4" s="1"/>
  <c r="I38" i="4" s="1"/>
  <c r="I35" i="4"/>
  <c r="J35" i="4"/>
  <c r="J45" i="4"/>
  <c r="J37" i="4" s="1"/>
  <c r="J38" i="4" s="1"/>
  <c r="E25" i="4"/>
  <c r="R58" i="1"/>
  <c r="P59" i="1"/>
  <c r="R59" i="1"/>
  <c r="P60" i="1"/>
  <c r="T59" i="1"/>
  <c r="V58" i="1"/>
  <c r="E6" i="4"/>
  <c r="E7" i="4"/>
  <c r="E30" i="4"/>
  <c r="E29" i="4"/>
  <c r="E40" i="4"/>
  <c r="E32" i="4"/>
  <c r="J29" i="4"/>
  <c r="I29" i="4"/>
  <c r="H29" i="4"/>
  <c r="G29" i="4"/>
  <c r="R42" i="1"/>
  <c r="N13" i="4"/>
  <c r="O63" i="1"/>
  <c r="N24" i="4"/>
  <c r="F25" i="4" s="1"/>
  <c r="R45" i="1"/>
  <c r="N19" i="4"/>
  <c r="U63" i="1"/>
  <c r="Q24" i="4"/>
  <c r="V45" i="1"/>
  <c r="V49" i="1" s="1"/>
  <c r="P19" i="4"/>
  <c r="H33" i="4" s="1"/>
  <c r="X45" i="1"/>
  <c r="Q19" i="4"/>
  <c r="I33" i="4" s="1"/>
  <c r="Z20" i="1"/>
  <c r="R19" i="4"/>
  <c r="J33" i="4" s="1"/>
  <c r="T45" i="1"/>
  <c r="O19" i="4"/>
  <c r="G33" i="4" s="1"/>
  <c r="H25" i="4"/>
  <c r="H26" i="4"/>
  <c r="J27" i="4"/>
  <c r="X58" i="3"/>
  <c r="X57" i="3"/>
  <c r="X56" i="3"/>
  <c r="X55" i="3"/>
  <c r="Z53" i="3"/>
  <c r="Z57" i="3"/>
  <c r="V58" i="3"/>
  <c r="X53" i="3"/>
  <c r="V55" i="3"/>
  <c r="Z55" i="3"/>
  <c r="V56" i="3"/>
  <c r="V57" i="3"/>
  <c r="Z58" i="3"/>
  <c r="AA59" i="3"/>
  <c r="Y59" i="3"/>
  <c r="W59" i="3"/>
  <c r="X54" i="3"/>
  <c r="V53" i="3"/>
  <c r="U59" i="3"/>
  <c r="S59" i="3"/>
  <c r="T53" i="3"/>
  <c r="G5" i="4"/>
  <c r="G4" i="4"/>
  <c r="H5" i="4"/>
  <c r="H4" i="4"/>
  <c r="I5" i="4"/>
  <c r="I4" i="4"/>
  <c r="J5" i="4"/>
  <c r="J4" i="4"/>
  <c r="R4" i="1"/>
  <c r="N5" i="4"/>
  <c r="AJ13" i="2"/>
  <c r="U36" i="1"/>
  <c r="W35" i="1"/>
  <c r="O61" i="1"/>
  <c r="P58" i="1"/>
  <c r="S29" i="2"/>
  <c r="S5" i="2"/>
  <c r="S6" i="2"/>
  <c r="S7" i="2"/>
  <c r="S8" i="2"/>
  <c r="S9" i="2"/>
  <c r="S10" i="2"/>
  <c r="S11" i="2"/>
  <c r="S12" i="2"/>
  <c r="S14" i="2"/>
  <c r="S15" i="2"/>
  <c r="S16" i="2"/>
  <c r="S17" i="2"/>
  <c r="S18" i="2"/>
  <c r="S19" i="2"/>
  <c r="S20" i="2"/>
  <c r="S21" i="2"/>
  <c r="S22" i="2"/>
  <c r="S23" i="2"/>
  <c r="S24" i="2"/>
  <c r="S25" i="2"/>
  <c r="S26" i="2"/>
  <c r="S27" i="2"/>
  <c r="S28" i="2"/>
  <c r="S4" i="2"/>
  <c r="T33" i="1"/>
  <c r="W30" i="1"/>
  <c r="T49" i="1"/>
  <c r="W34" i="1"/>
  <c r="Y34" i="1"/>
  <c r="S42" i="1"/>
  <c r="S41" i="1"/>
  <c r="S36" i="1"/>
  <c r="S35" i="1"/>
  <c r="S46" i="1"/>
  <c r="U35" i="1"/>
  <c r="S48" i="1"/>
  <c r="S31" i="1"/>
  <c r="W36" i="1"/>
  <c r="O70" i="1"/>
  <c r="U61" i="1"/>
  <c r="W46" i="1"/>
  <c r="Y48" i="1"/>
  <c r="AC11" i="1"/>
  <c r="O62" i="1"/>
  <c r="Z38" i="1"/>
  <c r="W48" i="1"/>
  <c r="Y36" i="1"/>
  <c r="S34" i="1"/>
  <c r="R38" i="1"/>
  <c r="S32" i="1"/>
  <c r="R33" i="1"/>
  <c r="R49" i="1"/>
  <c r="U34" i="1"/>
  <c r="T38" i="1"/>
  <c r="AC12" i="1"/>
  <c r="AC13" i="1"/>
  <c r="AC18" i="1"/>
  <c r="AC19" i="1"/>
  <c r="AC23" i="1"/>
  <c r="Q14" i="1"/>
  <c r="R44" i="1"/>
  <c r="AC25" i="1"/>
  <c r="W61" i="1"/>
  <c r="U70" i="1"/>
  <c r="V33" i="1"/>
  <c r="U30" i="1"/>
  <c r="X49" i="1"/>
  <c r="X51" i="1" s="1"/>
  <c r="P26" i="1"/>
  <c r="W31" i="1"/>
  <c r="Y46" i="1"/>
  <c r="V38" i="1"/>
  <c r="Y12" i="1"/>
  <c r="Q11" i="4" s="1"/>
  <c r="R24" i="1"/>
  <c r="R21" i="1"/>
  <c r="R23" i="1"/>
  <c r="R19" i="1"/>
  <c r="R18" i="1"/>
  <c r="R16" i="1"/>
  <c r="R13" i="1"/>
  <c r="R14" i="1"/>
  <c r="P12" i="1"/>
  <c r="N11" i="4" s="1"/>
  <c r="F7" i="4" s="1"/>
  <c r="R7" i="1"/>
  <c r="R8" i="1"/>
  <c r="S63" i="1"/>
  <c r="V26" i="1"/>
  <c r="P25" i="4" s="1"/>
  <c r="W17" i="1"/>
  <c r="S62" i="1"/>
  <c r="Z17" i="1"/>
  <c r="U62" i="1"/>
  <c r="W62" i="1"/>
  <c r="W69" i="1" s="1"/>
  <c r="T17" i="1"/>
  <c r="AC17" i="1"/>
  <c r="S61" i="1"/>
  <c r="Q61" i="1"/>
  <c r="W11" i="1"/>
  <c r="T25" i="1"/>
  <c r="S26" i="1"/>
  <c r="O25" i="4" s="1"/>
  <c r="Q63" i="1"/>
  <c r="V44" i="1"/>
  <c r="W41" i="1"/>
  <c r="W32" i="1"/>
  <c r="U32" i="1"/>
  <c r="Y35" i="1"/>
  <c r="X38" i="1"/>
  <c r="Y42" i="1"/>
  <c r="W42" i="1"/>
  <c r="U31" i="1"/>
  <c r="Z44" i="1"/>
  <c r="Y32" i="1"/>
  <c r="X33" i="1"/>
  <c r="Y30" i="1"/>
  <c r="AB26" i="1"/>
  <c r="R25" i="4" s="1"/>
  <c r="AC20" i="1"/>
  <c r="AC21" i="1"/>
  <c r="AC10" i="1"/>
  <c r="T20" i="1"/>
  <c r="Z45" i="1"/>
  <c r="S45" i="1" s="1"/>
  <c r="Z33" i="1"/>
  <c r="R5" i="1"/>
  <c r="AC6" i="1"/>
  <c r="AC16" i="1"/>
  <c r="AC7" i="1"/>
  <c r="Q62" i="1"/>
  <c r="R62" i="1" s="1"/>
  <c r="T6" i="1"/>
  <c r="U41" i="1"/>
  <c r="AC3" i="1"/>
  <c r="AC15" i="1"/>
  <c r="AC5" i="1"/>
  <c r="Y26" i="1"/>
  <c r="Q25" i="4" s="1"/>
  <c r="W25" i="1"/>
  <c r="Z25" i="1"/>
  <c r="Y31" i="1"/>
  <c r="AC24" i="1"/>
  <c r="AC14" i="1"/>
  <c r="AC4" i="1"/>
  <c r="W63" i="1"/>
  <c r="R9" i="1"/>
  <c r="R3" i="1"/>
  <c r="R10" i="1"/>
  <c r="Y41" i="1"/>
  <c r="AC22" i="1"/>
  <c r="W20" i="1"/>
  <c r="Q6" i="1"/>
  <c r="Q11" i="1"/>
  <c r="Q17" i="1"/>
  <c r="Q20" i="1"/>
  <c r="Q25" i="1"/>
  <c r="I21" i="4" l="1"/>
  <c r="F21" i="4"/>
  <c r="T51" i="1"/>
  <c r="I44" i="4"/>
  <c r="F33" i="4"/>
  <c r="F32" i="4"/>
  <c r="G44" i="4"/>
  <c r="F26" i="4"/>
  <c r="F37" i="4"/>
  <c r="F38" i="4" s="1"/>
  <c r="F27" i="4"/>
  <c r="F6" i="4"/>
  <c r="F9" i="4" s="1"/>
  <c r="H21" i="4"/>
  <c r="F48" i="4"/>
  <c r="F39" i="4"/>
  <c r="J21" i="4"/>
  <c r="E48" i="4"/>
  <c r="J26" i="4"/>
  <c r="E39" i="4"/>
  <c r="E36" i="4"/>
  <c r="G36" i="4"/>
  <c r="AC9" i="1"/>
  <c r="AC8" i="1"/>
  <c r="R11" i="4"/>
  <c r="U9" i="1"/>
  <c r="T12" i="1"/>
  <c r="U16" i="1"/>
  <c r="U7" i="1"/>
  <c r="U23" i="1"/>
  <c r="U13" i="1"/>
  <c r="U20" i="1"/>
  <c r="U12" i="1"/>
  <c r="U21" i="1"/>
  <c r="U10" i="1"/>
  <c r="U19" i="1"/>
  <c r="U18" i="1"/>
  <c r="G25" i="4"/>
  <c r="G26" i="4"/>
  <c r="U4" i="1"/>
  <c r="U25" i="1"/>
  <c r="U11" i="1"/>
  <c r="O11" i="4"/>
  <c r="U5" i="1"/>
  <c r="U14" i="1"/>
  <c r="U8" i="1"/>
  <c r="U24" i="1"/>
  <c r="U3" i="1"/>
  <c r="U17" i="1"/>
  <c r="U6" i="1"/>
  <c r="E21" i="4"/>
  <c r="I27" i="4"/>
  <c r="I26" i="4"/>
  <c r="I25" i="4"/>
  <c r="G21" i="4"/>
  <c r="E41" i="4"/>
  <c r="G39" i="4"/>
  <c r="G48" i="4"/>
  <c r="H48" i="4"/>
  <c r="H36" i="4"/>
  <c r="H39" i="4"/>
  <c r="I39" i="4"/>
  <c r="I48" i="4"/>
  <c r="I36" i="4"/>
  <c r="J39" i="4"/>
  <c r="J48" i="4"/>
  <c r="J36" i="4"/>
  <c r="F40" i="4"/>
  <c r="F41" i="4" s="1"/>
  <c r="H32" i="4"/>
  <c r="H40" i="4"/>
  <c r="H41" i="4" s="1"/>
  <c r="I40" i="4"/>
  <c r="I41" i="4" s="1"/>
  <c r="I32" i="4"/>
  <c r="J40" i="4"/>
  <c r="J41" i="4" s="1"/>
  <c r="J32" i="4"/>
  <c r="G40" i="4"/>
  <c r="G41" i="4" s="1"/>
  <c r="G32" i="4"/>
  <c r="E9" i="4"/>
  <c r="V62" i="1"/>
  <c r="V61" i="1"/>
  <c r="V40" i="1"/>
  <c r="T61" i="1"/>
  <c r="R61" i="1"/>
  <c r="R20" i="1"/>
  <c r="N25" i="4"/>
  <c r="I30" i="4"/>
  <c r="I6" i="4"/>
  <c r="I7" i="4"/>
  <c r="F30" i="4"/>
  <c r="X17" i="1"/>
  <c r="P11" i="4"/>
  <c r="Z59" i="3"/>
  <c r="X59" i="3"/>
  <c r="V59" i="3"/>
  <c r="T59" i="3"/>
  <c r="P61" i="1"/>
  <c r="P62" i="1"/>
  <c r="S70" i="1"/>
  <c r="T63" i="1"/>
  <c r="S65" i="1"/>
  <c r="S69" i="1"/>
  <c r="T69" i="1" s="1"/>
  <c r="T62" i="1"/>
  <c r="Q70" i="1"/>
  <c r="R63" i="1"/>
  <c r="W70" i="1"/>
  <c r="V63" i="1"/>
  <c r="P63" i="1"/>
  <c r="S38" i="1"/>
  <c r="W38" i="1"/>
  <c r="O69" i="1"/>
  <c r="O65" i="1"/>
  <c r="R40" i="1"/>
  <c r="S33" i="1"/>
  <c r="W71" i="1"/>
  <c r="Y38" i="1"/>
  <c r="T40" i="1"/>
  <c r="U38" i="1"/>
  <c r="R51" i="1"/>
  <c r="F44" i="4" s="1"/>
  <c r="S44" i="1"/>
  <c r="AA25" i="1"/>
  <c r="AA14" i="1"/>
  <c r="AA24" i="1"/>
  <c r="AA5" i="1"/>
  <c r="AA3" i="1"/>
  <c r="Z12" i="1"/>
  <c r="AA9" i="1"/>
  <c r="AA19" i="1"/>
  <c r="AA11" i="1"/>
  <c r="AA12" i="1"/>
  <c r="AA20" i="1"/>
  <c r="AA6" i="1"/>
  <c r="R17" i="1"/>
  <c r="R25" i="1"/>
  <c r="AA18" i="1"/>
  <c r="AA10" i="1"/>
  <c r="AA21" i="1"/>
  <c r="AA7" i="1"/>
  <c r="AA16" i="1"/>
  <c r="AA13" i="1"/>
  <c r="AA23" i="1"/>
  <c r="AA4" i="1"/>
  <c r="AA8" i="1"/>
  <c r="AA17" i="1"/>
  <c r="Q12" i="1"/>
  <c r="R6" i="1"/>
  <c r="R11" i="1"/>
  <c r="R12" i="1" s="1"/>
  <c r="U69" i="1"/>
  <c r="U65" i="1"/>
  <c r="X26" i="1"/>
  <c r="X11" i="1"/>
  <c r="Z40" i="1"/>
  <c r="W33" i="1"/>
  <c r="V51" i="1"/>
  <c r="H44" i="4" s="1"/>
  <c r="W44" i="1"/>
  <c r="U33" i="1"/>
  <c r="AC26" i="1"/>
  <c r="W26" i="1"/>
  <c r="AA26" i="1"/>
  <c r="Z26" i="1"/>
  <c r="Q65" i="1"/>
  <c r="Q69" i="1"/>
  <c r="U26" i="1"/>
  <c r="T26" i="1"/>
  <c r="Y44" i="1"/>
  <c r="Z49" i="1"/>
  <c r="U45" i="1"/>
  <c r="W45" i="1"/>
  <c r="Y45" i="1"/>
  <c r="W65" i="1"/>
  <c r="X8" i="1"/>
  <c r="X18" i="1"/>
  <c r="X6" i="1"/>
  <c r="X9" i="1"/>
  <c r="X4" i="1"/>
  <c r="X14" i="1"/>
  <c r="X24" i="1"/>
  <c r="X10" i="1"/>
  <c r="X21" i="1"/>
  <c r="X12" i="1"/>
  <c r="X20" i="1"/>
  <c r="X13" i="1"/>
  <c r="X23" i="1"/>
  <c r="X25" i="1"/>
  <c r="X7" i="1"/>
  <c r="X16" i="1"/>
  <c r="W12" i="1"/>
  <c r="X19" i="1"/>
  <c r="X3" i="1"/>
  <c r="X5" i="1"/>
  <c r="X15" i="1"/>
  <c r="Q26" i="1"/>
  <c r="X40" i="1"/>
  <c r="Y33" i="1"/>
  <c r="U44" i="1"/>
  <c r="S49" i="1" l="1"/>
  <c r="U49" i="1"/>
  <c r="J42" i="4"/>
  <c r="J43" i="4"/>
  <c r="I42" i="4"/>
  <c r="I43" i="4"/>
  <c r="F43" i="4"/>
  <c r="F42" i="4"/>
  <c r="G42" i="4"/>
  <c r="G43" i="4"/>
  <c r="E42" i="4"/>
  <c r="E43" i="4"/>
  <c r="H42" i="4"/>
  <c r="H43" i="4"/>
  <c r="P65" i="1"/>
  <c r="V65" i="1"/>
  <c r="J6" i="4"/>
  <c r="J7" i="4"/>
  <c r="J30" i="4"/>
  <c r="W40" i="1"/>
  <c r="G30" i="4"/>
  <c r="G6" i="4"/>
  <c r="G7" i="4"/>
  <c r="H30" i="4"/>
  <c r="H6" i="4"/>
  <c r="H7" i="4"/>
  <c r="I9" i="4"/>
  <c r="T65" i="1"/>
  <c r="R70" i="1"/>
  <c r="R65" i="1"/>
  <c r="T70" i="1"/>
  <c r="S71" i="1"/>
  <c r="T71" i="1" s="1"/>
  <c r="P70" i="1"/>
  <c r="V70" i="1"/>
  <c r="U71" i="1"/>
  <c r="V71" i="1" s="1"/>
  <c r="V69" i="1"/>
  <c r="Q71" i="1"/>
  <c r="R71" i="1" s="1"/>
  <c r="R69" i="1"/>
  <c r="O71" i="1"/>
  <c r="P71" i="1" s="1"/>
  <c r="P69" i="1"/>
  <c r="U40" i="1"/>
  <c r="R26" i="1"/>
  <c r="S40" i="1"/>
  <c r="Y40" i="1"/>
  <c r="W49" i="1"/>
  <c r="Y49" i="1"/>
  <c r="Z51" i="1"/>
  <c r="G9" i="4" l="1"/>
  <c r="S51" i="1"/>
  <c r="J44" i="4"/>
  <c r="J9" i="4"/>
  <c r="H9" i="4"/>
  <c r="U51" i="1"/>
  <c r="Y51" i="1"/>
  <c r="W51" i="1"/>
</calcChain>
</file>

<file path=xl/sharedStrings.xml><?xml version="1.0" encoding="utf-8"?>
<sst xmlns="http://schemas.openxmlformats.org/spreadsheetml/2006/main" count="372" uniqueCount="265">
  <si>
    <t>FINANCIAL ANALYSIS &amp; STRATEGIC RECOMMENDATIONS     FY2021 - FY2025</t>
  </si>
  <si>
    <t>Income Statement</t>
  </si>
  <si>
    <t>Income Statement for year 1 using by function (€m)</t>
  </si>
  <si>
    <t>Q1 2026</t>
  </si>
  <si>
    <t>Trend</t>
  </si>
  <si>
    <t>Common-size</t>
  </si>
  <si>
    <t>FY2025 (€m)</t>
  </si>
  <si>
    <t>trend</t>
  </si>
  <si>
    <t>common-size</t>
  </si>
  <si>
    <t>FY2024 (€m)</t>
  </si>
  <si>
    <t>FY2023 (€m)</t>
  </si>
  <si>
    <t>FY2022 (€m)</t>
  </si>
  <si>
    <t>FY2021 (€m)</t>
  </si>
  <si>
    <t>Items</t>
  </si>
  <si>
    <t>Revenue</t>
  </si>
  <si>
    <t>Net Sales</t>
  </si>
  <si>
    <t>Cost of sales</t>
  </si>
  <si>
    <t>- Cost of goods sold (COGS)</t>
  </si>
  <si>
    <t>Gross profit</t>
  </si>
  <si>
    <t>Gross Margin</t>
  </si>
  <si>
    <t>Research and development</t>
  </si>
  <si>
    <t>Selling, general and administrative expenses</t>
  </si>
  <si>
    <t>- General and administrative costs (G&amp;A)</t>
  </si>
  <si>
    <t>Adjusted EBITA</t>
  </si>
  <si>
    <t>EBIT</t>
  </si>
  <si>
    <t>Other operating income and expenses</t>
  </si>
  <si>
    <t>Restructuring charges</t>
  </si>
  <si>
    <t>EBT/PBT</t>
  </si>
  <si>
    <t>EBITA</t>
  </si>
  <si>
    <t>- Corporate Income Tax</t>
  </si>
  <si>
    <t>EBITDA (restated)</t>
  </si>
  <si>
    <t>Net Income / Net Profit</t>
  </si>
  <si>
    <t>Amortization of acquisition-related intangibles</t>
  </si>
  <si>
    <t>Operating income (EBIT)</t>
  </si>
  <si>
    <t>Income from cash and cash equivalents</t>
  </si>
  <si>
    <t>Gross cost of financial debt</t>
  </si>
  <si>
    <t>Net cost of financial debt</t>
  </si>
  <si>
    <t>Other financial income and expenses</t>
  </si>
  <si>
    <t>Net financial result</t>
  </si>
  <si>
    <t>Income before taxes</t>
  </si>
  <si>
    <t>Income tax expense</t>
  </si>
  <si>
    <t>Share of profit of equity-accounted investments</t>
  </si>
  <si>
    <t>Impairment of investments in associates and joint ventures</t>
  </si>
  <si>
    <t>-</t>
  </si>
  <si>
    <t>Net income</t>
  </si>
  <si>
    <t xml:space="preserve">  of which attributable to shareholders of the parent</t>
  </si>
  <si>
    <t xml:space="preserve">  of which attributable to non-controlling interests</t>
  </si>
  <si>
    <t>Basic EPS (€)</t>
  </si>
  <si>
    <t>Diluted EPS (€)</t>
  </si>
  <si>
    <t>INTERPRETATION</t>
  </si>
  <si>
    <t xml:space="preserve"> </t>
  </si>
  <si>
    <t>Balance sheet</t>
  </si>
  <si>
    <t>Q1 - 2026</t>
  </si>
  <si>
    <t>(€m)</t>
  </si>
  <si>
    <t>Intangible assets</t>
  </si>
  <si>
    <t>Property, plant and equipment</t>
  </si>
  <si>
    <t>Other non-current assets</t>
  </si>
  <si>
    <t>Total non-current assets</t>
  </si>
  <si>
    <t>Inventories</t>
  </si>
  <si>
    <t>Accounts receivable</t>
  </si>
  <si>
    <t>Other current assets</t>
  </si>
  <si>
    <t>Cash and cash equivalents</t>
  </si>
  <si>
    <t>Total current assets</t>
  </si>
  <si>
    <t>Total assets</t>
  </si>
  <si>
    <t>Issued share capital</t>
  </si>
  <si>
    <t>Capital &amp; Other reserves</t>
  </si>
  <si>
    <t>Equity portion of convertible debt</t>
  </si>
  <si>
    <t>Retained earnings</t>
  </si>
  <si>
    <t>Total equity</t>
  </si>
  <si>
    <t>Borrowings &amp; similar liabilities</t>
  </si>
  <si>
    <t>Other non-current liabilities</t>
  </si>
  <si>
    <t>Total non-current liabilities</t>
  </si>
  <si>
    <t>Accounts payable</t>
  </si>
  <si>
    <t>Bank overdraft</t>
  </si>
  <si>
    <t>Other current liabilities</t>
  </si>
  <si>
    <t>Total current liabilities</t>
  </si>
  <si>
    <t>Total equity and liabilities</t>
  </si>
  <si>
    <t>FA</t>
  </si>
  <si>
    <t>A</t>
  </si>
  <si>
    <t xml:space="preserve">Inventories </t>
  </si>
  <si>
    <t xml:space="preserve">Trade Receivables </t>
  </si>
  <si>
    <t xml:space="preserve">Trade Payables </t>
  </si>
  <si>
    <t>WCN</t>
  </si>
  <si>
    <t>B</t>
  </si>
  <si>
    <t>Capital Employed</t>
  </si>
  <si>
    <t>A+B</t>
  </si>
  <si>
    <t xml:space="preserve">Share Capital </t>
  </si>
  <si>
    <t xml:space="preserve">Reserves </t>
  </si>
  <si>
    <t xml:space="preserve">Retained Earnings </t>
  </si>
  <si>
    <t>SE</t>
  </si>
  <si>
    <t>C</t>
  </si>
  <si>
    <t>LT Debt</t>
  </si>
  <si>
    <t>ST Debt</t>
  </si>
  <si>
    <t>Securities</t>
  </si>
  <si>
    <t>Cash</t>
  </si>
  <si>
    <t>Net Debt</t>
  </si>
  <si>
    <t>D</t>
  </si>
  <si>
    <t>Invested Capital</t>
  </si>
  <si>
    <t>C+D</t>
  </si>
  <si>
    <t>WORKING CAPITAL ANALYSIS</t>
  </si>
  <si>
    <t>Simplified Balance Sheet (SBS) (in £m)</t>
  </si>
  <si>
    <t>Fixed Assets</t>
  </si>
  <si>
    <t>Current Assets except PC</t>
  </si>
  <si>
    <t>Positive Cash</t>
  </si>
  <si>
    <t xml:space="preserve">Long-Term Capital </t>
  </si>
  <si>
    <t>Current Liabilities except NC</t>
  </si>
  <si>
    <t>Negative Cash</t>
  </si>
  <si>
    <t>Total equity &amp; liabilities</t>
  </si>
  <si>
    <t>Statement of Financial Structure (SFS) (in £m)</t>
  </si>
  <si>
    <t>Working Capital (WC)</t>
  </si>
  <si>
    <t>Working Capital Need (WCN)</t>
  </si>
  <si>
    <t>Net Cash (NC)</t>
  </si>
  <si>
    <t>Line Item</t>
  </si>
  <si>
    <t>FY2026(€m)</t>
  </si>
  <si>
    <t>Trennd</t>
  </si>
  <si>
    <t>Non-cash items:</t>
  </si>
  <si>
    <t>Depreciation of property, plant and equipment</t>
  </si>
  <si>
    <t>Amortization of intangible assets</t>
  </si>
  <si>
    <t>Depreciation of non-current assets</t>
  </si>
  <si>
    <t>Increase/(decrease) in provisions</t>
  </si>
  <si>
    <t>Gains/(losses) on disposals of activities and fixed assets</t>
  </si>
  <si>
    <t>Other non-cash items</t>
  </si>
  <si>
    <t>Income taxes paid, net</t>
  </si>
  <si>
    <t>Operating cash flow</t>
  </si>
  <si>
    <t>Decrease/(increase) in trade receivables</t>
  </si>
  <si>
    <t>Decrease/(increase) in inventories</t>
  </si>
  <si>
    <t>(Decrease)/increase in trade payables</t>
  </si>
  <si>
    <t>Decrease/(increase) in other current assets and liabilities</t>
  </si>
  <si>
    <t>Change in working capital</t>
  </si>
  <si>
    <t>TOTAL I - CASH FROM / (USED IN) OPERATING ACTIVITIES</t>
  </si>
  <si>
    <t>Acquisitions of property, plant and equipment</t>
  </si>
  <si>
    <t>Acquisitions of intangible assets</t>
  </si>
  <si>
    <t>Disposals of property, plant and equipment and intangibles</t>
  </si>
  <si>
    <t>Net capital expenditure</t>
  </si>
  <si>
    <t>Acquisitions and disposals of activities, net of cash acquired and divested</t>
  </si>
  <si>
    <t>Other long-term investments</t>
  </si>
  <si>
    <t>Increase in long-term retirement assets</t>
  </si>
  <si>
    <t>Sub-total</t>
  </si>
  <si>
    <t>TOTAL II - CASH FROM / (USED IN) INVESTING ACTIVITIES</t>
  </si>
  <si>
    <t>Issuance of bonds</t>
  </si>
  <si>
    <t>Repayment of bonds</t>
  </si>
  <si>
    <t>Purchase/(sale) of treasury shares</t>
  </si>
  <si>
    <t>Increase/(decrease) in other financial liabilities and other debt</t>
  </si>
  <si>
    <t>Issuance and repurchase of OCEANEs (equity component)</t>
  </si>
  <si>
    <t>Increase/(reduction) of share capital in cash</t>
  </si>
  <si>
    <t>Transactions with non-controlling interests</t>
  </si>
  <si>
    <t>Dividends paid to Schneider Electric shareholders</t>
  </si>
  <si>
    <t>Dividends paid to minority shareholders</t>
  </si>
  <si>
    <t>TOTAL III - CASH FROM / (USED IN) FINANCING ACTIVITIES</t>
  </si>
  <si>
    <t>TOTAL IV - NET EFFECT OF EXCHANGE RATES</t>
  </si>
  <si>
    <t>TOTAL V - IMPACT OF ASSETS HELD FOR SALE</t>
  </si>
  <si>
    <t>NET CHANGE IN CASH: I + II + III + IV + V</t>
  </si>
  <si>
    <t>Opening net cash</t>
  </si>
  <si>
    <t>Change in cash</t>
  </si>
  <si>
    <t>CLOSING NET CASH</t>
  </si>
  <si>
    <t xml:space="preserve">INDIRECT METHOD - </t>
  </si>
  <si>
    <t>Variable</t>
  </si>
  <si>
    <t>2026 (€m)</t>
  </si>
  <si>
    <t>2025 (€m)</t>
  </si>
  <si>
    <t>2024 (€m)</t>
  </si>
  <si>
    <t>2023 (€m)</t>
  </si>
  <si>
    <t>2022 (€m)</t>
  </si>
  <si>
    <t>2021 (€m)</t>
  </si>
  <si>
    <t>Non cash and non operating adjustments</t>
  </si>
  <si>
    <t>∆A/R</t>
  </si>
  <si>
    <t>∆I</t>
  </si>
  <si>
    <t>∆A/P</t>
  </si>
  <si>
    <t>∆ other current asstes</t>
  </si>
  <si>
    <t>CFO</t>
  </si>
  <si>
    <t>RATIO ANALYSIS</t>
  </si>
  <si>
    <t>Profitability analysis</t>
  </si>
  <si>
    <t xml:space="preserve">Balance Sheet </t>
  </si>
  <si>
    <t>Q1 2026 ($m)</t>
  </si>
  <si>
    <t>Q1 2026 (€m)</t>
  </si>
  <si>
    <t xml:space="preserve">ROE </t>
  </si>
  <si>
    <t>ROS</t>
  </si>
  <si>
    <t>Assets turnover</t>
  </si>
  <si>
    <t>Equity Multiplier</t>
  </si>
  <si>
    <t xml:space="preserve">ROE decomposition: Traditional approach </t>
  </si>
  <si>
    <t>ROE = ROS x Assets turnover x Eq. Multiplier</t>
  </si>
  <si>
    <t>Operating management: Profit margins</t>
  </si>
  <si>
    <t>Gross profit margin</t>
  </si>
  <si>
    <r>
      <t>EBITA (in £m/</t>
    </r>
    <r>
      <rPr>
        <sz val="11"/>
        <color theme="1"/>
        <rFont val="Times New Roman"/>
        <family val="1"/>
      </rPr>
      <t>€</t>
    </r>
    <r>
      <rPr>
        <sz val="11"/>
        <color theme="1"/>
        <rFont val="Aptos Narrow"/>
        <family val="2"/>
        <scheme val="minor"/>
      </rPr>
      <t>m)</t>
    </r>
  </si>
  <si>
    <r>
      <t>EBITDA (in £m/</t>
    </r>
    <r>
      <rPr>
        <sz val="11"/>
        <color theme="1"/>
        <rFont val="Times New Roman"/>
        <family val="1"/>
      </rPr>
      <t>€</t>
    </r>
    <r>
      <rPr>
        <sz val="11"/>
        <color theme="1"/>
        <rFont val="Aptos Narrow"/>
        <family val="2"/>
        <scheme val="minor"/>
      </rPr>
      <t>m)</t>
    </r>
  </si>
  <si>
    <t xml:space="preserve">EBITA margin </t>
  </si>
  <si>
    <t xml:space="preserve">EBITDA margin </t>
  </si>
  <si>
    <t>Operating profit (or EBIT) margin</t>
  </si>
  <si>
    <t xml:space="preserve">Investment management: Working capital management </t>
  </si>
  <si>
    <t xml:space="preserve">Days' receivables </t>
  </si>
  <si>
    <t xml:space="preserve">Days' inventories </t>
  </si>
  <si>
    <t>Days' payables</t>
  </si>
  <si>
    <t>CCC</t>
  </si>
  <si>
    <t xml:space="preserve">Investment management: Non-current asset management </t>
  </si>
  <si>
    <t xml:space="preserve">PP&amp;E turnover </t>
  </si>
  <si>
    <t xml:space="preserve">Financial management: Liquidity analysis </t>
  </si>
  <si>
    <t xml:space="preserve">Current ratio </t>
  </si>
  <si>
    <t xml:space="preserve">Quick ratio </t>
  </si>
  <si>
    <t>Cash ratio</t>
  </si>
  <si>
    <t xml:space="preserve">Financial management: Solvency analysis </t>
  </si>
  <si>
    <t>Debt to equity</t>
  </si>
  <si>
    <t>Total debt ratio</t>
  </si>
  <si>
    <t>Interest coverage</t>
  </si>
  <si>
    <t xml:space="preserve">Tax rate </t>
  </si>
  <si>
    <t>Net Debt-to-EBITA</t>
  </si>
  <si>
    <t>Net Debt-to-EBITDA</t>
  </si>
  <si>
    <t>Cash Flow Statement</t>
  </si>
  <si>
    <t>Ratio for investors/shareholders</t>
  </si>
  <si>
    <t>Dividend payout ratio</t>
  </si>
  <si>
    <t>Dividend yield</t>
  </si>
  <si>
    <t>Earnings per share</t>
  </si>
  <si>
    <t>P/E ratio</t>
  </si>
  <si>
    <t>P/B ratio</t>
  </si>
  <si>
    <t>EV</t>
  </si>
  <si>
    <t>EV/EBITA</t>
  </si>
  <si>
    <t>EV/EBITDA</t>
  </si>
  <si>
    <t>ROCE</t>
  </si>
  <si>
    <t>Weighted average shares outstanding</t>
  </si>
  <si>
    <t>Share price (close price 31 december of each year)</t>
  </si>
  <si>
    <t>Dividends distributed (simple convention) $</t>
  </si>
  <si>
    <t>Dividend per share</t>
  </si>
  <si>
    <t>SCHNEIDER ELECTRIC SE</t>
  </si>
  <si>
    <t>Financial Analysis &amp; Strategic Recommendations  |  FY2021–FY2025</t>
  </si>
  <si>
    <t>PART I — OVERALL FINANCIAL ANALYSIS</t>
  </si>
  <si>
    <t>1. A MILESTONE YEAR: BREAKING THE €40 BILLION THRESHOLD</t>
  </si>
  <si>
    <t>2. PROFITABILITY: ROBUST MARGINS DESPITE A COMPLEX ENVIRONMENT</t>
  </si>
  <si>
    <t>3. THE DIGITAL FLYWHEEL: SCHNEIDER’S STRATEGIC TRANSFORMATION ENGINE</t>
  </si>
  <si>
    <t>4. GOVERNANCE EVENT: THE CEO TRANSITION OF NOVEMBER 2024</t>
  </si>
  <si>
    <t>5. BALANCE SHEET &amp; LEVERAGE: A DELIBERATE BUT WATCHABLE INCREASE IN DEBT</t>
  </si>
  <si>
    <t>6. CASH FLOW: HIGH QUALITY AND SELF-FINANCING CAPACITY</t>
  </si>
  <si>
    <t>7. SHAREHOLDER VALUE: STRONG RETURNS, BUT VALUATION NOW STRETCHED</t>
  </si>
  <si>
    <t>PART II — STRATEGIC RECOMMENDATIONS &amp; RISKS</t>
  </si>
  <si>
    <t>RECOMMENDATION 1 — CRITICAL: Reallocate Capital Toward the Highest-ROCE Vertical</t>
  </si>
  <si>
    <t>RECOMMENDATION 2 — CRITICAL: Ring-Fence R&amp;D Spend as a Fixed % of Revenue</t>
  </si>
  <si>
    <t>RECOMMENDATION 3 — HIGH: Establish a Hard Leverage Ceiling and Deleverage by End-2027</t>
  </si>
  <si>
    <t>RECOMMENDATION 4 — HIGH: Protect the Dividend with a Formal Payout Policy</t>
  </si>
  <si>
    <t>RECOMMENDATION 5 — MEDIUM: Unlock €400–500m of Cash Through Working Capital Discipline</t>
  </si>
  <si>
    <t>RECOMMENDATION 6 — MEDIUM: Revisit the M&amp;A Integration Framework to Protect Book Value</t>
  </si>
  <si>
    <t>RECOMMENDATION 7 — MEDIUM: Implement a Structural FX Hedging &amp; Revenue Mix Strategy</t>
  </si>
  <si>
    <t>KEY RISKS TO MONITOR</t>
  </si>
  <si>
    <t>RISK 1 — Leverage &amp; Refinancing Risk</t>
  </si>
  <si>
    <t>Net Debt/EBITDA is approaching 1.9x, with interest coverage compressing rapidly. In a higher-for-longer rate environment, and with FX headwinds (management guided for a -€850–950 million revenue impact in FY2026), any earnings softness could push leverage above the 2.0x threshold. Bond maturities must be actively managed and the deleveraging roadmap enforced.</t>
  </si>
  <si>
    <t>RISK 2 — Geopolitical &amp; Tariff Exposure</t>
  </si>
  <si>
    <t>Schneider operates globally and is exposed to US-China trade tensions, import tariffs and currency volatility. In 2025, the group was forced to accelerate pricing in North America to offset tariff costs, and expects flat-to-negative gross margin in H1 2026. With China remaining deflationary and Europe sluggish in several markets, geographic concentration of margin risk is a real consideration. The 90%-regional-sourcing target is the right structural answer, but will take years to fully implement.</t>
  </si>
  <si>
    <t>RISK 3 — Cybersecurity &amp; Platform Vulnerability</t>
  </si>
  <si>
    <t>Schneider has been the target of repeated cybersecurity incidents. A ransomware attack in early 2024 directly impacted EcoStruxure Resource Advisor, used by over 2,000 companies globally. As the group’s business model becomes more software-intensive and its platforms more deeply embedded in critical infrastructure, the cyber risk profile grows commensurately. A successful attack on EcoStruxure or AVEVA could cause severe operational disruption and reputational damage. Cybersecurity must receive board-level governance attention, not just IT-level management.</t>
  </si>
  <si>
    <t>RISK 4 — Goodwill Impairment &amp; M&amp;A Integration</t>
  </si>
  <si>
    <t>RISK 5 — R&amp;D Underinvestment &amp; Software Disruption</t>
  </si>
  <si>
    <t>FY2025 marks a historic milestone: Schneider Electric crossed the €40 billion revenue threshold for the first time, delivering +9% organic growth in a volatile macro environment. This performance is not circumstantial, it reflects five years of consistent execution across two structural megatrends: electrification and digitalization. Energy Management achieved double-digit organic growth for the fifth consecutive year, while Industrial Automation, which had struggled through a destocking cycle in 2024, returned to growth in 2025. The record backlog of over €25 billion, up +18% year-on-year, gives the group exceptional visibility heading into 2026 and beyond.</t>
  </si>
  <si>
    <t>Schneider’s profitability has steadily improved over the period. The adjusted EBITA margin expanded to 17.8% in 2025, up from 16.4% in 2021, supported by a gross margin consistently holding around 42%, a sign of genuine pricing power and a richer product mix. Return on Equity reached 17.8%, the highest level in five years. The one nuance worth flagging: net margin experienced a slight compression in 2025, driven not by operational weakness but by the cost of a deliberate leverage increase to fund strategic acquisitions. This is a trade-off the Board consciously accepted, and one that must now be carefully managed.</t>
  </si>
  <si>
    <t>The ‘Digital Flywheel’,  Schneider’s integrated offer of connected products, software and services — is now the group’s primary growth engine, generating €25 billion in revenue and representing 62% of total sales. The full acquisition of AVEVA in 2023 was the pivotal move underpinning this transformation, giving Schneider a world-class industrial software platform used by over 20,000 customers. More recently, the acquisition of Motivair in late 2024, a specialist in liquid cooling for AI infrastructure,  directly positions Schneider at the heart of the hyperscaler buildout. The joint launch of AI-Ready Data Center Reference Designs with NVIDIA in October 2025 confirmed Schneider’s ambition to become the infrastructure partner for the AI era. The target is clear: digital and recurring revenues to exceed 70% of group sales by 2030.</t>
  </si>
  <si>
    <t>November 2024 brought an unexpected governance event: the Board removed CEO Peter Herweck after just 18 months, citing ‘divergences in the execution of the company roadmap at a time of significant opportunities.’ His replacement, Olivier Blum, a 30-year Schneider veteran who had led the Energy Management division, was immediately seen as a reassuring choice. Under Blum’s leadership, the 2025 Capital Markets Day set a compelling five-year ambition (‘Advancing Energy Tech’), and 2025 results vindicated the change. Separately, the group was fined €207 million by French antitrust regulators in October 2024 for a price-fixing arrangement in the low-voltage electrical equipment market, a reputational headwind, but a manageable financial impact.</t>
  </si>
  <si>
    <t>Schneider has grown significantly, and it has financed that growth. Net debt increased sharply in 2025, primarily to fund the full acquisition of its Indian subsidiary (SEIPL) from Temasek, a strategic bet on India as a core hub. The resulting Net Debt/EBITDA of 1.86x remains within investment-grade territory, but represents the highest leverage of the five-year period. Interest coverage, while still comfortable at 14x, has compressed significantly from the near-44x of 2021. The speed of this leverage build-up is the principal financial risk the Board must address in 2026: a clear deleveraging roadmap is now essential.</t>
  </si>
  <si>
    <t>Schneider’s cash generation is one of the strongest pillars of its investment case. Operating cash flow has grown by nearly +70% over five years, reaching €6.1 billion in 2025, with free cash flow conversion slightly above 100% of adjusted net income, confirming that earnings are real and cash-backed. The progressive dividend policy, maintained for 16 consecutive years, was reaffirmed with a dividend of €4.2 per share. Capex is rising in line with the group’s manufacturing hub strategy, but remains fully self-financed. One area to watch: working capital needs are growing faster than revenue, and days receivables are creeping upward, a discipline issue at scale.</t>
  </si>
  <si>
    <t>Schneider’s Total Shareholder Return grew +89% over the past three years, an exceptional performance. EPS and dividends have grown steadily throughout the period. The stock now trades at a premium valuation, reflecting the market’s confidence in Schneider’s positioning at the intersection of electrification, AI infrastructure and industrial automation. This premium, however, comes with expectations: the group must continue to deliver on margin expansion and organic growth targets. Any execution misstep, in AVEVA integration, Industrial Automation recovery, or leverage management, would likely trigger a swift market re-rating.</t>
  </si>
  <si>
    <t>The financial data speaks clearly: ROCE has improved from 8.3% to 12.1% over the period, but the group's capital allocation has not yet fully reflected where returns are highest. Data center infrastructure generates Schneider's best margins and fastest payback periods, yet capex is still spread across segments with structurally lower returns. The €388 million impairment booked in 2025 signals that not all deployed capital is working hard enough. Our recommendation: formally reweight capex and M&amp;A spend toward high-ROCE verticals, and apply strict ROCE hurdle rates (minimum 12% by year 3) to all new investments. A disciplined capital rotation would accelerate group ROCE toward 15%+, directly supporting EV expansion and the current premium P/E multiple of 31x.</t>
  </si>
  <si>
    <t>R&amp;D at 3.4% of revenue is structurally inconsistent with a 31x P/E valuation. The market is pricing Schneider as a technology platform, but the R&amp;D line looks like an industrial company. If this gap is not closed, the risk is a multiple de-rating that would destroy more shareholder value than any single operational miss. Committing to 5% R&amp;D/revenue (funded from the 1pp of SG&amp;A/sales savings already being generated) would directly protect AVEVA's ARR growth trajectory, strengthen gross margin over time as software mix increases, and reinforce the EV/EBITDA multiple. Every percentage point of gross margin expansion at €40bn of revenue is worth €400m in EBIT, the return on R&amp;D investment is not abstract, it is measurable.</t>
  </si>
  <si>
    <t>Net Debt/EBITDA rose from 1.07x to 1.86x in a single year, the sharpest leverage increase in the five-year period, while interest coverage compressed from 44x to 14x. In a higher-for-longer rate environment, each 50bps rise in refinancing costs on €15bn of debt represents €75m of additional annual interest, directly compressing net margin and EPS. The CFO must present a formal deleveraging roadmap to the Board: target Net Debt/EBITDA below 1.5x by end-2027, financed through organic FCF after dividends (~€2.4bn/year available). Any M&amp;A above €1bn must be subject to a Board-level leverage impact review with a hard 2.0x ceiling. Achieving this target would reduce net interest costs, expand net margin back toward 11–12%, and support a re-rating of the equity.</t>
  </si>
  <si>
    <t>The payout ratio reached 52.6% in 2025, the highest of the period, while reported net income declined slightly year-on-year. This creates a structural tension: the progressive dividend policy (16 consecutive years of growth) is a key pillar of the investment case, but it must not come at the expense of balance sheet flexibility. We recommend the Board formalise a payout policy of 45–50% of adjusted net income, with a clear rule that excess FCF above that threshold is directed toward debt reduction when Net Debt/EBITDA exceeds 1.5x. This framework protects the dividend streak, reassures income investors, prevents EPS dilution from excessive leverage, and gives management a transparent capital allocation hierarchy to communicate to the market.</t>
  </si>
  <si>
    <t>Working Capital Need has grown +127% over five years versus revenue growth of +39%, a clear execution gap. DSO has crept up to 88 days, DPO is healthy at 144 days but must be defended, and the CCC of 27 days, while excellent, is at risk of deteriorating as growth accelerates in higher-DSO markets (Middle East, India). Each day of DSO improvement at current revenue scale releases over €100m of cash. A 5-day DSO reduction target by end-2027 would free €550m, reducing net debt, cutting interest costs, and improving the Net Debt/EBITDA ratio by approximately 0.07x without any P&amp;L impact. Tools exist: supply chain financing, dynamic discounting, AR securitisation. The CFO should set quarterly DSO/DPO/CCC targets with Board-level reporting.</t>
  </si>
  <si>
    <t>Intangible assets at 50% of total assets is the single largest balance sheet risk. The €388m impairment in 2025, first of the period, is an early warning that acquired book values are not always preserved. With AVEVA (€11.9bn) and Motivair ($850m) both relatively recent, and Industrial Automation margins still at only 14.2% EBITDA, the integration execution risk is live. The recommendation: impose ROCE hurdle rates on every acquired entity (minimum 10% by year 3), run annual goodwill stress tests, and define automatic restructuring triggers if targets are missed. This protects book value per share, limits future impairment risk, and instils the financial discipline that ensures M&amp;A creates — rather than destroys — shareholder value.</t>
  </si>
  <si>
    <t>FX is a silent but material drag on financial performance. In 2025, currency headwinds cost €410 million in cash flow impact, and management has already guided for a further €850–950 million revenue impact in FY2026, equivalent to roughly 2% of total revenues wiped out before a single product is sold. With the US dollar weakening against the euro and EM currencies volatile, this is not a transient issue. The CFO should implement a rolling 12-month FX hedging programme on the group’s top 5 currency exposures (USD, CNY, INR, GBP, BRL), targeting 70–80% coverage of projected net exposures. In parallel, the regionalization strategy (90% local sourcing by end of cycle) creates a natural hedge,  the Board should track ‘natural hedge ratio’ as a formal KPI. Every 10% improvement in natural hedge coverage reduces P&amp;L FX sensitivity by an estimated €80–100m annually at current revenue scale.</t>
  </si>
  <si>
    <t>With intangible assets representing 50% of total assets, Schneider carries a significant goodwill base from decades of acquisitions. The €388 million impairment recorded in 2025, a first in the period under review, is an early warning. The AVEVA integration, while progressing, must be closely tracked: any shortfall in ARR growth, margin expansion or cross-selling with EcoStruxure would risk a larger impairment charge. Annual goodwill stress tests should be a standard governance process.</t>
  </si>
  <si>
    <t>The structural gap in R&amp;D versus technology peers is not just a strategic concern, it is a valuation risk. If Schneider is perceived as primarily a hardware company with a software overlay, it will trade at industrial multiples rather than technology multiples. The pace of AI development makes this risk more acute: new entrants could commoditize elements of AVEVA’s platform faster than anticipated. The Board must treat R&amp;D investment as a non-negotiable line item, not a variable cost.</t>
  </si>
  <si>
    <t>EXECUTIVE SUMMARY</t>
  </si>
  <si>
    <t>Over the 2021–2025 period, Schneider Electric delivered consistent and profitable growth: revenue rose from €28.9bn to €40.2bn (+39%), the EBITA margin expanded from 16.4% to 17.8%, and net income grew from €3.3bn to €4.4bn. Cash generation is one of the group's strongest assets; operating cash flow reached €6.1bn in 2025, up nearly 70% over five years, and dividends were increased every single year. The balance sheet remains broadly healthy, though leverage increased significantly in 2025 following strategic acquisitions (AVEVA, SEIPL), with Net Debt/EBITDA reaching 1.86x, the highest level of the period and the main financial risk to monitor going forward. Two structural weaknesses also stand out: working capital needs grew more than three times faster than revenue (+127% vs +39%), and R&amp;D spending at ~3.4% of sales remains low for a group positioning itself as a technology company. Overall, Schneider is a financially solid, growing business, well-positioned on high-potential markets (electrification, data centres, AI infrastructure); the priority now is to reduce debt, step up innovation investment, and tighten working capital discipline to lock in long-term value 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</si>
</sst>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quot;€&quot;* #,##0.00_-;_-&quot;€&quot;* &quot;-&quot;??_-;_-@_-"/>
    <numFmt numFmtId="43" formatCode="_-* #,##0.00_-;\-* #,##0.00_-;_-* &quot;-&quot;??_-;_-@_-"/>
    <numFmt numFmtId="164" formatCode="_-[$$-409]* #,##0.00_ ;_-[$$-409]* \-#,##0.00\ ;_-[$$-409]* &quot;-&quot;??_ ;_-@_ "/>
    <numFmt numFmtId="165" formatCode="_([$$-409]* #,##0.00_);_([$$-409]* \(#,##0.00\);_([$$-409]* &quot;-&quot;??_);_(@_)"/>
    <numFmt numFmtId="166" formatCode="_-* #,##0.00_ ;_-* \-#,##0.00\ ;_-* &quot;-&quot;??_ ;_-@_ "/>
    <numFmt numFmtId="167" formatCode="0.0%"/>
    <numFmt numFmtId="168" formatCode="#,##0.0"/>
    <numFmt numFmtId="169" formatCode="0.0"/>
    <numFmt numFmtId="170" formatCode="#,##0.00\ &quot;€&quot;;[Red]\-#,##0.00\ &quot;€&quot;"/>
    <numFmt numFmtId="171" formatCode="_-* #,##0.00\ &quot;€&quot;_-;\-* #,##0.00\ &quot;€&quot;_-;_-* &quot;-&quot;??\ &quot;€&quot;_-;_-@_-"/>
    <numFmt numFmtId="172" formatCode="_-[$$-C09]* #,##0.00_-;\-[$$-C09]* #,##0.00_-;_-[$$-C09]* &quot;-&quot;??_-;_-@_-"/>
  </numFmts>
  <fonts count="39" x14ac:knownFonts="1">
    <font>
      <sz val="11"/>
      <color theme="1"/>
      <name val="Aptos Narrow"/>
      <family val="2"/>
      <scheme val="minor"/>
    </font>
    <font>
      <b/>
      <sz val="11"/>
      <color theme="0"/>
      <name val="Aptos Narrow"/>
      <family val="2"/>
      <scheme val="minor"/>
    </font>
    <font>
      <sz val="11"/>
      <color rgb="FF000000"/>
      <name val="Calibri"/>
      <family val="2"/>
    </font>
    <font>
      <b/>
      <sz val="11"/>
      <color rgb="FF000000"/>
      <name val="Calibri"/>
      <family val="2"/>
    </font>
    <font>
      <sz val="11"/>
      <name val="Calibri"/>
      <family val="2"/>
    </font>
    <font>
      <b/>
      <sz val="11"/>
      <color rgb="FFFFFFFF"/>
      <name val="Calibri"/>
      <family val="2"/>
    </font>
    <font>
      <b/>
      <sz val="11"/>
      <color rgb="FFFFFFFF"/>
      <name val="Aptos Narrow"/>
      <scheme val="minor"/>
    </font>
    <font>
      <sz val="11"/>
      <color theme="1"/>
      <name val="Aptos Narrow"/>
      <scheme val="minor"/>
    </font>
    <font>
      <sz val="11"/>
      <color theme="1"/>
      <name val="Aptos Narrow"/>
      <family val="2"/>
      <scheme val="minor"/>
    </font>
    <font>
      <sz val="11"/>
      <color theme="0"/>
      <name val="Aptos Narrow"/>
      <family val="2"/>
      <scheme val="minor"/>
    </font>
    <font>
      <b/>
      <sz val="11"/>
      <color theme="1"/>
      <name val="Aptos Narrow"/>
      <family val="2"/>
      <scheme val="minor"/>
    </font>
    <font>
      <b/>
      <sz val="11"/>
      <color theme="0"/>
      <name val="Aptos Narrow"/>
      <scheme val="minor"/>
    </font>
    <font>
      <b/>
      <i/>
      <sz val="11"/>
      <color theme="1"/>
      <name val="Aptos Narrow"/>
      <family val="2"/>
      <scheme val="minor"/>
    </font>
    <font>
      <sz val="11"/>
      <color theme="1"/>
      <name val="Times New Roman"/>
      <family val="1"/>
    </font>
    <font>
      <sz val="12"/>
      <color rgb="FF000000"/>
      <name val="Aptos Narrow"/>
      <scheme val="minor"/>
    </font>
    <font>
      <b/>
      <sz val="14"/>
      <color theme="0"/>
      <name val="Aptos Narrow"/>
      <family val="2"/>
      <scheme val="minor"/>
    </font>
    <font>
      <b/>
      <sz val="13"/>
      <color rgb="FFFFFFFF"/>
      <name val="Aptos Narrow"/>
      <family val="2"/>
    </font>
    <font>
      <b/>
      <sz val="13"/>
      <color rgb="FF000000"/>
      <name val="Aptos Narrow"/>
      <family val="2"/>
    </font>
    <font>
      <b/>
      <sz val="13"/>
      <name val="Aptos Narrow"/>
      <family val="2"/>
    </font>
    <font>
      <sz val="13"/>
      <color rgb="FF000000"/>
      <name val="Aptos Narrow"/>
      <family val="2"/>
    </font>
    <font>
      <sz val="13"/>
      <name val="Aptos Narrow"/>
      <family val="2"/>
    </font>
    <font>
      <b/>
      <sz val="13"/>
      <name val="Aptos Narrow"/>
    </font>
    <font>
      <sz val="13"/>
      <name val="Aptos Narrow"/>
    </font>
    <font>
      <b/>
      <sz val="13"/>
      <color rgb="FFFFFFFF"/>
      <name val="Aptos Narrow"/>
    </font>
    <font>
      <sz val="11"/>
      <color theme="1"/>
      <name val="Calibri"/>
      <family val="2"/>
    </font>
    <font>
      <b/>
      <sz val="12"/>
      <color rgb="FFFFFFFF"/>
      <name val="Calibri"/>
      <family val="2"/>
    </font>
    <font>
      <b/>
      <sz val="11"/>
      <color rgb="FFC00000"/>
      <name val="Calibri"/>
      <family val="2"/>
    </font>
    <font>
      <sz val="10"/>
      <color theme="1"/>
      <name val="Calibri"/>
      <family val="2"/>
    </font>
    <font>
      <b/>
      <sz val="14"/>
      <color rgb="FFFFFFFF"/>
      <name val="Calibri"/>
      <family val="2"/>
    </font>
    <font>
      <b/>
      <sz val="11"/>
      <color rgb="FF1F4E79"/>
      <name val="Calibri"/>
      <family val="2"/>
    </font>
    <font>
      <i/>
      <sz val="9"/>
      <color rgb="FF888888"/>
      <name val="Calibri"/>
      <family val="2"/>
    </font>
    <font>
      <b/>
      <sz val="11"/>
      <color theme="0"/>
      <name val="Calibri"/>
      <family val="2"/>
    </font>
    <font>
      <sz val="14"/>
      <color theme="0"/>
      <name val="Aptos Narrow"/>
      <family val="2"/>
      <scheme val="minor"/>
    </font>
    <font>
      <sz val="18"/>
      <color theme="0"/>
      <name val="Aptos Narrow"/>
      <family val="2"/>
      <scheme val="minor"/>
    </font>
    <font>
      <b/>
      <sz val="72"/>
      <color theme="0"/>
      <name val="Aptos Narrow"/>
      <family val="2"/>
      <scheme val="minor"/>
    </font>
    <font>
      <sz val="36"/>
      <color theme="0"/>
      <name val="Aptos Narrow"/>
      <family val="2"/>
      <scheme val="minor"/>
    </font>
    <font>
      <b/>
      <sz val="11"/>
      <color theme="1"/>
      <name val="Calibri"/>
      <family val="2"/>
    </font>
    <font>
      <b/>
      <sz val="12"/>
      <color rgb="FF000000"/>
      <name val="Calibri"/>
      <family val="2"/>
    </font>
    <font>
      <b/>
      <sz val="22"/>
      <color rgb="FFFFFFFF"/>
      <name val="Calibri"/>
      <family val="2"/>
    </font>
  </fonts>
  <fills count="20">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2"/>
        <bgColor indexed="64"/>
      </patternFill>
    </fill>
    <fill>
      <patternFill patternType="solid">
        <fgColor theme="5" tint="0.79998168889431442"/>
        <bgColor indexed="64"/>
      </patternFill>
    </fill>
    <fill>
      <patternFill patternType="solid">
        <fgColor rgb="FFC00000"/>
        <bgColor indexed="64"/>
      </patternFill>
    </fill>
    <fill>
      <patternFill patternType="solid">
        <fgColor rgb="FFFFD966"/>
        <bgColor indexed="64"/>
      </patternFill>
    </fill>
    <fill>
      <patternFill patternType="solid">
        <fgColor rgb="FFE2EFDA"/>
        <bgColor indexed="64"/>
      </patternFill>
    </fill>
    <fill>
      <patternFill patternType="solid">
        <fgColor theme="6"/>
        <bgColor indexed="64"/>
      </patternFill>
    </fill>
    <fill>
      <patternFill patternType="solid">
        <fgColor theme="6" tint="-0.499984740745262"/>
        <bgColor indexed="64"/>
      </patternFill>
    </fill>
    <fill>
      <patternFill patternType="solid">
        <fgColor theme="9" tint="-0.249977111117893"/>
        <bgColor indexed="64"/>
      </patternFill>
    </fill>
    <fill>
      <patternFill patternType="solid">
        <fgColor theme="9"/>
        <bgColor indexed="64"/>
      </patternFill>
    </fill>
    <fill>
      <patternFill patternType="solid">
        <fgColor theme="5"/>
        <bgColor indexed="64"/>
      </patternFill>
    </fill>
    <fill>
      <patternFill patternType="solid">
        <fgColor theme="9" tint="-0.249977111117893"/>
        <bgColor rgb="FF000000"/>
      </patternFill>
    </fill>
    <fill>
      <patternFill patternType="solid">
        <fgColor rgb="FF082B0D"/>
        <bgColor indexed="64"/>
      </patternFill>
    </fill>
    <fill>
      <patternFill patternType="solid">
        <fgColor rgb="FF196B24"/>
        <bgColor indexed="64"/>
      </patternFill>
    </fill>
    <fill>
      <patternFill patternType="solid">
        <fgColor rgb="FFF2F9F2"/>
        <bgColor indexed="64"/>
      </patternFill>
    </fill>
  </fills>
  <borders count="132">
    <border>
      <left/>
      <right/>
      <top/>
      <bottom/>
      <diagonal/>
    </border>
    <border>
      <left style="medium">
        <color indexed="64"/>
      </left>
      <right style="thin">
        <color indexed="64"/>
      </right>
      <top/>
      <bottom/>
      <diagonal/>
    </border>
    <border>
      <left style="thin">
        <color indexed="64"/>
      </left>
      <right/>
      <top/>
      <bottom/>
      <diagonal/>
    </border>
    <border>
      <left style="thin">
        <color indexed="64"/>
      </left>
      <right/>
      <top style="thin">
        <color indexed="64"/>
      </top>
      <bottom style="double">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right/>
      <top/>
      <bottom style="thin">
        <color theme="0"/>
      </bottom>
      <diagonal/>
    </border>
    <border>
      <left style="thin">
        <color theme="0"/>
      </left>
      <right/>
      <top/>
      <bottom/>
      <diagonal/>
    </border>
    <border>
      <left/>
      <right style="thin">
        <color theme="0"/>
      </right>
      <top/>
      <bottom/>
      <diagonal/>
    </border>
    <border>
      <left/>
      <right/>
      <top style="thin">
        <color rgb="FF000000"/>
      </top>
      <bottom style="double">
        <color rgb="FF000000"/>
      </bottom>
      <diagonal/>
    </border>
    <border>
      <left style="thin">
        <color indexed="64"/>
      </left>
      <right/>
      <top style="thin">
        <color rgb="FF000000"/>
      </top>
      <bottom style="double">
        <color rgb="FF000000"/>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theme="0"/>
      </bottom>
      <diagonal/>
    </border>
    <border>
      <left style="thin">
        <color indexed="64"/>
      </left>
      <right style="thin">
        <color indexed="64"/>
      </right>
      <top/>
      <bottom/>
      <diagonal/>
    </border>
    <border>
      <left style="medium">
        <color rgb="FF000000"/>
      </left>
      <right/>
      <top/>
      <bottom/>
      <diagonal/>
    </border>
    <border>
      <left style="thin">
        <color rgb="FF000000"/>
      </left>
      <right/>
      <top/>
      <bottom/>
      <diagonal/>
    </border>
    <border>
      <left/>
      <right style="thin">
        <color auto="1"/>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style="double">
        <color rgb="FF000000"/>
      </top>
      <bottom/>
      <diagonal/>
    </border>
    <border>
      <left/>
      <right/>
      <top style="medium">
        <color rgb="FF000000"/>
      </top>
      <bottom style="thin">
        <color rgb="FF000000"/>
      </bottom>
      <diagonal/>
    </border>
    <border>
      <left style="medium">
        <color rgb="FF000000"/>
      </left>
      <right/>
      <top/>
      <bottom style="medium">
        <color rgb="FF000000"/>
      </bottom>
      <diagonal/>
    </border>
    <border>
      <left style="thin">
        <color rgb="FF000000"/>
      </left>
      <right/>
      <top style="double">
        <color rgb="FF000000"/>
      </top>
      <bottom style="thin">
        <color rgb="FF000000"/>
      </bottom>
      <diagonal/>
    </border>
    <border>
      <left/>
      <right/>
      <top style="medium">
        <color indexed="64"/>
      </top>
      <bottom/>
      <diagonal/>
    </border>
    <border>
      <left/>
      <right/>
      <top/>
      <bottom style="thin">
        <color indexed="64"/>
      </bottom>
      <diagonal/>
    </border>
    <border>
      <left/>
      <right/>
      <top style="thin">
        <color indexed="64"/>
      </top>
      <bottom/>
      <diagonal/>
    </border>
    <border>
      <left/>
      <right/>
      <top/>
      <bottom style="medium">
        <color indexed="64"/>
      </bottom>
      <diagonal/>
    </border>
    <border>
      <left/>
      <right/>
      <top style="thin">
        <color rgb="FF000000"/>
      </top>
      <bottom/>
      <diagonal/>
    </border>
    <border>
      <left/>
      <right/>
      <top style="double">
        <color rgb="FF000000"/>
      </top>
      <bottom/>
      <diagonal/>
    </border>
    <border>
      <left/>
      <right/>
      <top/>
      <bottom style="thin">
        <color rgb="FF000000"/>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style="thin">
        <color indexed="64"/>
      </left>
      <right/>
      <top/>
      <bottom style="thin">
        <color indexed="64"/>
      </bottom>
      <diagonal/>
    </border>
    <border>
      <left/>
      <right/>
      <top style="thin">
        <color indexed="64"/>
      </top>
      <bottom style="double">
        <color indexed="64"/>
      </bottom>
      <diagonal/>
    </border>
    <border>
      <left/>
      <right style="medium">
        <color indexed="64"/>
      </right>
      <top/>
      <bottom style="thin">
        <color indexed="64"/>
      </bottom>
      <diagonal/>
    </border>
    <border>
      <left/>
      <right/>
      <top style="double">
        <color rgb="FF000000"/>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double">
        <color rgb="FF000000"/>
      </top>
      <bottom/>
      <diagonal/>
    </border>
    <border>
      <left style="thin">
        <color rgb="FF000000"/>
      </left>
      <right style="thin">
        <color indexed="64"/>
      </right>
      <top/>
      <bottom style="thin">
        <color rgb="FF000000"/>
      </bottom>
      <diagonal/>
    </border>
    <border>
      <left style="medium">
        <color indexed="64"/>
      </left>
      <right/>
      <top style="medium">
        <color indexed="64"/>
      </top>
      <bottom/>
      <diagonal/>
    </border>
    <border>
      <left style="medium">
        <color indexed="64"/>
      </left>
      <right style="thin">
        <color rgb="FF000000"/>
      </right>
      <top/>
      <bottom style="thin">
        <color indexed="64"/>
      </bottom>
      <diagonal/>
    </border>
    <border>
      <left/>
      <right style="medium">
        <color indexed="64"/>
      </right>
      <top style="medium">
        <color rgb="FF000000"/>
      </top>
      <bottom style="thin">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rgb="FF000000"/>
      </top>
      <bottom style="thin">
        <color indexed="64"/>
      </bottom>
      <diagonal/>
    </border>
    <border>
      <left style="thin">
        <color rgb="FF000000"/>
      </left>
      <right style="medium">
        <color indexed="64"/>
      </right>
      <top style="thin">
        <color rgb="FF000000"/>
      </top>
      <bottom/>
      <diagonal/>
    </border>
    <border>
      <left style="thin">
        <color rgb="FF000000"/>
      </left>
      <right style="medium">
        <color indexed="64"/>
      </right>
      <top style="double">
        <color rgb="FF000000"/>
      </top>
      <bottom/>
      <diagonal/>
    </border>
    <border>
      <left style="thin">
        <color rgb="FF000000"/>
      </left>
      <right style="medium">
        <color indexed="64"/>
      </right>
      <top/>
      <bottom style="thin">
        <color rgb="FF000000"/>
      </bottom>
      <diagonal/>
    </border>
    <border>
      <left style="medium">
        <color indexed="64"/>
      </left>
      <right style="thin">
        <color rgb="FF000000"/>
      </right>
      <top/>
      <bottom style="medium">
        <color indexed="64"/>
      </bottom>
      <diagonal/>
    </border>
    <border>
      <left style="thin">
        <color rgb="FF000000"/>
      </left>
      <right/>
      <top/>
      <bottom style="medium">
        <color indexed="64"/>
      </bottom>
      <diagonal/>
    </border>
    <border>
      <left style="thin">
        <color rgb="FF000000"/>
      </left>
      <right style="thin">
        <color indexed="64"/>
      </right>
      <top/>
      <bottom style="medium">
        <color indexed="64"/>
      </bottom>
      <diagonal/>
    </border>
    <border>
      <left style="thin">
        <color rgb="FF000000"/>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rgb="FF000000"/>
      </left>
      <right style="medium">
        <color indexed="64"/>
      </right>
      <top style="double">
        <color rgb="FF000000"/>
      </top>
      <bottom style="thin">
        <color rgb="FF000000"/>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indexed="64"/>
      </left>
      <right style="thin">
        <color indexed="64"/>
      </right>
      <top style="double">
        <color rgb="FF000000"/>
      </top>
      <bottom/>
      <diagonal/>
    </border>
    <border>
      <left style="thin">
        <color indexed="64"/>
      </left>
      <right style="thin">
        <color indexed="64"/>
      </right>
      <top style="double">
        <color rgb="FF000000"/>
      </top>
      <bottom style="thin">
        <color rgb="FF000000"/>
      </bottom>
      <diagonal/>
    </border>
    <border>
      <left style="thin">
        <color indexed="64"/>
      </left>
      <right style="thin">
        <color indexed="64"/>
      </right>
      <top style="thin">
        <color rgb="FF000000"/>
      </top>
      <bottom style="medium">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thin">
        <color indexed="64"/>
      </right>
      <top/>
      <bottom style="medium">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double">
        <color rgb="FF000000"/>
      </bottom>
      <diagonal/>
    </border>
    <border>
      <left style="thin">
        <color indexed="64"/>
      </left>
      <right style="thin">
        <color indexed="64"/>
      </right>
      <top style="thin">
        <color theme="0"/>
      </top>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style="medium">
        <color rgb="FF000000"/>
      </right>
      <top style="medium">
        <color rgb="FF000000"/>
      </top>
      <bottom/>
      <diagonal/>
    </border>
    <border>
      <left style="medium">
        <color rgb="FF000000"/>
      </left>
      <right style="medium">
        <color indexed="64"/>
      </right>
      <top style="medium">
        <color rgb="FF000000"/>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rgb="FF000000"/>
      </right>
      <top/>
      <bottom style="medium">
        <color rgb="FF000000"/>
      </bottom>
      <diagonal/>
    </border>
    <border>
      <left style="medium">
        <color rgb="FF000000"/>
      </left>
      <right style="medium">
        <color indexed="64"/>
      </right>
      <top/>
      <bottom style="medium">
        <color rgb="FF000000"/>
      </bottom>
      <diagonal/>
    </border>
    <border>
      <left style="medium">
        <color indexed="64"/>
      </left>
      <right style="medium">
        <color rgb="FF000000"/>
      </right>
      <top style="medium">
        <color rgb="FF000000"/>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thin">
        <color indexed="64"/>
      </right>
      <top style="thin">
        <color indexed="64"/>
      </top>
      <bottom style="double">
        <color indexed="64"/>
      </bottom>
      <diagonal/>
    </border>
    <border>
      <left/>
      <right/>
      <top style="medium">
        <color indexed="64"/>
      </top>
      <bottom style="thin">
        <color rgb="FF000000"/>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s>
  <cellStyleXfs count="4">
    <xf numFmtId="0" fontId="0" fillId="0" borderId="0"/>
    <xf numFmtId="44"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cellStyleXfs>
  <cellXfs count="450">
    <xf numFmtId="0" fontId="0" fillId="0" borderId="0" xfId="0"/>
    <xf numFmtId="0" fontId="2" fillId="0" borderId="0" xfId="0" applyFont="1"/>
    <xf numFmtId="0" fontId="3" fillId="0" borderId="0" xfId="0" applyFont="1"/>
    <xf numFmtId="164" fontId="0" fillId="0" borderId="0" xfId="0" applyNumberFormat="1"/>
    <xf numFmtId="0" fontId="0" fillId="0" borderId="0" xfId="0" applyAlignment="1">
      <alignment horizontal="center"/>
    </xf>
    <xf numFmtId="10" fontId="0" fillId="0" borderId="0" xfId="2" applyNumberFormat="1" applyFont="1" applyAlignment="1">
      <alignment horizontal="center"/>
    </xf>
    <xf numFmtId="10" fontId="3" fillId="0" borderId="0" xfId="2" applyNumberFormat="1" applyFont="1" applyAlignment="1">
      <alignment horizontal="center"/>
    </xf>
    <xf numFmtId="10" fontId="2" fillId="0" borderId="0" xfId="2" applyNumberFormat="1" applyFont="1" applyAlignment="1">
      <alignment horizontal="center"/>
    </xf>
    <xf numFmtId="166" fontId="2" fillId="2" borderId="29" xfId="0" applyNumberFormat="1" applyFont="1" applyFill="1" applyBorder="1" applyAlignment="1">
      <alignment horizontal="right"/>
    </xf>
    <xf numFmtId="166" fontId="3" fillId="2" borderId="47" xfId="0" applyNumberFormat="1" applyFont="1" applyFill="1" applyBorder="1" applyAlignment="1">
      <alignment horizontal="right"/>
    </xf>
    <xf numFmtId="166" fontId="3" fillId="2" borderId="49" xfId="0" applyNumberFormat="1" applyFont="1" applyFill="1" applyBorder="1" applyAlignment="1">
      <alignment horizontal="right"/>
    </xf>
    <xf numFmtId="166" fontId="3" fillId="2" borderId="51" xfId="0" applyNumberFormat="1" applyFont="1" applyFill="1" applyBorder="1" applyAlignment="1">
      <alignment horizontal="right"/>
    </xf>
    <xf numFmtId="166" fontId="3" fillId="2" borderId="32" xfId="0" applyNumberFormat="1" applyFont="1" applyFill="1" applyBorder="1" applyAlignment="1">
      <alignment horizontal="right"/>
    </xf>
    <xf numFmtId="166" fontId="2" fillId="2" borderId="33" xfId="0" applyNumberFormat="1" applyFont="1" applyFill="1" applyBorder="1" applyAlignment="1">
      <alignment horizontal="right"/>
    </xf>
    <xf numFmtId="166" fontId="2" fillId="2" borderId="31" xfId="0" applyNumberFormat="1" applyFont="1" applyFill="1" applyBorder="1" applyAlignment="1">
      <alignment horizontal="right"/>
    </xf>
    <xf numFmtId="2" fontId="2" fillId="2" borderId="29" xfId="0" applyNumberFormat="1" applyFont="1" applyFill="1" applyBorder="1" applyAlignment="1">
      <alignment horizontal="right"/>
    </xf>
    <xf numFmtId="0" fontId="2" fillId="2" borderId="66" xfId="0" applyFont="1" applyFill="1" applyBorder="1"/>
    <xf numFmtId="0" fontId="3" fillId="2" borderId="16" xfId="0" applyFont="1" applyFill="1" applyBorder="1"/>
    <xf numFmtId="0" fontId="3" fillId="2" borderId="66" xfId="0" applyFont="1" applyFill="1" applyBorder="1"/>
    <xf numFmtId="0" fontId="2" fillId="2" borderId="74" xfId="0" applyFont="1" applyFill="1" applyBorder="1"/>
    <xf numFmtId="2" fontId="2" fillId="2" borderId="75" xfId="0" applyNumberFormat="1" applyFont="1" applyFill="1" applyBorder="1" applyAlignment="1">
      <alignment horizontal="right"/>
    </xf>
    <xf numFmtId="0" fontId="0" fillId="0" borderId="0" xfId="0" applyAlignment="1">
      <alignment horizontal="right"/>
    </xf>
    <xf numFmtId="166" fontId="3" fillId="2" borderId="29" xfId="0" applyNumberFormat="1" applyFont="1" applyFill="1" applyBorder="1" applyAlignment="1">
      <alignment horizontal="right"/>
    </xf>
    <xf numFmtId="43" fontId="0" fillId="0" borderId="0" xfId="0" applyNumberFormat="1" applyAlignment="1">
      <alignment horizontal="right"/>
    </xf>
    <xf numFmtId="43" fontId="0" fillId="0" borderId="0" xfId="0" applyNumberFormat="1"/>
    <xf numFmtId="10" fontId="2" fillId="3" borderId="2" xfId="0" applyNumberFormat="1" applyFont="1" applyFill="1" applyBorder="1" applyAlignment="1">
      <alignment horizontal="center"/>
    </xf>
    <xf numFmtId="10" fontId="2" fillId="3" borderId="27" xfId="0" applyNumberFormat="1" applyFont="1" applyFill="1" applyBorder="1" applyAlignment="1">
      <alignment horizontal="center"/>
    </xf>
    <xf numFmtId="10" fontId="3" fillId="3" borderId="3" xfId="0" applyNumberFormat="1" applyFont="1" applyFill="1" applyBorder="1" applyAlignment="1">
      <alignment horizontal="center"/>
    </xf>
    <xf numFmtId="10" fontId="3" fillId="3" borderId="25" xfId="0" applyNumberFormat="1" applyFont="1" applyFill="1" applyBorder="1" applyAlignment="1">
      <alignment horizontal="center"/>
    </xf>
    <xf numFmtId="10" fontId="2" fillId="3" borderId="100" xfId="0" applyNumberFormat="1" applyFont="1" applyFill="1" applyBorder="1" applyAlignment="1">
      <alignment horizontal="center"/>
    </xf>
    <xf numFmtId="172" fontId="2" fillId="3" borderId="27" xfId="1" applyNumberFormat="1" applyFont="1" applyFill="1" applyBorder="1"/>
    <xf numFmtId="172" fontId="3" fillId="3" borderId="27" xfId="1" applyNumberFormat="1" applyFont="1" applyFill="1" applyBorder="1"/>
    <xf numFmtId="172" fontId="3" fillId="3" borderId="25" xfId="1" applyNumberFormat="1" applyFont="1" applyFill="1" applyBorder="1"/>
    <xf numFmtId="172" fontId="4" fillId="3" borderId="27" xfId="1" applyNumberFormat="1" applyFont="1" applyFill="1" applyBorder="1"/>
    <xf numFmtId="2" fontId="0" fillId="3" borderId="0" xfId="1" applyNumberFormat="1" applyFont="1" applyFill="1"/>
    <xf numFmtId="2" fontId="3" fillId="3" borderId="0" xfId="1" applyNumberFormat="1" applyFont="1" applyFill="1" applyBorder="1"/>
    <xf numFmtId="2" fontId="3" fillId="3" borderId="54" xfId="1" applyNumberFormat="1" applyFont="1" applyFill="1" applyBorder="1"/>
    <xf numFmtId="2" fontId="2" fillId="3" borderId="0" xfId="1" applyNumberFormat="1" applyFont="1" applyFill="1" applyBorder="1"/>
    <xf numFmtId="10" fontId="3" fillId="3" borderId="54" xfId="0" applyNumberFormat="1" applyFont="1" applyFill="1" applyBorder="1" applyAlignment="1">
      <alignment horizontal="center"/>
    </xf>
    <xf numFmtId="0" fontId="2" fillId="3" borderId="16" xfId="0" applyFont="1" applyFill="1" applyBorder="1"/>
    <xf numFmtId="0" fontId="3" fillId="3" borderId="16" xfId="0" applyFont="1" applyFill="1" applyBorder="1"/>
    <xf numFmtId="0" fontId="2" fillId="3" borderId="16" xfId="0" applyFont="1" applyFill="1" applyBorder="1" applyAlignment="1">
      <alignment vertical="center"/>
    </xf>
    <xf numFmtId="0" fontId="4" fillId="3" borderId="16" xfId="0" applyFont="1" applyFill="1" applyBorder="1"/>
    <xf numFmtId="0" fontId="3" fillId="3" borderId="78" xfId="0" applyFont="1" applyFill="1" applyBorder="1" applyAlignment="1">
      <alignment vertical="center"/>
    </xf>
    <xf numFmtId="0" fontId="2" fillId="3" borderId="1" xfId="0" applyFont="1" applyFill="1" applyBorder="1"/>
    <xf numFmtId="0" fontId="3" fillId="3" borderId="1" xfId="0" applyFont="1" applyFill="1" applyBorder="1"/>
    <xf numFmtId="0" fontId="2" fillId="3" borderId="1" xfId="0" applyFont="1" applyFill="1" applyBorder="1" applyAlignment="1">
      <alignment vertical="center"/>
    </xf>
    <xf numFmtId="0" fontId="4" fillId="3" borderId="1" xfId="0" applyFont="1" applyFill="1" applyBorder="1"/>
    <xf numFmtId="0" fontId="3" fillId="3" borderId="4" xfId="0" applyFont="1" applyFill="1" applyBorder="1" applyAlignment="1">
      <alignment vertical="center"/>
    </xf>
    <xf numFmtId="4" fontId="0" fillId="3" borderId="0" xfId="1" applyNumberFormat="1" applyFont="1" applyFill="1"/>
    <xf numFmtId="4" fontId="3" fillId="3" borderId="0" xfId="1" applyNumberFormat="1" applyFont="1" applyFill="1" applyBorder="1"/>
    <xf numFmtId="4" fontId="3" fillId="3" borderId="54" xfId="1" applyNumberFormat="1" applyFont="1" applyFill="1" applyBorder="1"/>
    <xf numFmtId="4" fontId="2" fillId="3" borderId="0" xfId="1" applyNumberFormat="1" applyFont="1" applyFill="1" applyBorder="1"/>
    <xf numFmtId="4" fontId="0" fillId="3" borderId="0" xfId="1" applyNumberFormat="1" applyFont="1" applyFill="1" applyAlignment="1">
      <alignment horizontal="center"/>
    </xf>
    <xf numFmtId="4" fontId="3" fillId="3" borderId="0" xfId="1" applyNumberFormat="1" applyFont="1" applyFill="1" applyBorder="1" applyAlignment="1">
      <alignment horizontal="center"/>
    </xf>
    <xf numFmtId="4" fontId="3" fillId="3" borderId="54" xfId="1" applyNumberFormat="1" applyFont="1" applyFill="1" applyBorder="1" applyAlignment="1">
      <alignment horizontal="center"/>
    </xf>
    <xf numFmtId="2" fontId="0" fillId="0" borderId="0" xfId="0" applyNumberFormat="1" applyAlignment="1">
      <alignment horizontal="center"/>
    </xf>
    <xf numFmtId="4" fontId="2" fillId="2" borderId="29" xfId="0" applyNumberFormat="1" applyFont="1" applyFill="1" applyBorder="1" applyAlignment="1">
      <alignment horizontal="center"/>
    </xf>
    <xf numFmtId="4" fontId="2" fillId="3" borderId="0" xfId="1" applyNumberFormat="1" applyFont="1" applyFill="1" applyBorder="1" applyAlignment="1">
      <alignment horizontal="center"/>
    </xf>
    <xf numFmtId="10" fontId="3" fillId="3" borderId="2" xfId="0" applyNumberFormat="1" applyFont="1" applyFill="1" applyBorder="1" applyAlignment="1">
      <alignment horizontal="center"/>
    </xf>
    <xf numFmtId="10" fontId="3" fillId="3" borderId="27" xfId="0" applyNumberFormat="1" applyFont="1" applyFill="1" applyBorder="1" applyAlignment="1">
      <alignment horizontal="center"/>
    </xf>
    <xf numFmtId="10" fontId="3" fillId="3" borderId="99" xfId="0" applyNumberFormat="1" applyFont="1" applyFill="1" applyBorder="1" applyAlignment="1">
      <alignment horizontal="center"/>
    </xf>
    <xf numFmtId="10" fontId="3" fillId="3" borderId="23" xfId="0" applyNumberFormat="1" applyFont="1" applyFill="1" applyBorder="1" applyAlignment="1">
      <alignment horizontal="center"/>
    </xf>
    <xf numFmtId="10" fontId="3" fillId="3" borderId="24" xfId="0" applyNumberFormat="1" applyFont="1" applyFill="1" applyBorder="1" applyAlignment="1">
      <alignment horizontal="center"/>
    </xf>
    <xf numFmtId="4" fontId="0" fillId="3" borderId="30" xfId="1" applyNumberFormat="1" applyFont="1" applyFill="1" applyBorder="1"/>
    <xf numFmtId="4" fontId="3" fillId="3" borderId="30" xfId="1" applyNumberFormat="1" applyFont="1" applyFill="1" applyBorder="1"/>
    <xf numFmtId="4" fontId="3" fillId="3" borderId="118" xfId="1" applyNumberFormat="1" applyFont="1" applyFill="1" applyBorder="1"/>
    <xf numFmtId="4" fontId="2" fillId="3" borderId="30" xfId="1" applyNumberFormat="1" applyFont="1" applyFill="1" applyBorder="1"/>
    <xf numFmtId="166" fontId="2" fillId="2" borderId="67" xfId="0" applyNumberFormat="1" applyFont="1" applyFill="1" applyBorder="1" applyAlignment="1">
      <alignment horizontal="right"/>
    </xf>
    <xf numFmtId="166" fontId="3" fillId="2" borderId="68" xfId="0" applyNumberFormat="1" applyFont="1" applyFill="1" applyBorder="1" applyAlignment="1">
      <alignment horizontal="right"/>
    </xf>
    <xf numFmtId="166" fontId="3" fillId="2" borderId="67" xfId="0" applyNumberFormat="1" applyFont="1" applyFill="1" applyBorder="1" applyAlignment="1">
      <alignment horizontal="right"/>
    </xf>
    <xf numFmtId="166" fontId="3" fillId="2" borderId="69" xfId="0" applyNumberFormat="1" applyFont="1" applyFill="1" applyBorder="1" applyAlignment="1">
      <alignment horizontal="right"/>
    </xf>
    <xf numFmtId="166" fontId="3" fillId="2" borderId="70" xfId="0" applyNumberFormat="1" applyFont="1" applyFill="1" applyBorder="1" applyAlignment="1">
      <alignment horizontal="right"/>
    </xf>
    <xf numFmtId="166" fontId="3" fillId="2" borderId="71" xfId="0" applyNumberFormat="1" applyFont="1" applyFill="1" applyBorder="1" applyAlignment="1">
      <alignment horizontal="right"/>
    </xf>
    <xf numFmtId="166" fontId="2" fillId="2" borderId="72" xfId="0" applyNumberFormat="1" applyFont="1" applyFill="1" applyBorder="1" applyAlignment="1">
      <alignment horizontal="right"/>
    </xf>
    <xf numFmtId="166" fontId="2" fillId="2" borderId="73" xfId="0" applyNumberFormat="1" applyFont="1" applyFill="1" applyBorder="1" applyAlignment="1">
      <alignment horizontal="right"/>
    </xf>
    <xf numFmtId="2" fontId="2" fillId="2" borderId="67" xfId="0" applyNumberFormat="1" applyFont="1" applyFill="1" applyBorder="1" applyAlignment="1">
      <alignment horizontal="right"/>
    </xf>
    <xf numFmtId="2" fontId="2" fillId="2" borderId="77" xfId="0" applyNumberFormat="1" applyFont="1" applyFill="1" applyBorder="1" applyAlignment="1">
      <alignment horizontal="right"/>
    </xf>
    <xf numFmtId="0" fontId="0" fillId="3" borderId="0" xfId="0" applyFill="1"/>
    <xf numFmtId="0" fontId="0" fillId="6" borderId="44" xfId="0" applyFill="1" applyBorder="1" applyAlignment="1">
      <alignment horizontal="center"/>
    </xf>
    <xf numFmtId="0" fontId="10" fillId="3" borderId="2" xfId="0" applyFont="1" applyFill="1" applyBorder="1"/>
    <xf numFmtId="0" fontId="10" fillId="3" borderId="0" xfId="0" applyFont="1" applyFill="1"/>
    <xf numFmtId="0" fontId="10" fillId="3" borderId="30" xfId="0" applyFont="1" applyFill="1" applyBorder="1"/>
    <xf numFmtId="0" fontId="0" fillId="3" borderId="2" xfId="0" applyFill="1" applyBorder="1"/>
    <xf numFmtId="0" fontId="0" fillId="3" borderId="30" xfId="0" applyFill="1" applyBorder="1"/>
    <xf numFmtId="0" fontId="10" fillId="3" borderId="3" xfId="0" applyFont="1" applyFill="1" applyBorder="1"/>
    <xf numFmtId="0" fontId="0" fillId="3" borderId="118" xfId="0" applyFill="1" applyBorder="1"/>
    <xf numFmtId="0" fontId="10" fillId="3" borderId="54" xfId="0" applyFont="1" applyFill="1" applyBorder="1"/>
    <xf numFmtId="0" fontId="10" fillId="3" borderId="118" xfId="0" applyFont="1" applyFill="1" applyBorder="1"/>
    <xf numFmtId="0" fontId="0" fillId="3" borderId="54" xfId="0" applyFill="1" applyBorder="1"/>
    <xf numFmtId="0" fontId="2" fillId="2" borderId="16" xfId="0" applyFont="1" applyFill="1" applyBorder="1"/>
    <xf numFmtId="0" fontId="2" fillId="7" borderId="121" xfId="0" applyFont="1" applyFill="1" applyBorder="1"/>
    <xf numFmtId="167" fontId="0" fillId="7" borderId="122" xfId="2" applyNumberFormat="1" applyFont="1" applyFill="1" applyBorder="1"/>
    <xf numFmtId="167" fontId="0" fillId="7" borderId="123" xfId="2" applyNumberFormat="1" applyFont="1" applyFill="1" applyBorder="1"/>
    <xf numFmtId="4" fontId="10" fillId="3" borderId="25" xfId="1" applyNumberFormat="1" applyFont="1" applyFill="1" applyBorder="1" applyAlignment="1">
      <alignment horizontal="center"/>
    </xf>
    <xf numFmtId="4" fontId="10" fillId="3" borderId="0" xfId="1" applyNumberFormat="1" applyFont="1" applyFill="1" applyAlignment="1">
      <alignment horizontal="center"/>
    </xf>
    <xf numFmtId="3" fontId="0" fillId="3" borderId="0" xfId="0" applyNumberFormat="1" applyFill="1" applyAlignment="1">
      <alignment horizontal="center" vertical="center"/>
    </xf>
    <xf numFmtId="169" fontId="12" fillId="6" borderId="16" xfId="0" applyNumberFormat="1" applyFont="1" applyFill="1" applyBorder="1" applyAlignment="1">
      <alignment horizontal="left"/>
    </xf>
    <xf numFmtId="0" fontId="0" fillId="0" borderId="16" xfId="0" applyBorder="1" applyAlignment="1">
      <alignment horizontal="left"/>
    </xf>
    <xf numFmtId="169" fontId="12" fillId="4" borderId="16" xfId="0" applyNumberFormat="1" applyFont="1" applyFill="1" applyBorder="1" applyAlignment="1">
      <alignment horizontal="left"/>
    </xf>
    <xf numFmtId="169" fontId="0" fillId="0" borderId="16" xfId="0" applyNumberFormat="1" applyBorder="1" applyAlignment="1">
      <alignment horizontal="left"/>
    </xf>
    <xf numFmtId="0" fontId="0" fillId="0" borderId="16" xfId="0" applyBorder="1"/>
    <xf numFmtId="0" fontId="0" fillId="0" borderId="63" xfId="0" applyBorder="1"/>
    <xf numFmtId="0" fontId="0" fillId="3" borderId="16" xfId="0" applyFill="1" applyBorder="1"/>
    <xf numFmtId="0" fontId="0" fillId="5" borderId="16" xfId="0" applyFill="1" applyBorder="1"/>
    <xf numFmtId="0" fontId="0" fillId="0" borderId="78" xfId="0" applyBorder="1"/>
    <xf numFmtId="0" fontId="0" fillId="6" borderId="0" xfId="0" applyFill="1" applyAlignment="1">
      <alignment horizontal="center"/>
    </xf>
    <xf numFmtId="169" fontId="12" fillId="6" borderId="16" xfId="0" applyNumberFormat="1" applyFont="1" applyFill="1" applyBorder="1" applyAlignment="1">
      <alignment horizontal="center"/>
    </xf>
    <xf numFmtId="10" fontId="0" fillId="0" borderId="16" xfId="2" applyNumberFormat="1" applyFont="1" applyBorder="1" applyAlignment="1">
      <alignment horizontal="center"/>
    </xf>
    <xf numFmtId="2" fontId="0" fillId="0" borderId="16" xfId="0" applyNumberFormat="1" applyBorder="1" applyAlignment="1">
      <alignment horizontal="center"/>
    </xf>
    <xf numFmtId="169" fontId="12" fillId="4" borderId="16" xfId="0" applyNumberFormat="1" applyFont="1" applyFill="1" applyBorder="1" applyAlignment="1">
      <alignment horizontal="center"/>
    </xf>
    <xf numFmtId="166" fontId="0" fillId="0" borderId="16" xfId="0" applyNumberFormat="1" applyBorder="1" applyAlignment="1">
      <alignment horizontal="center"/>
    </xf>
    <xf numFmtId="0" fontId="0" fillId="0" borderId="16" xfId="0" applyBorder="1" applyAlignment="1">
      <alignment horizontal="center"/>
    </xf>
    <xf numFmtId="43" fontId="0" fillId="0" borderId="16" xfId="0" applyNumberFormat="1" applyBorder="1" applyAlignment="1">
      <alignment horizontal="center"/>
    </xf>
    <xf numFmtId="167" fontId="0" fillId="0" borderId="16" xfId="2" applyNumberFormat="1" applyFont="1" applyBorder="1" applyAlignment="1">
      <alignment horizontal="center"/>
    </xf>
    <xf numFmtId="4" fontId="0" fillId="0" borderId="16" xfId="0" applyNumberFormat="1" applyBorder="1" applyAlignment="1">
      <alignment horizontal="center"/>
    </xf>
    <xf numFmtId="169" fontId="0" fillId="0" borderId="16" xfId="0" applyNumberFormat="1" applyBorder="1" applyAlignment="1">
      <alignment horizontal="center"/>
    </xf>
    <xf numFmtId="43" fontId="0" fillId="0" borderId="63" xfId="0" applyNumberFormat="1" applyBorder="1" applyAlignment="1">
      <alignment horizontal="center"/>
    </xf>
    <xf numFmtId="0" fontId="0" fillId="0" borderId="78" xfId="0" applyBorder="1" applyAlignment="1">
      <alignment horizontal="center"/>
    </xf>
    <xf numFmtId="0" fontId="0" fillId="0" borderId="0" xfId="0" quotePrefix="1" applyAlignment="1">
      <alignment horizontal="left"/>
    </xf>
    <xf numFmtId="2" fontId="0" fillId="0" borderId="16" xfId="2" applyNumberFormat="1" applyFont="1" applyBorder="1" applyAlignment="1">
      <alignment horizontal="center"/>
    </xf>
    <xf numFmtId="10" fontId="0" fillId="0" borderId="0" xfId="2" applyNumberFormat="1" applyFont="1" applyBorder="1" applyAlignment="1">
      <alignment horizontal="right"/>
    </xf>
    <xf numFmtId="10" fontId="0" fillId="0" borderId="44" xfId="2" applyNumberFormat="1" applyFont="1" applyBorder="1" applyAlignment="1">
      <alignment horizontal="right"/>
    </xf>
    <xf numFmtId="2" fontId="0" fillId="0" borderId="0" xfId="2" applyNumberFormat="1" applyFont="1" applyBorder="1" applyAlignment="1">
      <alignment horizontal="right"/>
    </xf>
    <xf numFmtId="2" fontId="0" fillId="0" borderId="44" xfId="2" applyNumberFormat="1" applyFont="1" applyBorder="1" applyAlignment="1">
      <alignment horizontal="right"/>
    </xf>
    <xf numFmtId="2" fontId="0" fillId="0" borderId="0" xfId="0" applyNumberFormat="1" applyAlignment="1">
      <alignment horizontal="right"/>
    </xf>
    <xf numFmtId="2" fontId="0" fillId="0" borderId="44" xfId="0" applyNumberFormat="1" applyBorder="1" applyAlignment="1">
      <alignment horizontal="right"/>
    </xf>
    <xf numFmtId="0" fontId="0" fillId="6" borderId="0" xfId="0" applyFill="1" applyAlignment="1">
      <alignment horizontal="right"/>
    </xf>
    <xf numFmtId="0" fontId="0" fillId="6" borderId="44" xfId="0" applyFill="1" applyBorder="1" applyAlignment="1">
      <alignment horizontal="right"/>
    </xf>
    <xf numFmtId="166" fontId="0" fillId="0" borderId="0" xfId="0" applyNumberFormat="1" applyAlignment="1">
      <alignment horizontal="right"/>
    </xf>
    <xf numFmtId="166" fontId="0" fillId="0" borderId="44" xfId="0" applyNumberFormat="1" applyBorder="1" applyAlignment="1">
      <alignment horizontal="right"/>
    </xf>
    <xf numFmtId="43" fontId="0" fillId="0" borderId="44" xfId="0" applyNumberFormat="1" applyBorder="1" applyAlignment="1">
      <alignment horizontal="right"/>
    </xf>
    <xf numFmtId="169" fontId="0" fillId="0" borderId="0" xfId="0" applyNumberFormat="1" applyAlignment="1">
      <alignment horizontal="right"/>
    </xf>
    <xf numFmtId="169" fontId="0" fillId="0" borderId="44" xfId="0" applyNumberFormat="1" applyBorder="1" applyAlignment="1">
      <alignment horizontal="right"/>
    </xf>
    <xf numFmtId="4" fontId="0" fillId="0" borderId="0" xfId="0" applyNumberFormat="1" applyAlignment="1">
      <alignment horizontal="right"/>
    </xf>
    <xf numFmtId="4" fontId="0" fillId="0" borderId="44" xfId="0" applyNumberFormat="1" applyBorder="1" applyAlignment="1">
      <alignment horizontal="right"/>
    </xf>
    <xf numFmtId="167" fontId="0" fillId="0" borderId="0" xfId="2" applyNumberFormat="1" applyFont="1" applyBorder="1" applyAlignment="1">
      <alignment horizontal="right"/>
    </xf>
    <xf numFmtId="167" fontId="0" fillId="0" borderId="44" xfId="2" applyNumberFormat="1" applyFont="1" applyBorder="1" applyAlignment="1">
      <alignment horizontal="right"/>
    </xf>
    <xf numFmtId="43" fontId="0" fillId="0" borderId="37" xfId="0" applyNumberFormat="1" applyBorder="1" applyAlignment="1">
      <alignment horizontal="right"/>
    </xf>
    <xf numFmtId="43" fontId="0" fillId="0" borderId="8" xfId="0" applyNumberFormat="1" applyBorder="1" applyAlignment="1">
      <alignment horizontal="right"/>
    </xf>
    <xf numFmtId="168" fontId="0" fillId="0" borderId="0" xfId="0" applyNumberFormat="1" applyAlignment="1">
      <alignment horizontal="right"/>
    </xf>
    <xf numFmtId="0" fontId="0" fillId="0" borderId="44" xfId="0" applyBorder="1" applyAlignment="1">
      <alignment horizontal="right"/>
    </xf>
    <xf numFmtId="2" fontId="0" fillId="0" borderId="40" xfId="0" applyNumberFormat="1" applyBorder="1" applyAlignment="1">
      <alignment horizontal="right"/>
    </xf>
    <xf numFmtId="2" fontId="0" fillId="0" borderId="45" xfId="0" applyNumberFormat="1" applyBorder="1" applyAlignment="1">
      <alignment horizontal="right"/>
    </xf>
    <xf numFmtId="0" fontId="0" fillId="0" borderId="0" xfId="0" quotePrefix="1" applyAlignment="1">
      <alignment horizontal="center"/>
    </xf>
    <xf numFmtId="0" fontId="24" fillId="0" borderId="0" xfId="0" applyFont="1"/>
    <xf numFmtId="0" fontId="27" fillId="0" borderId="0" xfId="0" applyFont="1" applyAlignment="1">
      <alignment wrapText="1"/>
    </xf>
    <xf numFmtId="0" fontId="24" fillId="3" borderId="0" xfId="0" applyFont="1" applyFill="1"/>
    <xf numFmtId="0" fontId="6" fillId="13" borderId="63" xfId="0" applyFont="1" applyFill="1" applyBorder="1" applyAlignment="1">
      <alignment horizontal="center"/>
    </xf>
    <xf numFmtId="0" fontId="6" fillId="13" borderId="37" xfId="0" applyFont="1" applyFill="1" applyBorder="1" applyAlignment="1">
      <alignment horizontal="center"/>
    </xf>
    <xf numFmtId="0" fontId="0" fillId="13" borderId="37" xfId="0" applyFill="1" applyBorder="1" applyAlignment="1">
      <alignment horizontal="right"/>
    </xf>
    <xf numFmtId="0" fontId="0" fillId="13" borderId="37" xfId="0" applyFill="1" applyBorder="1"/>
    <xf numFmtId="0" fontId="9" fillId="13" borderId="6" xfId="0" applyFont="1" applyFill="1" applyBorder="1"/>
    <xf numFmtId="0" fontId="9" fillId="13" borderId="37" xfId="0" applyFont="1" applyFill="1" applyBorder="1"/>
    <xf numFmtId="0" fontId="9" fillId="13" borderId="8" xfId="0" applyFont="1" applyFill="1" applyBorder="1"/>
    <xf numFmtId="0" fontId="7" fillId="13" borderId="64" xfId="0" applyFont="1" applyFill="1" applyBorder="1"/>
    <xf numFmtId="0" fontId="11" fillId="13" borderId="0" xfId="0" applyFont="1" applyFill="1" applyAlignment="1">
      <alignment horizontal="center"/>
    </xf>
    <xf numFmtId="0" fontId="6" fillId="13" borderId="34" xfId="0" applyFont="1" applyFill="1" applyBorder="1" applyAlignment="1">
      <alignment horizontal="right"/>
    </xf>
    <xf numFmtId="0" fontId="6" fillId="13" borderId="34" xfId="0" applyFont="1" applyFill="1" applyBorder="1" applyAlignment="1">
      <alignment horizontal="center"/>
    </xf>
    <xf numFmtId="0" fontId="1" fillId="13" borderId="53" xfId="0" applyFont="1" applyFill="1" applyBorder="1"/>
    <xf numFmtId="0" fontId="1" fillId="13" borderId="38" xfId="0" applyFont="1" applyFill="1" applyBorder="1"/>
    <xf numFmtId="0" fontId="1" fillId="13" borderId="55" xfId="0" applyFont="1" applyFill="1" applyBorder="1"/>
    <xf numFmtId="0" fontId="6" fillId="13" borderId="65" xfId="0" applyFont="1" applyFill="1" applyBorder="1" applyAlignment="1">
      <alignment horizontal="center"/>
    </xf>
    <xf numFmtId="0" fontId="16" fillId="13" borderId="106" xfId="0" applyFont="1" applyFill="1" applyBorder="1" applyAlignment="1">
      <alignment horizontal="center" vertical="center" wrapText="1"/>
    </xf>
    <xf numFmtId="0" fontId="16" fillId="13" borderId="80" xfId="0" applyFont="1" applyFill="1" applyBorder="1" applyAlignment="1">
      <alignment horizontal="center" vertical="center" wrapText="1"/>
    </xf>
    <xf numFmtId="0" fontId="23" fillId="13" borderId="80" xfId="0" applyFont="1" applyFill="1" applyBorder="1" applyAlignment="1">
      <alignment horizontal="center" vertical="center" wrapText="1"/>
    </xf>
    <xf numFmtId="0" fontId="23" fillId="13" borderId="107" xfId="0" applyFont="1" applyFill="1" applyBorder="1" applyAlignment="1">
      <alignment horizontal="center" vertical="center" wrapText="1"/>
    </xf>
    <xf numFmtId="0" fontId="1" fillId="13" borderId="0" xfId="0" applyFont="1" applyFill="1"/>
    <xf numFmtId="0" fontId="1" fillId="13" borderId="0" xfId="0" applyFont="1" applyFill="1" applyAlignment="1">
      <alignment horizontal="center"/>
    </xf>
    <xf numFmtId="0" fontId="1" fillId="13" borderId="22" xfId="0" applyFont="1" applyFill="1" applyBorder="1" applyAlignment="1">
      <alignment horizontal="center"/>
    </xf>
    <xf numFmtId="2" fontId="1" fillId="13" borderId="0" xfId="0" applyNumberFormat="1" applyFont="1" applyFill="1" applyAlignment="1">
      <alignment horizontal="center"/>
    </xf>
    <xf numFmtId="0" fontId="1" fillId="13" borderId="20" xfId="0" applyFont="1" applyFill="1" applyBorder="1" applyAlignment="1">
      <alignment horizontal="center"/>
    </xf>
    <xf numFmtId="4" fontId="1" fillId="13" borderId="0" xfId="0" applyNumberFormat="1" applyFont="1" applyFill="1" applyAlignment="1">
      <alignment horizontal="center"/>
    </xf>
    <xf numFmtId="0" fontId="1" fillId="13" borderId="26" xfId="0" applyFont="1" applyFill="1" applyBorder="1" applyAlignment="1">
      <alignment horizontal="center"/>
    </xf>
    <xf numFmtId="0" fontId="5" fillId="13" borderId="0" xfId="0" applyFont="1" applyFill="1" applyAlignment="1">
      <alignment horizontal="center"/>
    </xf>
    <xf numFmtId="0" fontId="5" fillId="13" borderId="0" xfId="0" applyFont="1" applyFill="1"/>
    <xf numFmtId="164" fontId="5" fillId="13" borderId="0" xfId="0" applyNumberFormat="1" applyFont="1" applyFill="1"/>
    <xf numFmtId="10" fontId="5" fillId="13" borderId="0" xfId="0" applyNumberFormat="1" applyFont="1" applyFill="1" applyAlignment="1">
      <alignment horizontal="center"/>
    </xf>
    <xf numFmtId="165" fontId="5" fillId="13" borderId="0" xfId="0" applyNumberFormat="1" applyFont="1" applyFill="1"/>
    <xf numFmtId="0" fontId="5" fillId="16" borderId="5" xfId="0" applyFont="1" applyFill="1" applyBorder="1"/>
    <xf numFmtId="0" fontId="5" fillId="16" borderId="37" xfId="0" applyFont="1" applyFill="1" applyBorder="1" applyAlignment="1">
      <alignment horizontal="center"/>
    </xf>
    <xf numFmtId="10" fontId="5" fillId="16" borderId="37" xfId="2" applyNumberFormat="1" applyFont="1" applyFill="1" applyBorder="1" applyAlignment="1">
      <alignment horizontal="center"/>
    </xf>
    <xf numFmtId="0" fontId="5" fillId="16" borderId="6" xfId="0" applyFont="1" applyFill="1" applyBorder="1" applyAlignment="1">
      <alignment horizontal="center"/>
    </xf>
    <xf numFmtId="0" fontId="5" fillId="16" borderId="7" xfId="0" applyFont="1" applyFill="1" applyBorder="1" applyAlignment="1">
      <alignment horizontal="center"/>
    </xf>
    <xf numFmtId="0" fontId="5" fillId="16" borderId="8" xfId="0" applyFont="1" applyFill="1" applyBorder="1" applyAlignment="1">
      <alignment horizontal="center"/>
    </xf>
    <xf numFmtId="0" fontId="2" fillId="3" borderId="0" xfId="0" applyFont="1" applyFill="1"/>
    <xf numFmtId="164" fontId="2" fillId="3" borderId="0" xfId="0" applyNumberFormat="1" applyFont="1" applyFill="1"/>
    <xf numFmtId="10" fontId="2" fillId="3" borderId="0" xfId="0" applyNumberFormat="1" applyFont="1" applyFill="1" applyAlignment="1">
      <alignment horizontal="center"/>
    </xf>
    <xf numFmtId="165" fontId="2" fillId="3" borderId="0" xfId="0" applyNumberFormat="1" applyFont="1" applyFill="1"/>
    <xf numFmtId="0" fontId="2" fillId="3" borderId="9" xfId="0" applyFont="1" applyFill="1" applyBorder="1"/>
    <xf numFmtId="164" fontId="2" fillId="3" borderId="10" xfId="0" applyNumberFormat="1" applyFont="1" applyFill="1" applyBorder="1"/>
    <xf numFmtId="10" fontId="2" fillId="3" borderId="10" xfId="2" applyNumberFormat="1" applyFont="1" applyFill="1" applyBorder="1" applyAlignment="1">
      <alignment horizontal="center"/>
    </xf>
    <xf numFmtId="165" fontId="2" fillId="3" borderId="11" xfId="0" applyNumberFormat="1" applyFont="1" applyFill="1" applyBorder="1"/>
    <xf numFmtId="10" fontId="2" fillId="3" borderId="11" xfId="2" applyNumberFormat="1" applyFont="1" applyFill="1" applyBorder="1" applyAlignment="1">
      <alignment horizontal="center"/>
    </xf>
    <xf numFmtId="164" fontId="2" fillId="3" borderId="12" xfId="0" applyNumberFormat="1" applyFont="1" applyFill="1" applyBorder="1"/>
    <xf numFmtId="10" fontId="2" fillId="3" borderId="12" xfId="2" applyNumberFormat="1" applyFont="1" applyFill="1" applyBorder="1" applyAlignment="1">
      <alignment horizontal="center"/>
    </xf>
    <xf numFmtId="0" fontId="3" fillId="3" borderId="9" xfId="0" applyFont="1" applyFill="1" applyBorder="1"/>
    <xf numFmtId="164" fontId="3" fillId="3" borderId="3" xfId="0" applyNumberFormat="1" applyFont="1" applyFill="1" applyBorder="1"/>
    <xf numFmtId="10" fontId="3" fillId="3" borderId="3" xfId="2" applyNumberFormat="1" applyFont="1" applyFill="1" applyBorder="1" applyAlignment="1">
      <alignment horizontal="center"/>
    </xf>
    <xf numFmtId="0" fontId="2" fillId="3" borderId="13" xfId="0" applyFont="1" applyFill="1" applyBorder="1"/>
    <xf numFmtId="0" fontId="3" fillId="3" borderId="14" xfId="0" applyFont="1" applyFill="1" applyBorder="1"/>
    <xf numFmtId="165" fontId="3" fillId="3" borderId="3" xfId="0" applyNumberFormat="1" applyFont="1" applyFill="1" applyBorder="1"/>
    <xf numFmtId="10" fontId="2" fillId="3" borderId="0" xfId="2" applyNumberFormat="1" applyFont="1" applyFill="1" applyAlignment="1">
      <alignment horizontal="center"/>
    </xf>
    <xf numFmtId="165" fontId="2" fillId="3" borderId="10" xfId="0" applyNumberFormat="1" applyFont="1" applyFill="1" applyBorder="1"/>
    <xf numFmtId="0" fontId="2" fillId="3" borderId="15" xfId="0" applyFont="1" applyFill="1" applyBorder="1"/>
    <xf numFmtId="165" fontId="2" fillId="3" borderId="12" xfId="0" applyNumberFormat="1" applyFont="1" applyFill="1" applyBorder="1"/>
    <xf numFmtId="0" fontId="6" fillId="13" borderId="79" xfId="0" applyFont="1" applyFill="1" applyBorder="1"/>
    <xf numFmtId="0" fontId="6" fillId="13" borderId="37" xfId="0" applyFont="1" applyFill="1" applyBorder="1"/>
    <xf numFmtId="0" fontId="6" fillId="13" borderId="7" xfId="0" applyFont="1" applyFill="1" applyBorder="1" applyAlignment="1">
      <alignment horizontal="center"/>
    </xf>
    <xf numFmtId="0" fontId="6" fillId="13" borderId="8" xfId="0" applyFont="1" applyFill="1" applyBorder="1" applyAlignment="1">
      <alignment horizontal="center"/>
    </xf>
    <xf numFmtId="166" fontId="2" fillId="3" borderId="32" xfId="0" applyNumberFormat="1" applyFont="1" applyFill="1" applyBorder="1"/>
    <xf numFmtId="10" fontId="2" fillId="3" borderId="88" xfId="2" applyNumberFormat="1" applyFont="1" applyFill="1" applyBorder="1" applyAlignment="1">
      <alignment horizontal="center"/>
    </xf>
    <xf numFmtId="166" fontId="2" fillId="3" borderId="41" xfId="0" applyNumberFormat="1" applyFont="1" applyFill="1" applyBorder="1" applyAlignment="1">
      <alignment horizontal="center"/>
    </xf>
    <xf numFmtId="10" fontId="2" fillId="3" borderId="32" xfId="2" applyNumberFormat="1" applyFont="1" applyFill="1" applyBorder="1" applyAlignment="1">
      <alignment horizontal="center"/>
    </xf>
    <xf numFmtId="166" fontId="2" fillId="3" borderId="32" xfId="0" applyNumberFormat="1" applyFont="1" applyFill="1" applyBorder="1" applyAlignment="1">
      <alignment horizontal="center"/>
    </xf>
    <xf numFmtId="166" fontId="2" fillId="3" borderId="71" xfId="0" applyNumberFormat="1" applyFont="1" applyFill="1" applyBorder="1" applyAlignment="1">
      <alignment horizontal="center"/>
    </xf>
    <xf numFmtId="166" fontId="2" fillId="3" borderId="29" xfId="0" applyNumberFormat="1" applyFont="1" applyFill="1" applyBorder="1"/>
    <xf numFmtId="10" fontId="2" fillId="3" borderId="27" xfId="2" applyNumberFormat="1" applyFont="1" applyFill="1" applyBorder="1" applyAlignment="1">
      <alignment horizontal="center"/>
    </xf>
    <xf numFmtId="166" fontId="2" fillId="3" borderId="0" xfId="0" applyNumberFormat="1" applyFont="1" applyFill="1" applyAlignment="1">
      <alignment horizontal="center"/>
    </xf>
    <xf numFmtId="10" fontId="2" fillId="3" borderId="29" xfId="2" applyNumberFormat="1" applyFont="1" applyFill="1" applyBorder="1" applyAlignment="1">
      <alignment horizontal="center"/>
    </xf>
    <xf numFmtId="166" fontId="2" fillId="3" borderId="29" xfId="0" applyNumberFormat="1" applyFont="1" applyFill="1" applyBorder="1" applyAlignment="1">
      <alignment horizontal="center"/>
    </xf>
    <xf numFmtId="166" fontId="2" fillId="3" borderId="67" xfId="0" applyNumberFormat="1" applyFont="1" applyFill="1" applyBorder="1" applyAlignment="1">
      <alignment horizontal="center"/>
    </xf>
    <xf numFmtId="166" fontId="3" fillId="3" borderId="31" xfId="0" applyNumberFormat="1" applyFont="1" applyFill="1" applyBorder="1"/>
    <xf numFmtId="10" fontId="3" fillId="3" borderId="89" xfId="2" applyNumberFormat="1" applyFont="1" applyFill="1" applyBorder="1" applyAlignment="1">
      <alignment horizontal="center"/>
    </xf>
    <xf numFmtId="166" fontId="3" fillId="3" borderId="43" xfId="0" applyNumberFormat="1" applyFont="1" applyFill="1" applyBorder="1" applyAlignment="1">
      <alignment horizontal="center"/>
    </xf>
    <xf numFmtId="10" fontId="3" fillId="3" borderId="31" xfId="2" applyNumberFormat="1" applyFont="1" applyFill="1" applyBorder="1" applyAlignment="1">
      <alignment horizontal="center"/>
    </xf>
    <xf numFmtId="166" fontId="3" fillId="3" borderId="31" xfId="0" applyNumberFormat="1" applyFont="1" applyFill="1" applyBorder="1" applyAlignment="1">
      <alignment horizontal="center"/>
    </xf>
    <xf numFmtId="166" fontId="3" fillId="3" borderId="73" xfId="0" applyNumberFormat="1" applyFont="1" applyFill="1" applyBorder="1" applyAlignment="1">
      <alignment horizontal="center"/>
    </xf>
    <xf numFmtId="166" fontId="3" fillId="3" borderId="29" xfId="0" applyNumberFormat="1" applyFont="1" applyFill="1" applyBorder="1"/>
    <xf numFmtId="10" fontId="3" fillId="3" borderId="27" xfId="2" applyNumberFormat="1" applyFont="1" applyFill="1" applyBorder="1" applyAlignment="1">
      <alignment horizontal="center"/>
    </xf>
    <xf numFmtId="166" fontId="3" fillId="3" borderId="0" xfId="0" applyNumberFormat="1" applyFont="1" applyFill="1" applyAlignment="1">
      <alignment horizontal="center"/>
    </xf>
    <xf numFmtId="10" fontId="3" fillId="3" borderId="29" xfId="2" applyNumberFormat="1" applyFont="1" applyFill="1" applyBorder="1" applyAlignment="1">
      <alignment horizontal="center"/>
    </xf>
    <xf numFmtId="166" fontId="3" fillId="3" borderId="29" xfId="0" applyNumberFormat="1" applyFont="1" applyFill="1" applyBorder="1" applyAlignment="1">
      <alignment horizontal="center"/>
    </xf>
    <xf numFmtId="166" fontId="3" fillId="3" borderId="67" xfId="0" applyNumberFormat="1" applyFont="1" applyFill="1" applyBorder="1" applyAlignment="1">
      <alignment horizontal="center"/>
    </xf>
    <xf numFmtId="166" fontId="3" fillId="3" borderId="32" xfId="0" applyNumberFormat="1" applyFont="1" applyFill="1" applyBorder="1"/>
    <xf numFmtId="10" fontId="3" fillId="3" borderId="88" xfId="2" applyNumberFormat="1" applyFont="1" applyFill="1" applyBorder="1" applyAlignment="1">
      <alignment horizontal="center"/>
    </xf>
    <xf numFmtId="166" fontId="3" fillId="3" borderId="41" xfId="0" applyNumberFormat="1" applyFont="1" applyFill="1" applyBorder="1" applyAlignment="1">
      <alignment horizontal="center"/>
    </xf>
    <xf numFmtId="10" fontId="3" fillId="3" borderId="32" xfId="2" applyNumberFormat="1" applyFont="1" applyFill="1" applyBorder="1" applyAlignment="1">
      <alignment horizontal="center"/>
    </xf>
    <xf numFmtId="166" fontId="3" fillId="3" borderId="32" xfId="0" applyNumberFormat="1" applyFont="1" applyFill="1" applyBorder="1" applyAlignment="1">
      <alignment horizontal="center"/>
    </xf>
    <xf numFmtId="166" fontId="3" fillId="3" borderId="71" xfId="0" applyNumberFormat="1" applyFont="1" applyFill="1" applyBorder="1" applyAlignment="1">
      <alignment horizontal="center"/>
    </xf>
    <xf numFmtId="166" fontId="2" fillId="3" borderId="33" xfId="0" applyNumberFormat="1" applyFont="1" applyFill="1" applyBorder="1"/>
    <xf numFmtId="10" fontId="2" fillId="3" borderId="90" xfId="2" applyNumberFormat="1" applyFont="1" applyFill="1" applyBorder="1" applyAlignment="1">
      <alignment horizontal="center"/>
    </xf>
    <xf numFmtId="166" fontId="2" fillId="3" borderId="42" xfId="0" applyNumberFormat="1" applyFont="1" applyFill="1" applyBorder="1" applyAlignment="1">
      <alignment horizontal="center"/>
    </xf>
    <xf numFmtId="10" fontId="2" fillId="3" borderId="33" xfId="2" applyNumberFormat="1" applyFont="1" applyFill="1" applyBorder="1" applyAlignment="1">
      <alignment horizontal="center"/>
    </xf>
    <xf numFmtId="166" fontId="2" fillId="3" borderId="33" xfId="0" applyNumberFormat="1" applyFont="1" applyFill="1" applyBorder="1" applyAlignment="1">
      <alignment horizontal="center"/>
    </xf>
    <xf numFmtId="166" fontId="2" fillId="3" borderId="72" xfId="0" applyNumberFormat="1" applyFont="1" applyFill="1" applyBorder="1" applyAlignment="1">
      <alignment horizontal="center"/>
    </xf>
    <xf numFmtId="166" fontId="3" fillId="3" borderId="33" xfId="0" applyNumberFormat="1" applyFont="1" applyFill="1" applyBorder="1"/>
    <xf numFmtId="10" fontId="3" fillId="3" borderId="90" xfId="2" applyNumberFormat="1" applyFont="1" applyFill="1" applyBorder="1" applyAlignment="1">
      <alignment horizontal="center"/>
    </xf>
    <xf numFmtId="166" fontId="3" fillId="3" borderId="42" xfId="0" applyNumberFormat="1" applyFont="1" applyFill="1" applyBorder="1" applyAlignment="1">
      <alignment horizontal="center"/>
    </xf>
    <xf numFmtId="10" fontId="3" fillId="3" borderId="33" xfId="2" applyNumberFormat="1" applyFont="1" applyFill="1" applyBorder="1" applyAlignment="1">
      <alignment horizontal="center"/>
    </xf>
    <xf numFmtId="166" fontId="3" fillId="3" borderId="33" xfId="0" applyNumberFormat="1" applyFont="1" applyFill="1" applyBorder="1" applyAlignment="1">
      <alignment horizontal="center"/>
    </xf>
    <xf numFmtId="166" fontId="3" fillId="3" borderId="72" xfId="0" applyNumberFormat="1" applyFont="1" applyFill="1" applyBorder="1" applyAlignment="1">
      <alignment horizontal="center"/>
    </xf>
    <xf numFmtId="166" fontId="3" fillId="3" borderId="36" xfId="0" applyNumberFormat="1" applyFont="1" applyFill="1" applyBorder="1"/>
    <xf numFmtId="10" fontId="3" fillId="3" borderId="91" xfId="2" applyNumberFormat="1" applyFont="1" applyFill="1" applyBorder="1" applyAlignment="1">
      <alignment horizontal="center"/>
    </xf>
    <xf numFmtId="166" fontId="3" fillId="3" borderId="56" xfId="0" applyNumberFormat="1" applyFont="1" applyFill="1" applyBorder="1" applyAlignment="1">
      <alignment horizontal="center"/>
    </xf>
    <xf numFmtId="10" fontId="3" fillId="3" borderId="36" xfId="2" applyNumberFormat="1" applyFont="1" applyFill="1" applyBorder="1" applyAlignment="1">
      <alignment horizontal="center"/>
    </xf>
    <xf numFmtId="166" fontId="3" fillId="3" borderId="36" xfId="0" applyNumberFormat="1" applyFont="1" applyFill="1" applyBorder="1" applyAlignment="1">
      <alignment horizontal="center"/>
    </xf>
    <xf numFmtId="166" fontId="3" fillId="3" borderId="86" xfId="0" applyNumberFormat="1" applyFont="1" applyFill="1" applyBorder="1" applyAlignment="1">
      <alignment horizontal="center"/>
    </xf>
    <xf numFmtId="0" fontId="3" fillId="3" borderId="4" xfId="0" applyFont="1" applyFill="1" applyBorder="1"/>
    <xf numFmtId="166" fontId="3" fillId="3" borderId="84" xfId="0" applyNumberFormat="1" applyFont="1" applyFill="1" applyBorder="1"/>
    <xf numFmtId="10" fontId="3" fillId="3" borderId="92" xfId="2" applyNumberFormat="1" applyFont="1" applyFill="1" applyBorder="1" applyAlignment="1">
      <alignment horizontal="center"/>
    </xf>
    <xf numFmtId="166" fontId="3" fillId="3" borderId="85" xfId="0" applyNumberFormat="1" applyFont="1" applyFill="1" applyBorder="1" applyAlignment="1">
      <alignment horizontal="center"/>
    </xf>
    <xf numFmtId="10" fontId="3" fillId="3" borderId="84" xfId="2" applyNumberFormat="1" applyFont="1" applyFill="1" applyBorder="1" applyAlignment="1">
      <alignment horizontal="center"/>
    </xf>
    <xf numFmtId="166" fontId="3" fillId="3" borderId="84" xfId="0" applyNumberFormat="1" applyFont="1" applyFill="1" applyBorder="1" applyAlignment="1">
      <alignment horizontal="center"/>
    </xf>
    <xf numFmtId="166" fontId="3" fillId="3" borderId="87" xfId="0" applyNumberFormat="1" applyFont="1" applyFill="1" applyBorder="1" applyAlignment="1">
      <alignment horizontal="center"/>
    </xf>
    <xf numFmtId="43" fontId="0" fillId="3" borderId="0" xfId="0" applyNumberFormat="1" applyFill="1"/>
    <xf numFmtId="0" fontId="14" fillId="3" borderId="94" xfId="0" applyFont="1" applyFill="1" applyBorder="1"/>
    <xf numFmtId="166" fontId="0" fillId="3" borderId="27" xfId="0" applyNumberFormat="1" applyFill="1" applyBorder="1"/>
    <xf numFmtId="10" fontId="0" fillId="3" borderId="27" xfId="2" applyNumberFormat="1" applyFont="1" applyFill="1" applyBorder="1" applyAlignment="1">
      <alignment horizontal="center"/>
    </xf>
    <xf numFmtId="166" fontId="0" fillId="3" borderId="0" xfId="0" applyNumberFormat="1" applyFill="1"/>
    <xf numFmtId="166" fontId="0" fillId="3" borderId="44" xfId="0" applyNumberFormat="1" applyFill="1" applyBorder="1"/>
    <xf numFmtId="0" fontId="14" fillId="3" borderId="97" xfId="0" applyFont="1" applyFill="1" applyBorder="1"/>
    <xf numFmtId="43" fontId="0" fillId="3" borderId="27" xfId="0" applyNumberFormat="1" applyFill="1" applyBorder="1"/>
    <xf numFmtId="43" fontId="0" fillId="3" borderId="44" xfId="0" applyNumberFormat="1" applyFill="1" applyBorder="1"/>
    <xf numFmtId="0" fontId="14" fillId="3" borderId="98" xfId="0" applyFont="1" applyFill="1" applyBorder="1"/>
    <xf numFmtId="43" fontId="0" fillId="3" borderId="95" xfId="0" applyNumberFormat="1" applyFill="1" applyBorder="1"/>
    <xf numFmtId="10" fontId="0" fillId="3" borderId="95" xfId="2" applyNumberFormat="1" applyFont="1" applyFill="1" applyBorder="1" applyAlignment="1">
      <alignment horizontal="center"/>
    </xf>
    <xf numFmtId="43" fontId="0" fillId="3" borderId="40" xfId="0" applyNumberFormat="1" applyFill="1" applyBorder="1"/>
    <xf numFmtId="43" fontId="0" fillId="3" borderId="45" xfId="0" applyNumberFormat="1" applyFill="1" applyBorder="1"/>
    <xf numFmtId="0" fontId="0" fillId="3" borderId="0" xfId="0" quotePrefix="1" applyFill="1"/>
    <xf numFmtId="0" fontId="5" fillId="16" borderId="16" xfId="0" applyFont="1" applyFill="1" applyBorder="1" applyAlignment="1">
      <alignment horizontal="center" wrapText="1"/>
    </xf>
    <xf numFmtId="0" fontId="5" fillId="16" borderId="0" xfId="0" applyFont="1" applyFill="1" applyAlignment="1">
      <alignment horizontal="center" wrapText="1"/>
    </xf>
    <xf numFmtId="0" fontId="1" fillId="13" borderId="17" xfId="0" applyFont="1" applyFill="1" applyBorder="1" applyAlignment="1">
      <alignment horizontal="center"/>
    </xf>
    <xf numFmtId="0" fontId="1" fillId="13" borderId="18" xfId="0" applyFont="1" applyFill="1" applyBorder="1" applyAlignment="1">
      <alignment horizontal="center"/>
    </xf>
    <xf numFmtId="0" fontId="1" fillId="13" borderId="19" xfId="0" applyFont="1" applyFill="1" applyBorder="1" applyAlignment="1">
      <alignment horizontal="center"/>
    </xf>
    <xf numFmtId="0" fontId="1" fillId="13" borderId="21" xfId="0" applyFont="1" applyFill="1" applyBorder="1" applyAlignment="1">
      <alignment horizontal="center"/>
    </xf>
    <xf numFmtId="0" fontId="15" fillId="13" borderId="103" xfId="0" applyFont="1" applyFill="1" applyBorder="1" applyAlignment="1">
      <alignment horizontal="center"/>
    </xf>
    <xf numFmtId="0" fontId="15" fillId="13" borderId="104" xfId="0" applyFont="1" applyFill="1" applyBorder="1" applyAlignment="1">
      <alignment horizontal="center"/>
    </xf>
    <xf numFmtId="0" fontId="15" fillId="13" borderId="105" xfId="0" applyFont="1" applyFill="1" applyBorder="1" applyAlignment="1">
      <alignment horizontal="center"/>
    </xf>
    <xf numFmtId="0" fontId="25" fillId="12" borderId="0" xfId="0" applyFont="1" applyFill="1" applyAlignment="1">
      <alignment horizontal="center"/>
    </xf>
    <xf numFmtId="0" fontId="0" fillId="17" borderId="0" xfId="0" applyFill="1"/>
    <xf numFmtId="0" fontId="0" fillId="3" borderId="0" xfId="0" applyFill="1" applyAlignment="1">
      <alignment horizontal="right"/>
    </xf>
    <xf numFmtId="0" fontId="2" fillId="3" borderId="66" xfId="0" applyFont="1" applyFill="1" applyBorder="1"/>
    <xf numFmtId="166" fontId="2" fillId="3" borderId="29" xfId="0" applyNumberFormat="1" applyFont="1" applyFill="1" applyBorder="1" applyAlignment="1">
      <alignment horizontal="right"/>
    </xf>
    <xf numFmtId="10" fontId="2" fillId="3" borderId="57" xfId="2" applyNumberFormat="1" applyFont="1" applyFill="1" applyBorder="1" applyAlignment="1">
      <alignment horizontal="center"/>
    </xf>
    <xf numFmtId="166" fontId="2" fillId="3" borderId="0" xfId="0" applyNumberFormat="1" applyFont="1" applyFill="1" applyAlignment="1">
      <alignment horizontal="right"/>
    </xf>
    <xf numFmtId="10" fontId="2" fillId="3" borderId="67" xfId="2" applyNumberFormat="1" applyFont="1" applyFill="1" applyBorder="1" applyAlignment="1">
      <alignment horizontal="center"/>
    </xf>
    <xf numFmtId="10" fontId="2" fillId="3" borderId="58" xfId="2" applyNumberFormat="1" applyFont="1" applyFill="1" applyBorder="1" applyAlignment="1">
      <alignment horizontal="center"/>
    </xf>
    <xf numFmtId="166" fontId="3" fillId="3" borderId="47" xfId="0" applyNumberFormat="1" applyFont="1" applyFill="1" applyBorder="1" applyAlignment="1">
      <alignment horizontal="right"/>
    </xf>
    <xf numFmtId="10" fontId="3" fillId="3" borderId="47" xfId="2" applyNumberFormat="1" applyFont="1" applyFill="1" applyBorder="1" applyAlignment="1">
      <alignment horizontal="center"/>
    </xf>
    <xf numFmtId="10" fontId="3" fillId="3" borderId="46" xfId="2" applyNumberFormat="1" applyFont="1" applyFill="1" applyBorder="1" applyAlignment="1">
      <alignment horizontal="center"/>
    </xf>
    <xf numFmtId="166" fontId="3" fillId="3" borderId="48" xfId="0" applyNumberFormat="1" applyFont="1" applyFill="1" applyBorder="1" applyAlignment="1">
      <alignment horizontal="right"/>
    </xf>
    <xf numFmtId="10" fontId="3" fillId="3" borderId="68" xfId="2" applyNumberFormat="1" applyFont="1" applyFill="1" applyBorder="1" applyAlignment="1">
      <alignment horizontal="center"/>
    </xf>
    <xf numFmtId="0" fontId="3" fillId="3" borderId="66" xfId="0" applyFont="1" applyFill="1" applyBorder="1"/>
    <xf numFmtId="166" fontId="3" fillId="3" borderId="29" xfId="0" applyNumberFormat="1" applyFont="1" applyFill="1" applyBorder="1" applyAlignment="1">
      <alignment horizontal="right"/>
    </xf>
    <xf numFmtId="10" fontId="3" fillId="3" borderId="58" xfId="2" applyNumberFormat="1" applyFont="1" applyFill="1" applyBorder="1" applyAlignment="1">
      <alignment horizontal="center"/>
    </xf>
    <xf numFmtId="166" fontId="3" fillId="3" borderId="0" xfId="0" applyNumberFormat="1" applyFont="1" applyFill="1" applyAlignment="1">
      <alignment horizontal="right"/>
    </xf>
    <xf numFmtId="10" fontId="3" fillId="3" borderId="67" xfId="2" applyNumberFormat="1" applyFont="1" applyFill="1" applyBorder="1" applyAlignment="1">
      <alignment horizontal="center"/>
    </xf>
    <xf numFmtId="166" fontId="3" fillId="3" borderId="49" xfId="0" applyNumberFormat="1" applyFont="1" applyFill="1" applyBorder="1" applyAlignment="1">
      <alignment horizontal="right"/>
    </xf>
    <xf numFmtId="10" fontId="3" fillId="3" borderId="49" xfId="2" applyNumberFormat="1" applyFont="1" applyFill="1" applyBorder="1" applyAlignment="1">
      <alignment horizontal="center"/>
    </xf>
    <xf numFmtId="10" fontId="3" fillId="3" borderId="59" xfId="2" applyNumberFormat="1" applyFont="1" applyFill="1" applyBorder="1" applyAlignment="1">
      <alignment horizontal="center"/>
    </xf>
    <xf numFmtId="166" fontId="3" fillId="3" borderId="39" xfId="0" applyNumberFormat="1" applyFont="1" applyFill="1" applyBorder="1" applyAlignment="1">
      <alignment horizontal="right"/>
    </xf>
    <xf numFmtId="10" fontId="3" fillId="3" borderId="69" xfId="2" applyNumberFormat="1" applyFont="1" applyFill="1" applyBorder="1" applyAlignment="1">
      <alignment horizontal="center"/>
    </xf>
    <xf numFmtId="166" fontId="3" fillId="3" borderId="51" xfId="0" applyNumberFormat="1" applyFont="1" applyFill="1" applyBorder="1" applyAlignment="1">
      <alignment horizontal="right"/>
    </xf>
    <xf numFmtId="10" fontId="3" fillId="3" borderId="51" xfId="2" applyNumberFormat="1" applyFont="1" applyFill="1" applyBorder="1" applyAlignment="1">
      <alignment horizontal="center"/>
    </xf>
    <xf numFmtId="10" fontId="3" fillId="3" borderId="60" xfId="2" applyNumberFormat="1" applyFont="1" applyFill="1" applyBorder="1" applyAlignment="1">
      <alignment horizontal="center"/>
    </xf>
    <xf numFmtId="166" fontId="3" fillId="3" borderId="52" xfId="0" applyNumberFormat="1" applyFont="1" applyFill="1" applyBorder="1" applyAlignment="1">
      <alignment horizontal="right"/>
    </xf>
    <xf numFmtId="10" fontId="3" fillId="3" borderId="70" xfId="2" applyNumberFormat="1" applyFont="1" applyFill="1" applyBorder="1" applyAlignment="1">
      <alignment horizontal="center"/>
    </xf>
    <xf numFmtId="166" fontId="3" fillId="3" borderId="32" xfId="0" applyNumberFormat="1" applyFont="1" applyFill="1" applyBorder="1" applyAlignment="1">
      <alignment horizontal="right"/>
    </xf>
    <xf numFmtId="10" fontId="3" fillId="3" borderId="57" xfId="2" applyNumberFormat="1" applyFont="1" applyFill="1" applyBorder="1" applyAlignment="1">
      <alignment horizontal="center"/>
    </xf>
    <xf numFmtId="166" fontId="3" fillId="3" borderId="41" xfId="0" applyNumberFormat="1" applyFont="1" applyFill="1" applyBorder="1" applyAlignment="1">
      <alignment horizontal="right"/>
    </xf>
    <xf numFmtId="10" fontId="3" fillId="3" borderId="71" xfId="2" applyNumberFormat="1" applyFont="1" applyFill="1" applyBorder="1" applyAlignment="1">
      <alignment horizontal="center"/>
    </xf>
    <xf numFmtId="166" fontId="2" fillId="3" borderId="33" xfId="0" applyNumberFormat="1" applyFont="1" applyFill="1" applyBorder="1" applyAlignment="1">
      <alignment horizontal="right"/>
    </xf>
    <xf numFmtId="10" fontId="2" fillId="3" borderId="61" xfId="2" applyNumberFormat="1" applyFont="1" applyFill="1" applyBorder="1" applyAlignment="1">
      <alignment horizontal="center"/>
    </xf>
    <xf numFmtId="166" fontId="2" fillId="3" borderId="42" xfId="0" applyNumberFormat="1" applyFont="1" applyFill="1" applyBorder="1" applyAlignment="1">
      <alignment horizontal="right"/>
    </xf>
    <xf numFmtId="10" fontId="2" fillId="3" borderId="72" xfId="2" applyNumberFormat="1" applyFont="1" applyFill="1" applyBorder="1" applyAlignment="1">
      <alignment horizontal="center"/>
    </xf>
    <xf numFmtId="166" fontId="2" fillId="3" borderId="31" xfId="0" applyNumberFormat="1" applyFont="1" applyFill="1" applyBorder="1" applyAlignment="1">
      <alignment horizontal="right"/>
    </xf>
    <xf numFmtId="10" fontId="2" fillId="3" borderId="31" xfId="2" applyNumberFormat="1" applyFont="1" applyFill="1" applyBorder="1" applyAlignment="1">
      <alignment horizontal="center"/>
    </xf>
    <xf numFmtId="10" fontId="2" fillId="3" borderId="62" xfId="2" applyNumberFormat="1" applyFont="1" applyFill="1" applyBorder="1" applyAlignment="1">
      <alignment horizontal="center"/>
    </xf>
    <xf numFmtId="166" fontId="2" fillId="3" borderId="43" xfId="0" applyNumberFormat="1" applyFont="1" applyFill="1" applyBorder="1" applyAlignment="1">
      <alignment horizontal="right"/>
    </xf>
    <xf numFmtId="10" fontId="2" fillId="3" borderId="73" xfId="2" applyNumberFormat="1" applyFont="1" applyFill="1" applyBorder="1" applyAlignment="1">
      <alignment horizontal="center"/>
    </xf>
    <xf numFmtId="2" fontId="2" fillId="3" borderId="29" xfId="0" applyNumberFormat="1" applyFont="1" applyFill="1" applyBorder="1" applyAlignment="1">
      <alignment horizontal="right"/>
    </xf>
    <xf numFmtId="2" fontId="2" fillId="3" borderId="0" xfId="0" applyNumberFormat="1" applyFont="1" applyFill="1" applyAlignment="1">
      <alignment horizontal="right"/>
    </xf>
    <xf numFmtId="0" fontId="2" fillId="3" borderId="74" xfId="0" applyFont="1" applyFill="1" applyBorder="1"/>
    <xf numFmtId="2" fontId="2" fillId="3" borderId="75" xfId="0" applyNumberFormat="1" applyFont="1" applyFill="1" applyBorder="1" applyAlignment="1">
      <alignment horizontal="right"/>
    </xf>
    <xf numFmtId="10" fontId="2" fillId="3" borderId="75" xfId="2" applyNumberFormat="1" applyFont="1" applyFill="1" applyBorder="1" applyAlignment="1">
      <alignment horizontal="center"/>
    </xf>
    <xf numFmtId="10" fontId="2" fillId="3" borderId="76" xfId="2" applyNumberFormat="1" applyFont="1" applyFill="1" applyBorder="1" applyAlignment="1">
      <alignment horizontal="center"/>
    </xf>
    <xf numFmtId="2" fontId="2" fillId="3" borderId="40" xfId="0" applyNumberFormat="1" applyFont="1" applyFill="1" applyBorder="1" applyAlignment="1">
      <alignment horizontal="right"/>
    </xf>
    <xf numFmtId="10" fontId="2" fillId="3" borderId="77" xfId="2" applyNumberFormat="1" applyFont="1" applyFill="1" applyBorder="1" applyAlignment="1">
      <alignment horizontal="center"/>
    </xf>
    <xf numFmtId="0" fontId="17" fillId="3" borderId="106" xfId="0" applyFont="1" applyFill="1" applyBorder="1" applyAlignment="1">
      <alignment horizontal="left" vertical="center" wrapText="1"/>
    </xf>
    <xf numFmtId="0" fontId="17" fillId="3" borderId="80" xfId="0" applyFont="1" applyFill="1" applyBorder="1" applyAlignment="1">
      <alignment horizontal="left" vertical="center" wrapText="1"/>
    </xf>
    <xf numFmtId="170" fontId="18" fillId="3" borderId="80" xfId="0" applyNumberFormat="1" applyFont="1" applyFill="1" applyBorder="1" applyAlignment="1">
      <alignment horizontal="right" vertical="center" wrapText="1"/>
    </xf>
    <xf numFmtId="170" fontId="21" fillId="3" borderId="80" xfId="0" applyNumberFormat="1" applyFont="1" applyFill="1" applyBorder="1" applyAlignment="1">
      <alignment horizontal="right" vertical="center" wrapText="1"/>
    </xf>
    <xf numFmtId="170" fontId="21" fillId="3" borderId="101" xfId="0" applyNumberFormat="1" applyFont="1" applyFill="1" applyBorder="1" applyAlignment="1">
      <alignment horizontal="right" vertical="center" wrapText="1"/>
    </xf>
    <xf numFmtId="170" fontId="21" fillId="3" borderId="107" xfId="0" applyNumberFormat="1" applyFont="1" applyFill="1" applyBorder="1" applyAlignment="1">
      <alignment horizontal="right" vertical="center" wrapText="1"/>
    </xf>
    <xf numFmtId="170" fontId="21" fillId="3" borderId="0" xfId="0" applyNumberFormat="1" applyFont="1" applyFill="1" applyAlignment="1">
      <alignment horizontal="right" vertical="center" wrapText="1"/>
    </xf>
    <xf numFmtId="0" fontId="19" fillId="3" borderId="106" xfId="0" applyFont="1" applyFill="1" applyBorder="1" applyAlignment="1">
      <alignment horizontal="left" vertical="center" wrapText="1"/>
    </xf>
    <xf numFmtId="0" fontId="19" fillId="3" borderId="80" xfId="0" applyFont="1" applyFill="1" applyBorder="1" applyAlignment="1">
      <alignment horizontal="left" vertical="center" wrapText="1"/>
    </xf>
    <xf numFmtId="171" fontId="20" fillId="3" borderId="80" xfId="3" applyFont="1" applyFill="1" applyBorder="1" applyAlignment="1">
      <alignment horizontal="right" vertical="center" wrapText="1"/>
    </xf>
    <xf numFmtId="171" fontId="22" fillId="3" borderId="80" xfId="3" applyFont="1" applyFill="1" applyBorder="1" applyAlignment="1">
      <alignment horizontal="right" vertical="center" wrapText="1"/>
    </xf>
    <xf numFmtId="171" fontId="22" fillId="3" borderId="101" xfId="3" applyFont="1" applyFill="1" applyBorder="1" applyAlignment="1">
      <alignment horizontal="right" vertical="center" wrapText="1"/>
    </xf>
    <xf numFmtId="171" fontId="22" fillId="3" borderId="107" xfId="3" applyFont="1" applyFill="1" applyBorder="1" applyAlignment="1">
      <alignment horizontal="right" vertical="center" wrapText="1"/>
    </xf>
    <xf numFmtId="171" fontId="22" fillId="3" borderId="0" xfId="3" applyFont="1" applyFill="1" applyBorder="1" applyAlignment="1">
      <alignment horizontal="right" vertical="center" wrapText="1"/>
    </xf>
    <xf numFmtId="0" fontId="19" fillId="3" borderId="108" xfId="0" applyFont="1" applyFill="1" applyBorder="1" applyAlignment="1">
      <alignment horizontal="left" vertical="center" wrapText="1"/>
    </xf>
    <xf numFmtId="0" fontId="19" fillId="3" borderId="81" xfId="0" applyFont="1" applyFill="1" applyBorder="1" applyAlignment="1">
      <alignment horizontal="left" vertical="center" wrapText="1"/>
    </xf>
    <xf numFmtId="171" fontId="20" fillId="3" borderId="81" xfId="3" applyFont="1" applyFill="1" applyBorder="1" applyAlignment="1">
      <alignment horizontal="right" vertical="center" wrapText="1"/>
    </xf>
    <xf numFmtId="171" fontId="22" fillId="3" borderId="81" xfId="3" applyFont="1" applyFill="1" applyBorder="1" applyAlignment="1">
      <alignment horizontal="right" vertical="center" wrapText="1"/>
    </xf>
    <xf numFmtId="171" fontId="22" fillId="3" borderId="102" xfId="3" applyFont="1" applyFill="1" applyBorder="1" applyAlignment="1">
      <alignment horizontal="right" vertical="center" wrapText="1"/>
    </xf>
    <xf numFmtId="171" fontId="22" fillId="3" borderId="109" xfId="3" applyFont="1" applyFill="1" applyBorder="1" applyAlignment="1">
      <alignment horizontal="right" vertical="center" wrapText="1"/>
    </xf>
    <xf numFmtId="0" fontId="19" fillId="3" borderId="110" xfId="0" applyFont="1" applyFill="1" applyBorder="1" applyAlignment="1">
      <alignment horizontal="left" vertical="center" wrapText="1"/>
    </xf>
    <xf numFmtId="0" fontId="19" fillId="3" borderId="82" xfId="0" applyFont="1" applyFill="1" applyBorder="1" applyAlignment="1">
      <alignment horizontal="left" vertical="center" wrapText="1"/>
    </xf>
    <xf numFmtId="171" fontId="20" fillId="3" borderId="82" xfId="3" applyFont="1" applyFill="1" applyBorder="1" applyAlignment="1">
      <alignment horizontal="right" vertical="center" wrapText="1"/>
    </xf>
    <xf numFmtId="171" fontId="22" fillId="3" borderId="82" xfId="3" applyFont="1" applyFill="1" applyBorder="1" applyAlignment="1">
      <alignment horizontal="right" vertical="center" wrapText="1"/>
    </xf>
    <xf numFmtId="171" fontId="22" fillId="3" borderId="28" xfId="3" applyFont="1" applyFill="1" applyBorder="1" applyAlignment="1">
      <alignment horizontal="right" vertical="center" wrapText="1"/>
    </xf>
    <xf numFmtId="171" fontId="22" fillId="3" borderId="111" xfId="3" applyFont="1" applyFill="1" applyBorder="1" applyAlignment="1">
      <alignment horizontal="right" vertical="center" wrapText="1"/>
    </xf>
    <xf numFmtId="0" fontId="0" fillId="3" borderId="0" xfId="0" applyFill="1" applyAlignment="1">
      <alignment horizontal="left"/>
    </xf>
    <xf numFmtId="170" fontId="21" fillId="3" borderId="80" xfId="3" applyNumberFormat="1" applyFont="1" applyFill="1" applyBorder="1" applyAlignment="1">
      <alignment horizontal="right" vertical="center" wrapText="1"/>
    </xf>
    <xf numFmtId="170" fontId="21" fillId="3" borderId="101" xfId="3" applyNumberFormat="1" applyFont="1" applyFill="1" applyBorder="1" applyAlignment="1">
      <alignment horizontal="right" vertical="center" wrapText="1"/>
    </xf>
    <xf numFmtId="170" fontId="21" fillId="3" borderId="107" xfId="3" applyNumberFormat="1" applyFont="1" applyFill="1" applyBorder="1" applyAlignment="1">
      <alignment horizontal="right" vertical="center" wrapText="1"/>
    </xf>
    <xf numFmtId="170" fontId="21" fillId="3" borderId="0" xfId="3" applyNumberFormat="1" applyFont="1" applyFill="1" applyBorder="1" applyAlignment="1">
      <alignment horizontal="right" vertical="center" wrapText="1"/>
    </xf>
    <xf numFmtId="0" fontId="19" fillId="3" borderId="112" xfId="0" applyFont="1" applyFill="1" applyBorder="1" applyAlignment="1">
      <alignment horizontal="left" vertical="center" wrapText="1"/>
    </xf>
    <xf numFmtId="0" fontId="19" fillId="3" borderId="83" xfId="0" applyFont="1" applyFill="1" applyBorder="1" applyAlignment="1">
      <alignment horizontal="left" vertical="center" wrapText="1"/>
    </xf>
    <xf numFmtId="171" fontId="22" fillId="3" borderId="83" xfId="3" applyFont="1" applyFill="1" applyBorder="1" applyAlignment="1">
      <alignment horizontal="right" vertical="center" wrapText="1"/>
    </xf>
    <xf numFmtId="171" fontId="22" fillId="3" borderId="35" xfId="3" applyFont="1" applyFill="1" applyBorder="1" applyAlignment="1">
      <alignment horizontal="right" vertical="center" wrapText="1"/>
    </xf>
    <xf numFmtId="171" fontId="22" fillId="3" borderId="113" xfId="3" applyFont="1" applyFill="1" applyBorder="1" applyAlignment="1">
      <alignment horizontal="right" vertical="center" wrapText="1"/>
    </xf>
    <xf numFmtId="43" fontId="22" fillId="3" borderId="83" xfId="3" applyNumberFormat="1" applyFont="1" applyFill="1" applyBorder="1" applyAlignment="1">
      <alignment horizontal="right" vertical="center" wrapText="1"/>
    </xf>
    <xf numFmtId="0" fontId="17" fillId="3" borderId="114" xfId="0" applyFont="1" applyFill="1" applyBorder="1" applyAlignment="1">
      <alignment horizontal="left" vertical="center" wrapText="1"/>
    </xf>
    <xf numFmtId="0" fontId="17" fillId="3" borderId="115" xfId="0" applyFont="1" applyFill="1" applyBorder="1" applyAlignment="1">
      <alignment horizontal="left" vertical="center" wrapText="1"/>
    </xf>
    <xf numFmtId="170" fontId="21" fillId="3" borderId="115" xfId="3" applyNumberFormat="1" applyFont="1" applyFill="1" applyBorder="1" applyAlignment="1">
      <alignment horizontal="right" vertical="center" wrapText="1"/>
    </xf>
    <xf numFmtId="170" fontId="21" fillId="3" borderId="116" xfId="3" applyNumberFormat="1" applyFont="1" applyFill="1" applyBorder="1" applyAlignment="1">
      <alignment horizontal="right" vertical="center" wrapText="1"/>
    </xf>
    <xf numFmtId="170" fontId="21" fillId="3" borderId="117" xfId="3" applyNumberFormat="1" applyFont="1" applyFill="1" applyBorder="1" applyAlignment="1">
      <alignment horizontal="right" vertical="center" wrapText="1"/>
    </xf>
    <xf numFmtId="0" fontId="15" fillId="3" borderId="0" xfId="0" applyFont="1" applyFill="1"/>
    <xf numFmtId="0" fontId="16" fillId="3" borderId="0" xfId="0" applyFont="1" applyFill="1" applyAlignment="1">
      <alignment horizontal="center" vertical="center" wrapText="1"/>
    </xf>
    <xf numFmtId="0" fontId="17" fillId="3" borderId="0" xfId="0" applyFont="1" applyFill="1" applyAlignment="1">
      <alignment horizontal="left" vertical="center" wrapText="1"/>
    </xf>
    <xf numFmtId="171" fontId="18" fillId="3" borderId="0" xfId="3" applyFont="1" applyFill="1" applyBorder="1" applyAlignment="1">
      <alignment horizontal="right" vertical="center" wrapText="1"/>
    </xf>
    <xf numFmtId="0" fontId="19" fillId="3" borderId="0" xfId="0" applyFont="1" applyFill="1" applyAlignment="1">
      <alignment horizontal="left" vertical="center" wrapText="1"/>
    </xf>
    <xf numFmtId="171" fontId="19" fillId="3" borderId="0" xfId="3" applyFont="1" applyFill="1" applyBorder="1" applyAlignment="1">
      <alignment horizontal="right" vertical="center" wrapText="1"/>
    </xf>
    <xf numFmtId="171" fontId="20" fillId="3" borderId="0" xfId="3" applyFont="1" applyFill="1" applyBorder="1" applyAlignment="1">
      <alignment horizontal="right" vertical="center" wrapText="1"/>
    </xf>
    <xf numFmtId="10" fontId="2" fillId="3" borderId="0" xfId="2" applyNumberFormat="1" applyFont="1" applyFill="1" applyBorder="1" applyAlignment="1">
      <alignment horizontal="center"/>
    </xf>
    <xf numFmtId="0" fontId="34" fillId="0" borderId="0" xfId="0" applyFont="1" applyAlignment="1">
      <alignment horizontal="center"/>
    </xf>
    <xf numFmtId="2" fontId="0" fillId="17" borderId="0" xfId="0" applyNumberFormat="1" applyFill="1" applyAlignment="1">
      <alignment horizontal="center"/>
    </xf>
    <xf numFmtId="0" fontId="35" fillId="3" borderId="0" xfId="0" applyFont="1" applyFill="1" applyAlignment="1">
      <alignment vertical="center"/>
    </xf>
    <xf numFmtId="0" fontId="35" fillId="3" borderId="0" xfId="0" applyFont="1" applyFill="1" applyAlignment="1">
      <alignment horizontal="center"/>
    </xf>
    <xf numFmtId="0" fontId="1" fillId="13" borderId="63" xfId="0" applyFont="1" applyFill="1" applyBorder="1" applyAlignment="1">
      <alignment horizontal="left"/>
    </xf>
    <xf numFmtId="0" fontId="1" fillId="13" borderId="79" xfId="0" applyFont="1" applyFill="1" applyBorder="1" applyAlignment="1">
      <alignment horizontal="center"/>
    </xf>
    <xf numFmtId="0" fontId="9" fillId="13" borderId="37" xfId="0" applyFont="1" applyFill="1" applyBorder="1" applyAlignment="1">
      <alignment horizontal="center"/>
    </xf>
    <xf numFmtId="0" fontId="9" fillId="13" borderId="8" xfId="0" applyFont="1" applyFill="1" applyBorder="1" applyAlignment="1">
      <alignment horizontal="center"/>
    </xf>
    <xf numFmtId="0" fontId="1" fillId="13" borderId="16" xfId="0" applyFont="1" applyFill="1" applyBorder="1" applyAlignment="1">
      <alignment horizontal="left"/>
    </xf>
    <xf numFmtId="0" fontId="1" fillId="13" borderId="16" xfId="0" applyFont="1" applyFill="1" applyBorder="1" applyAlignment="1">
      <alignment horizontal="center"/>
    </xf>
    <xf numFmtId="0" fontId="9" fillId="13" borderId="0" xfId="0" applyFont="1" applyFill="1" applyAlignment="1">
      <alignment horizontal="center"/>
    </xf>
    <xf numFmtId="0" fontId="9" fillId="13" borderId="44" xfId="0" applyFont="1" applyFill="1" applyBorder="1" applyAlignment="1">
      <alignment horizontal="center"/>
    </xf>
    <xf numFmtId="0" fontId="25" fillId="17" borderId="0" xfId="0" applyFont="1" applyFill="1" applyAlignment="1">
      <alignment horizontal="center"/>
    </xf>
    <xf numFmtId="0" fontId="33" fillId="17" borderId="124" xfId="0" applyFont="1" applyFill="1" applyBorder="1" applyAlignment="1">
      <alignment horizontal="center" vertical="center" wrapText="1"/>
    </xf>
    <xf numFmtId="0" fontId="33" fillId="17" borderId="125" xfId="0" applyFont="1" applyFill="1" applyBorder="1" applyAlignment="1">
      <alignment horizontal="center" vertical="center" wrapText="1"/>
    </xf>
    <xf numFmtId="0" fontId="33" fillId="17" borderId="126" xfId="0" applyFont="1" applyFill="1" applyBorder="1" applyAlignment="1">
      <alignment horizontal="center" vertical="center" wrapText="1"/>
    </xf>
    <xf numFmtId="0" fontId="33" fillId="17" borderId="127" xfId="0" applyFont="1" applyFill="1" applyBorder="1" applyAlignment="1">
      <alignment horizontal="center" vertical="center" wrapText="1"/>
    </xf>
    <xf numFmtId="0" fontId="33" fillId="17" borderId="0" xfId="0" applyFont="1" applyFill="1" applyAlignment="1">
      <alignment horizontal="center" vertical="center" wrapText="1"/>
    </xf>
    <xf numFmtId="0" fontId="33" fillId="17" borderId="128" xfId="0" applyFont="1" applyFill="1" applyBorder="1" applyAlignment="1">
      <alignment horizontal="center" vertical="center" wrapText="1"/>
    </xf>
    <xf numFmtId="0" fontId="33" fillId="17" borderId="129" xfId="0" applyFont="1" applyFill="1" applyBorder="1" applyAlignment="1">
      <alignment horizontal="center" vertical="center" wrapText="1"/>
    </xf>
    <xf numFmtId="0" fontId="33" fillId="17" borderId="130" xfId="0" applyFont="1" applyFill="1" applyBorder="1" applyAlignment="1">
      <alignment horizontal="center" vertical="center" wrapText="1"/>
    </xf>
    <xf numFmtId="0" fontId="33" fillId="17" borderId="131" xfId="0" applyFont="1" applyFill="1" applyBorder="1" applyAlignment="1">
      <alignment horizontal="center" vertical="center" wrapText="1"/>
    </xf>
    <xf numFmtId="0" fontId="0" fillId="17" borderId="0" xfId="0" applyFill="1" applyAlignment="1">
      <alignment horizontal="center"/>
    </xf>
    <xf numFmtId="0" fontId="35" fillId="13" borderId="0" xfId="0" applyFont="1" applyFill="1" applyAlignment="1">
      <alignment horizontal="center" vertical="center"/>
    </xf>
    <xf numFmtId="0" fontId="0" fillId="0" borderId="0" xfId="0" applyAlignment="1">
      <alignment horizontal="center"/>
    </xf>
    <xf numFmtId="0" fontId="32" fillId="13" borderId="0" xfId="0" applyFont="1" applyFill="1" applyAlignment="1">
      <alignment horizontal="center" vertical="center"/>
    </xf>
    <xf numFmtId="0" fontId="26" fillId="3" borderId="0" xfId="0" applyFont="1" applyFill="1"/>
    <xf numFmtId="0" fontId="27" fillId="3" borderId="0" xfId="0" applyFont="1" applyFill="1" applyAlignment="1">
      <alignment wrapText="1"/>
    </xf>
    <xf numFmtId="0" fontId="24" fillId="3" borderId="0" xfId="0" applyFont="1" applyFill="1"/>
    <xf numFmtId="0" fontId="5" fillId="15" borderId="0" xfId="0" applyFont="1" applyFill="1" applyAlignment="1">
      <alignment vertical="center"/>
    </xf>
    <xf numFmtId="0" fontId="27" fillId="0" borderId="0" xfId="0" applyFont="1" applyAlignment="1">
      <alignment wrapText="1"/>
    </xf>
    <xf numFmtId="0" fontId="27" fillId="0" borderId="0" xfId="0" applyFont="1"/>
    <xf numFmtId="0" fontId="29" fillId="9" borderId="0" xfId="0" applyFont="1" applyFill="1" applyAlignment="1">
      <alignment horizontal="left" vertical="center"/>
    </xf>
    <xf numFmtId="0" fontId="24" fillId="0" borderId="0" xfId="0" applyFont="1"/>
    <xf numFmtId="0" fontId="27" fillId="3" borderId="0" xfId="0" applyFont="1" applyFill="1"/>
    <xf numFmtId="0" fontId="31" fillId="14" borderId="0" xfId="0" applyFont="1" applyFill="1" applyAlignment="1">
      <alignment vertical="center"/>
    </xf>
    <xf numFmtId="0" fontId="29" fillId="10" borderId="0" xfId="0" applyFont="1" applyFill="1" applyAlignment="1">
      <alignment wrapText="1"/>
    </xf>
    <xf numFmtId="0" fontId="29" fillId="10" borderId="0" xfId="0" applyFont="1" applyFill="1" applyAlignment="1">
      <alignment vertical="center"/>
    </xf>
    <xf numFmtId="0" fontId="28" fillId="8" borderId="0" xfId="0" applyFont="1" applyFill="1"/>
    <xf numFmtId="0" fontId="29" fillId="9" borderId="0" xfId="0" applyFont="1" applyFill="1" applyAlignment="1">
      <alignment vertical="center"/>
    </xf>
    <xf numFmtId="0" fontId="25" fillId="11" borderId="0" xfId="0" applyFont="1" applyFill="1" applyAlignment="1">
      <alignment vertical="center"/>
    </xf>
    <xf numFmtId="0" fontId="30" fillId="0" borderId="0" xfId="0" applyFont="1" applyAlignment="1">
      <alignment horizontal="center"/>
    </xf>
    <xf numFmtId="0" fontId="9" fillId="0" borderId="0" xfId="0" applyFont="1" applyAlignment="1">
      <alignment horizontal="center" vertical="center"/>
    </xf>
    <xf numFmtId="0" fontId="1" fillId="13" borderId="11" xfId="0" applyFont="1" applyFill="1" applyBorder="1"/>
    <xf numFmtId="0" fontId="11" fillId="13" borderId="37" xfId="0" applyFont="1" applyFill="1" applyBorder="1" applyAlignment="1">
      <alignment horizontal="center"/>
    </xf>
    <xf numFmtId="0" fontId="6" fillId="13" borderId="119" xfId="0" applyFont="1" applyFill="1" applyBorder="1" applyAlignment="1">
      <alignment horizontal="right"/>
    </xf>
    <xf numFmtId="0" fontId="6" fillId="13" borderId="119" xfId="0" applyFont="1" applyFill="1" applyBorder="1" applyAlignment="1">
      <alignment horizontal="center"/>
    </xf>
    <xf numFmtId="0" fontId="1" fillId="13" borderId="120" xfId="0" applyFont="1" applyFill="1" applyBorder="1"/>
    <xf numFmtId="0" fontId="1" fillId="13" borderId="96" xfId="0" applyFont="1" applyFill="1" applyBorder="1"/>
    <xf numFmtId="0" fontId="1" fillId="13" borderId="93" xfId="0" applyFont="1" applyFill="1" applyBorder="1"/>
    <xf numFmtId="0" fontId="1" fillId="13" borderId="49" xfId="0" applyFont="1" applyFill="1" applyBorder="1"/>
    <xf numFmtId="0" fontId="1" fillId="13" borderId="39" xfId="0" applyFont="1" applyFill="1" applyBorder="1"/>
    <xf numFmtId="0" fontId="1" fillId="13" borderId="50" xfId="0" applyFont="1" applyFill="1" applyBorder="1"/>
    <xf numFmtId="0" fontId="35" fillId="0" borderId="0" xfId="0" applyFont="1" applyFill="1" applyAlignment="1">
      <alignment vertical="center"/>
    </xf>
    <xf numFmtId="0" fontId="33" fillId="13" borderId="0" xfId="0" applyFont="1" applyFill="1" applyAlignment="1">
      <alignment horizontal="center" vertical="center"/>
    </xf>
    <xf numFmtId="0" fontId="24" fillId="3" borderId="66" xfId="0" applyFont="1" applyFill="1" applyBorder="1"/>
    <xf numFmtId="0" fontId="36" fillId="3" borderId="16" xfId="0" applyFont="1" applyFill="1" applyBorder="1"/>
    <xf numFmtId="0" fontId="25" fillId="18" borderId="0" xfId="0" applyFont="1" applyFill="1" applyAlignment="1">
      <alignment horizontal="left"/>
    </xf>
    <xf numFmtId="0" fontId="37" fillId="19" borderId="0" xfId="0" applyFont="1" applyFill="1" applyAlignment="1">
      <alignment horizontal="center" vertical="center" wrapText="1"/>
    </xf>
    <xf numFmtId="0" fontId="38" fillId="12" borderId="0" xfId="0" applyFont="1" applyFill="1" applyAlignment="1">
      <alignment horizontal="center" vertical="center"/>
    </xf>
    <xf numFmtId="0" fontId="25" fillId="12" borderId="0" xfId="0" applyFont="1" applyFill="1" applyAlignment="1">
      <alignment horizontal="center" vertical="center"/>
    </xf>
  </cellXfs>
  <cellStyles count="4">
    <cellStyle name="Currency" xfId="1" builtinId="4"/>
    <cellStyle name="Currency 2" xfId="3" xr:uid="{6CF2A027-48BB-BC40-A107-BD932F64A631}"/>
    <cellStyle name="Normal" xfId="0" builtinId="0"/>
    <cellStyle name="Per cent" xfId="2" builtinId="5"/>
  </cellStyles>
  <dxfs count="0"/>
  <tableStyles count="0" defaultTableStyle="TableStyleMedium2" defaultPivotStyle="PivotStyleLight16"/>
  <colors>
    <mruColors>
      <color rgb="FF082B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133350</xdr:rowOff>
    </xdr:from>
    <xdr:to>
      <xdr:col>7</xdr:col>
      <xdr:colOff>495300</xdr:colOff>
      <xdr:row>16</xdr:row>
      <xdr:rowOff>133350</xdr:rowOff>
    </xdr:to>
    <xdr:pic>
      <xdr:nvPicPr>
        <xdr:cNvPr id="2" name="Image 1">
          <a:extLst>
            <a:ext uri="{FF2B5EF4-FFF2-40B4-BE49-F238E27FC236}">
              <a16:creationId xmlns:a16="http://schemas.microsoft.com/office/drawing/2014/main" id="{69257A02-7C34-93A5-202A-E58C1A6C6A32}"/>
            </a:ext>
          </a:extLst>
        </xdr:cNvPr>
        <xdr:cNvPicPr>
          <a:picLocks noChangeAspect="1"/>
        </xdr:cNvPicPr>
      </xdr:nvPicPr>
      <xdr:blipFill>
        <a:blip xmlns:r="http://schemas.openxmlformats.org/officeDocument/2006/relationships" r:embed="rId1"/>
        <a:stretch>
          <a:fillRect/>
        </a:stretch>
      </xdr:blipFill>
      <xdr:spPr>
        <a:xfrm>
          <a:off x="190500" y="133350"/>
          <a:ext cx="4572000" cy="304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30</xdr:col>
      <xdr:colOff>923735</xdr:colOff>
      <xdr:row>15</xdr:row>
      <xdr:rowOff>47341</xdr:rowOff>
    </xdr:from>
    <xdr:to>
      <xdr:col>38</xdr:col>
      <xdr:colOff>0</xdr:colOff>
      <xdr:row>19</xdr:row>
      <xdr:rowOff>177800</xdr:rowOff>
    </xdr:to>
    <xdr:sp macro="" textlink="">
      <xdr:nvSpPr>
        <xdr:cNvPr id="14" name="TextBox 2">
          <a:extLst>
            <a:ext uri="{FF2B5EF4-FFF2-40B4-BE49-F238E27FC236}">
              <a16:creationId xmlns:a16="http://schemas.microsoft.com/office/drawing/2014/main" id="{A20B742E-31DD-362D-8B9C-14B05492AE5C}"/>
            </a:ext>
            <a:ext uri="{147F2762-F138-4A5C-976F-8EAC2B608ADB}">
              <a16:predDERef xmlns:a16="http://schemas.microsoft.com/office/drawing/2014/main" pred="{0E620E5A-81B8-594B-A96D-8797360E7197}"/>
            </a:ext>
          </a:extLst>
        </xdr:cNvPr>
        <xdr:cNvSpPr txBox="1"/>
      </xdr:nvSpPr>
      <xdr:spPr>
        <a:xfrm>
          <a:off x="36915535" y="3400141"/>
          <a:ext cx="9210865" cy="9432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t>As Schneider Electric does not report an EBITDA figure in its financial statements, we reconstructed it from the reported EBITA. Schneider's preferred metric is EBITA (Earnings Before Interest, Taxes, and Amortization of acquisition-related intangibles), which excludes amortization charges arising from M&amp;A activity but retains the depreciation of property, plant and equipment. To align with the standard EBITDA definition used in this course, we added back the depreciation of PP&amp;E, sourced directly from the Cash Flow Statement (indirect method), to the reported EBITA. This gives: </a:t>
          </a:r>
          <a:r>
            <a:rPr lang="en-US" b="1"/>
            <a:t>EBITDA (restated) = EBITA + Depreciation of PP&amp;E</a:t>
          </a:r>
          <a:r>
            <a:rPr lang="en-US"/>
            <a:t>.</a:t>
          </a:r>
        </a:p>
        <a:p>
          <a:endParaRPr lang="en-US" sz="1100"/>
        </a:p>
      </xdr:txBody>
    </xdr:sp>
    <xdr:clientData/>
  </xdr:twoCellAnchor>
  <xdr:twoCellAnchor>
    <xdr:from>
      <xdr:col>11</xdr:col>
      <xdr:colOff>676275</xdr:colOff>
      <xdr:row>31</xdr:row>
      <xdr:rowOff>38100</xdr:rowOff>
    </xdr:from>
    <xdr:to>
      <xdr:col>39</xdr:col>
      <xdr:colOff>638175</xdr:colOff>
      <xdr:row>36</xdr:row>
      <xdr:rowOff>1162050</xdr:rowOff>
    </xdr:to>
    <xdr:sp macro="" textlink="">
      <xdr:nvSpPr>
        <xdr:cNvPr id="11" name="ZoneTexte 3">
          <a:extLst>
            <a:ext uri="{FF2B5EF4-FFF2-40B4-BE49-F238E27FC236}">
              <a16:creationId xmlns:a16="http://schemas.microsoft.com/office/drawing/2014/main" id="{B353E3CB-3ED8-AB8C-A746-177D41AB3E68}"/>
            </a:ext>
            <a:ext uri="{147F2762-F138-4A5C-976F-8EAC2B608ADB}">
              <a16:predDERef xmlns:a16="http://schemas.microsoft.com/office/drawing/2014/main" pred="{A20B742E-31DD-362D-8B9C-14B05492AE5C}"/>
            </a:ext>
          </a:extLst>
        </xdr:cNvPr>
        <xdr:cNvSpPr txBox="1"/>
      </xdr:nvSpPr>
      <xdr:spPr>
        <a:xfrm>
          <a:off x="14039850" y="8239125"/>
          <a:ext cx="25717500" cy="37814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400">
              <a:latin typeface="+mn-lt"/>
              <a:ea typeface="+mn-lt"/>
              <a:cs typeface="+mn-lt"/>
            </a:rPr>
            <a:t>The Group's revenue grew steadily from €28,905 million in 2021 to €40,152 million in 2025, representing a cumulative increase of 39% and a CAGR of approximately 8.6%. Growth was particularly strong in 2022 at +18.2%, before stabilizing around 5% per year in subsequent years.</a:t>
          </a:r>
        </a:p>
        <a:p>
          <a:pPr marL="0" indent="0" algn="l"/>
          <a:r>
            <a:rPr lang="en-US" sz="1400">
              <a:latin typeface="+mn-lt"/>
              <a:ea typeface="+mn-lt"/>
              <a:cs typeface="+mn-lt"/>
            </a:rPr>
            <a:t>The gross margin improved over the period, rising from 40.97% in 2021 to 42.08% in 2025, reflecting a better product mix, improved cost control in production, or stronger pricing power. This expansion was supported by good discipline on selling, general and administrative expenses, which declined as a percentage of revenue.</a:t>
          </a:r>
        </a:p>
        <a:p>
          <a:pPr marL="0" indent="0" algn="l"/>
          <a:r>
            <a:rPr lang="en-US" sz="1400">
              <a:latin typeface="+mn-lt"/>
              <a:ea typeface="+mn-lt"/>
              <a:cs typeface="+mn-lt"/>
            </a:rPr>
            <a:t>As a result, the adjusted EBITDA margin widened by 148 basis points to reach 18.73% in 2025, while the EBIT margin increased from 14.98% to 16.68%, demonstrating effective operating leverage. Net income attributable to the Group rose by 30% over the period to €4,163 million in 2025, with basic earnings per share increasing from €5.76 to €7.41.</a:t>
          </a:r>
        </a:p>
        <a:p>
          <a:pPr marL="0" indent="0" algn="l"/>
          <a:r>
            <a:rPr lang="en-US" sz="1400">
              <a:latin typeface="+mn-lt"/>
              <a:ea typeface="+mn-lt"/>
              <a:cs typeface="+mn-lt"/>
            </a:rPr>
            <a:t>However, 2025 showed a slight compression in gross, EBITDA, and net margins compared to 2024. Revenue growth also slowed after the acceleration seen in 2022, which represents a point to monitor in the coming years. Overall, the Group delivered a solid operational performance with structural improvement in profitability, even though the recent moderation in both growth and certain margins warrants close attention going forward.</a:t>
          </a:r>
        </a:p>
        <a:p>
          <a:pPr marL="0" indent="0" algn="l"/>
          <a:endParaRPr lang="en-US" sz="1400">
            <a:latin typeface="+mn-lt"/>
            <a:ea typeface="+mn-lt"/>
            <a:cs typeface="+mn-lt"/>
          </a:endParaRPr>
        </a:p>
        <a:p>
          <a:pPr marL="0" indent="0" algn="l"/>
          <a:r>
            <a:rPr lang="en-US" sz="1400">
              <a:latin typeface="+mn-lt"/>
              <a:ea typeface="+mn-lt"/>
              <a:cs typeface="+mn-lt"/>
            </a:rPr>
            <a:t>The income statement reveals several clear instances of scissor effects, where the relative growth rates of revenues and key cost lines diverge, either widening or narrowing the profit gap like opening or closing scissors.</a:t>
          </a:r>
        </a:p>
        <a:p>
          <a:pPr marL="0" indent="0" algn="l"/>
          <a:r>
            <a:rPr lang="en-US" sz="1400">
              <a:latin typeface="+mn-lt"/>
              <a:ea typeface="+mn-lt"/>
              <a:cs typeface="+mn-lt"/>
            </a:rPr>
            <a:t>A positive scissor effect is most evident in 2023 on the gross margin line: revenue grew 5.1% while cost of goods sold actually declined by 0.1%, creating a 5.1-percentage-point gap that drove a sharp expansion in gross profitability that year. This was likely the result of strong pricing power, favorable product mix, or temporary supply-chain efficiencies that allowed costs to fall even as top-line activity rose.</a:t>
          </a:r>
        </a:p>
        <a:p>
          <a:pPr marL="0" indent="0" algn="l"/>
          <a:r>
            <a:rPr lang="en-US" sz="1400">
              <a:latin typeface="+mn-lt"/>
              <a:ea typeface="+mn-lt"/>
              <a:cs typeface="+mn-lt"/>
            </a:rPr>
            <a:t>Another positive scissor appears in 2025 at the operating-expense level: revenue advanced 5.2% while selling and marketing costs rose only 1.7% and general and administrative costs increased just 4.4%, producing roughly a 2.2-percentage-point favorable gap that helped preserve operating leverage despite pressure lower down the P&amp;L. Over the full period from 2021 to 2025 this operating-expense discipline was cumulatively beneficial, with combined SG&amp;A growing about 37% against revenue growth of 39%, contributing to the overall 148-basis-point rise in adjusted EBITDA margin.</a:t>
          </a:r>
        </a:p>
        <a:p>
          <a:pPr marL="0" indent="0" algn="l"/>
          <a:r>
            <a:rPr lang="en-US" sz="1400">
              <a:latin typeface="+mn-lt"/>
              <a:ea typeface="+mn-lt"/>
              <a:cs typeface="+mn-lt"/>
            </a:rPr>
            <a:t>Conversely, negative scissor effects surfaced in two years. In 2022 revenue surged 18.2% but COGS rose faster at 20.7%, generating a 2.5-point adverse gap that caused a modest contraction in gross margin; this may reflect input-cost inflation or mix shifts that outpaced pricing during the strong volume rebound. Similarly, in 2025 a negative scissor reappeared at the gross level, with COGS growing 6.9% against 5.2% revenue growth and producing a 1.7-point drag that explains the slight gross-margin compression observed that year.</a:t>
          </a:r>
        </a:p>
        <a:p>
          <a:pPr marL="0" indent="0" algn="l"/>
          <a:r>
            <a:rPr lang="en-US" sz="1400">
              <a:latin typeface="+mn-lt"/>
              <a:ea typeface="+mn-lt"/>
              <a:cs typeface="+mn-lt"/>
            </a:rPr>
            <a:t>Overall, the scissor effects were mixed year to year but netted positive across the period, supporting structural margin expansion at both gross and EBITDA levels through most of the timeframe. The 2025 reversal on the gross line, however, stands out as a point of vigilance, as renewed cost pressure could signal emerging challenges in maintaining the favorable gap between revenue and direct costs going forward</a:t>
          </a:r>
        </a:p>
        <a:p>
          <a:pPr marL="0" indent="0" algn="l"/>
          <a:endParaRPr lang="en-US" sz="1100">
            <a:latin typeface="+mn-lt"/>
            <a:ea typeface="+mn-lt"/>
            <a:cs typeface="+mn-lt"/>
          </a:endParaRPr>
        </a:p>
      </xdr:txBody>
    </xdr:sp>
    <xdr:clientData/>
  </xdr:twoCellAnchor>
  <xdr:twoCellAnchor editAs="oneCell">
    <xdr:from>
      <xdr:col>2</xdr:col>
      <xdr:colOff>231006</xdr:colOff>
      <xdr:row>0</xdr:row>
      <xdr:rowOff>11083</xdr:rowOff>
    </xdr:from>
    <xdr:to>
      <xdr:col>10</xdr:col>
      <xdr:colOff>508550</xdr:colOff>
      <xdr:row>37</xdr:row>
      <xdr:rowOff>195496</xdr:rowOff>
    </xdr:to>
    <xdr:pic>
      <xdr:nvPicPr>
        <xdr:cNvPr id="5" name="Picture 4">
          <a:extLst>
            <a:ext uri="{FF2B5EF4-FFF2-40B4-BE49-F238E27FC236}">
              <a16:creationId xmlns:a16="http://schemas.microsoft.com/office/drawing/2014/main" id="{1AD8BB45-E1A0-B4D0-EEE4-7912B7650B68}"/>
            </a:ext>
            <a:ext uri="{147F2762-F138-4A5C-976F-8EAC2B608ADB}">
              <a16:predDERef xmlns:a16="http://schemas.microsoft.com/office/drawing/2014/main" pred="{B353E3CB-3ED8-AB8C-A746-177D41AB3E68}"/>
            </a:ext>
          </a:extLst>
        </xdr:cNvPr>
        <xdr:cNvPicPr>
          <a:picLocks noChangeAspect="1"/>
        </xdr:cNvPicPr>
      </xdr:nvPicPr>
      <xdr:blipFill>
        <a:blip xmlns:r="http://schemas.openxmlformats.org/officeDocument/2006/relationships" r:embed="rId1"/>
        <a:stretch>
          <a:fillRect/>
        </a:stretch>
      </xdr:blipFill>
      <xdr:spPr>
        <a:xfrm>
          <a:off x="5069706" y="11083"/>
          <a:ext cx="7983269" cy="12488597"/>
        </a:xfrm>
        <a:prstGeom prst="rect">
          <a:avLst/>
        </a:prstGeom>
      </xdr:spPr>
    </xdr:pic>
    <xdr:clientData/>
  </xdr:twoCellAnchor>
  <xdr:twoCellAnchor editAs="oneCell">
    <xdr:from>
      <xdr:col>0</xdr:col>
      <xdr:colOff>0</xdr:colOff>
      <xdr:row>0</xdr:row>
      <xdr:rowOff>28575</xdr:rowOff>
    </xdr:from>
    <xdr:to>
      <xdr:col>2</xdr:col>
      <xdr:colOff>28575</xdr:colOff>
      <xdr:row>26</xdr:row>
      <xdr:rowOff>180975</xdr:rowOff>
    </xdr:to>
    <xdr:pic>
      <xdr:nvPicPr>
        <xdr:cNvPr id="6" name="Image 5">
          <a:extLst>
            <a:ext uri="{FF2B5EF4-FFF2-40B4-BE49-F238E27FC236}">
              <a16:creationId xmlns:a16="http://schemas.microsoft.com/office/drawing/2014/main" id="{1151D5F4-2CCB-4944-84AE-7404BF861E98}"/>
            </a:ext>
            <a:ext uri="{147F2762-F138-4A5C-976F-8EAC2B608ADB}">
              <a16:predDERef xmlns:a16="http://schemas.microsoft.com/office/drawing/2014/main" pred="{1AD8BB45-E1A0-B4D0-EEE4-7912B7650B68}"/>
            </a:ext>
          </a:extLst>
        </xdr:cNvPr>
        <xdr:cNvPicPr>
          <a:picLocks noChangeAspect="1"/>
        </xdr:cNvPicPr>
      </xdr:nvPicPr>
      <xdr:blipFill>
        <a:blip xmlns:r="http://schemas.openxmlformats.org/officeDocument/2006/relationships" r:embed="rId2"/>
        <a:stretch>
          <a:fillRect/>
        </a:stretch>
      </xdr:blipFill>
      <xdr:spPr>
        <a:xfrm rot="16235809">
          <a:off x="-1219200" y="1247775"/>
          <a:ext cx="7305675" cy="4867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95250</xdr:colOff>
      <xdr:row>28</xdr:row>
      <xdr:rowOff>19050</xdr:rowOff>
    </xdr:from>
    <xdr:to>
      <xdr:col>13</xdr:col>
      <xdr:colOff>1809748</xdr:colOff>
      <xdr:row>51</xdr:row>
      <xdr:rowOff>166782</xdr:rowOff>
    </xdr:to>
    <xdr:pic>
      <xdr:nvPicPr>
        <xdr:cNvPr id="6" name="Image 1">
          <a:extLst>
            <a:ext uri="{FF2B5EF4-FFF2-40B4-BE49-F238E27FC236}">
              <a16:creationId xmlns:a16="http://schemas.microsoft.com/office/drawing/2014/main" id="{4435EFDE-317C-4D7A-9C60-79FB5937F6CE}"/>
            </a:ext>
            <a:ext uri="{147F2762-F138-4A5C-976F-8EAC2B608ADB}">
              <a16:predDERef xmlns:a16="http://schemas.microsoft.com/office/drawing/2014/main" pred="{6ADF9A73-4DA3-C3C0-D15D-192CAA1CFBA6}"/>
            </a:ext>
          </a:extLst>
        </xdr:cNvPr>
        <xdr:cNvPicPr>
          <a:picLocks noChangeAspect="1"/>
        </xdr:cNvPicPr>
      </xdr:nvPicPr>
      <xdr:blipFill>
        <a:blip xmlns:r="http://schemas.openxmlformats.org/officeDocument/2006/relationships" r:embed="rId1"/>
        <a:stretch>
          <a:fillRect/>
        </a:stretch>
      </xdr:blipFill>
      <xdr:spPr>
        <a:xfrm>
          <a:off x="27317700" y="400050"/>
          <a:ext cx="1714498" cy="4529232"/>
        </a:xfrm>
        <a:prstGeom prst="rect">
          <a:avLst/>
        </a:prstGeom>
      </xdr:spPr>
    </xdr:pic>
    <xdr:clientData/>
  </xdr:twoCellAnchor>
  <xdr:twoCellAnchor>
    <xdr:from>
      <xdr:col>30</xdr:col>
      <xdr:colOff>0</xdr:colOff>
      <xdr:row>1</xdr:row>
      <xdr:rowOff>95250</xdr:rowOff>
    </xdr:from>
    <xdr:to>
      <xdr:col>39</xdr:col>
      <xdr:colOff>704850</xdr:colOff>
      <xdr:row>71</xdr:row>
      <xdr:rowOff>152400</xdr:rowOff>
    </xdr:to>
    <xdr:sp macro="" textlink="">
      <xdr:nvSpPr>
        <xdr:cNvPr id="7" name="ZoneTexte 6">
          <a:extLst>
            <a:ext uri="{FF2B5EF4-FFF2-40B4-BE49-F238E27FC236}">
              <a16:creationId xmlns:a16="http://schemas.microsoft.com/office/drawing/2014/main" id="{19B765C6-02B1-6996-07D3-F728FB2A0FE2}"/>
            </a:ext>
            <a:ext uri="{147F2762-F138-4A5C-976F-8EAC2B608ADB}">
              <a16:predDERef xmlns:a16="http://schemas.microsoft.com/office/drawing/2014/main" pred="{4435EFDE-317C-4D7A-9C60-79FB5937F6CE}"/>
            </a:ext>
          </a:extLst>
        </xdr:cNvPr>
        <xdr:cNvSpPr txBox="1"/>
      </xdr:nvSpPr>
      <xdr:spPr>
        <a:xfrm>
          <a:off x="30156150" y="685800"/>
          <a:ext cx="8010525" cy="142494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800">
              <a:latin typeface="+mn-lt"/>
              <a:ea typeface="+mn-lt"/>
              <a:cs typeface="+mn-lt"/>
            </a:rPr>
            <a:t>Schneider’s balance sheet evolution between 2021 and 2025 reflects not just an aggressive expansion, but a deliberate reconfiguration of its financing model, increasingly anchored in debt rather than internally generated funds. Total assets rose by 14.6% to €62,504 million, primarily driven by a striking 43% increase in Property, Plant and Equipment (PP&amp;E), suggesting sustained capital expenditure in industrial capacity, infrastructure, or technological assets. In parallel, current assets expanded significantly to €22,038 million, pointing to a structurally higher working capital requirement, likely linked to scaling operations, longer production cycles, or shifts in commercial terms.</a:t>
          </a:r>
        </a:p>
        <a:p>
          <a:pPr marL="0" indent="0" algn="l"/>
          <a:r>
            <a:rPr lang="en-US" sz="1800">
              <a:latin typeface="+mn-lt"/>
              <a:ea typeface="+mn-lt"/>
              <a:cs typeface="+mn-lt"/>
            </a:rPr>
            <a:t>However, this asset growth is accompanied by a progressive weakening of the equity base. Total equity declined to €24,455 million, largely due to negative retained earnings (-€2,268 million), indicating that recent profitability has not been sufficient to support reinvestment needs. This imbalance has structurally redirected the firm toward external financing, with long-term borrowings surging by 60% to €19,543 million. Rather than a temporary adjustment, this suggests a strategic substitution of equity with debt, increasing financial leverage and reducing balance sheet flexibility. The sustainability of this model now hinges on Schneider’s ability to translate its expanded asset base into stable and growing operating cash flows.</a:t>
          </a:r>
        </a:p>
        <a:p>
          <a:pPr marL="0" indent="0" algn="l"/>
          <a:endParaRPr lang="en-US" sz="1800">
            <a:latin typeface="+mn-lt"/>
            <a:ea typeface="+mn-lt"/>
            <a:cs typeface="+mn-lt"/>
          </a:endParaRPr>
        </a:p>
        <a:p>
          <a:pPr marL="0" indent="0" algn="l"/>
          <a:r>
            <a:rPr lang="en-US" sz="1800">
              <a:latin typeface="+mn-lt"/>
              <a:ea typeface="+mn-lt"/>
              <a:cs typeface="+mn-lt"/>
            </a:rPr>
            <a:t>From a capital structure perspective, the period marks a clear pivot toward debt-driven growth but also reveals emerging tensions in operational efficiency. Capital employed increased modestly by 5.8% to €42,223 million, yet this growth was disproportionately driven by a sharp 126.7% increase in working capital requirements (€1,757 million), while fixed assets remained relatively stable in relative contribution. This dynamic signals a deterioration in the cash conversion cycle, potentially due to slower inventory turnover, extended customer credit, or supply chain frictions.</a:t>
          </a:r>
        </a:p>
        <a:p>
          <a:pPr marL="0" indent="0" algn="l"/>
          <a:r>
            <a:rPr lang="en-US" sz="1800">
              <a:latin typeface="+mn-lt"/>
              <a:ea typeface="+mn-lt"/>
              <a:cs typeface="+mn-lt"/>
            </a:rPr>
            <a:t>The surge in working capital is not neutral: it acts as a hidden drain on liquidity, forcing the company to compensate through increased financial leverage. Net debt rose by 50.7% to €17,768 million, reinforcing the idea that operational expansion is not self-sustaining. Even though reserves increased significantly (nearly +300%), this was insufficient to offset the erosion of retained earnings, resulting in a 13% contraction in total equity. As a result, Schneider’s growth trajectory appears increasingly decoupled from its underlying profitability, raising concerns about the long-term efficiency of capital allocation and the firm’s ability to deleverage organically.</a:t>
          </a:r>
        </a:p>
        <a:p>
          <a:pPr marL="0" indent="0" algn="l"/>
          <a:endParaRPr lang="en-US" sz="1800">
            <a:latin typeface="+mn-lt"/>
            <a:ea typeface="+mn-lt"/>
            <a:cs typeface="+mn-lt"/>
          </a:endParaRPr>
        </a:p>
        <a:p>
          <a:pPr marL="0" indent="0" algn="l"/>
          <a:r>
            <a:rPr lang="en-US" sz="1800">
              <a:latin typeface="+mn-lt"/>
              <a:ea typeface="+mn-lt"/>
              <a:cs typeface="+mn-lt"/>
            </a:rPr>
            <a:t>The liquidity analysis further reinforces this interpretation. The sharp increase in working capital requirements, from €775 million to €1,757 million (+126%), highlights a structural absorption of cash within operations, rather than a temporary fluctuation. This rise, driven by a 35.95% increase in non-cash current assets, suggests that growth is becoming more liquidity-intensive, potentially reflecting scaling inefficiencies or a shift toward less favorable operating conditions.</a:t>
          </a:r>
        </a:p>
        <a:p>
          <a:pPr marL="0" indent="0" algn="l"/>
          <a:r>
            <a:rPr lang="en-US" sz="1800">
              <a:latin typeface="+mn-lt"/>
              <a:ea typeface="+mn-lt"/>
              <a:cs typeface="+mn-lt"/>
            </a:rPr>
            <a:t>To offset this internal cash deficit, Schneider has intensified its reliance on external financing, as evidenced by the 60% increase in long-term debt and the deterioration of cash positions. While reported invested capital appears relatively stable at €42,223 million, this masks a deeper imbalance: the company is increasingly financing operational frictions with debt rather than resolving them operationally. This raises a critical question about the quality of growth, whether the expansion is generating sufficient returns, or merely inflating the balance sheet through leverage.</a:t>
          </a:r>
        </a:p>
        <a:p>
          <a:pPr marL="0" indent="0" algn="l"/>
          <a:endParaRPr lang="en-US" sz="1800">
            <a:latin typeface="+mn-lt"/>
            <a:ea typeface="+mn-lt"/>
            <a:cs typeface="+mn-lt"/>
          </a:endParaRPr>
        </a:p>
        <a:p>
          <a:pPr marL="0" indent="0" algn="l"/>
          <a:endParaRPr lang="en-US" sz="1800">
            <a:latin typeface="+mn-lt"/>
            <a:ea typeface="+mn-lt"/>
            <a:cs typeface="+mn-lt"/>
          </a:endParaRPr>
        </a:p>
      </xdr:txBody>
    </xdr:sp>
    <xdr:clientData/>
  </xdr:twoCellAnchor>
  <xdr:twoCellAnchor editAs="oneCell">
    <xdr:from>
      <xdr:col>4</xdr:col>
      <xdr:colOff>12699</xdr:colOff>
      <xdr:row>0</xdr:row>
      <xdr:rowOff>0</xdr:rowOff>
    </xdr:from>
    <xdr:to>
      <xdr:col>11</xdr:col>
      <xdr:colOff>853017</xdr:colOff>
      <xdr:row>56</xdr:row>
      <xdr:rowOff>180939</xdr:rowOff>
    </xdr:to>
    <xdr:pic>
      <xdr:nvPicPr>
        <xdr:cNvPr id="3" name="Picture 2">
          <a:extLst>
            <a:ext uri="{FF2B5EF4-FFF2-40B4-BE49-F238E27FC236}">
              <a16:creationId xmlns:a16="http://schemas.microsoft.com/office/drawing/2014/main" id="{B68525D1-0E09-E90F-454F-04840CCEE8EA}"/>
            </a:ext>
            <a:ext uri="{147F2762-F138-4A5C-976F-8EAC2B608ADB}">
              <a16:predDERef xmlns:a16="http://schemas.microsoft.com/office/drawing/2014/main" pred="{19B765C6-02B1-6996-07D3-F728FB2A0FE2}"/>
            </a:ext>
          </a:extLst>
        </xdr:cNvPr>
        <xdr:cNvPicPr>
          <a:picLocks noChangeAspect="1"/>
        </xdr:cNvPicPr>
      </xdr:nvPicPr>
      <xdr:blipFill>
        <a:blip xmlns:r="http://schemas.openxmlformats.org/officeDocument/2006/relationships" r:embed="rId2"/>
        <a:stretch>
          <a:fillRect/>
        </a:stretch>
      </xdr:blipFill>
      <xdr:spPr>
        <a:xfrm>
          <a:off x="5013324" y="0"/>
          <a:ext cx="7984068" cy="12106239"/>
        </a:xfrm>
        <a:prstGeom prst="rect">
          <a:avLst/>
        </a:prstGeom>
      </xdr:spPr>
    </xdr:pic>
    <xdr:clientData/>
  </xdr:twoCellAnchor>
  <xdr:twoCellAnchor editAs="oneCell">
    <xdr:from>
      <xdr:col>0</xdr:col>
      <xdr:colOff>0</xdr:colOff>
      <xdr:row>0</xdr:row>
      <xdr:rowOff>0</xdr:rowOff>
    </xdr:from>
    <xdr:to>
      <xdr:col>3</xdr:col>
      <xdr:colOff>962025</xdr:colOff>
      <xdr:row>31</xdr:row>
      <xdr:rowOff>142875</xdr:rowOff>
    </xdr:to>
    <xdr:pic>
      <xdr:nvPicPr>
        <xdr:cNvPr id="4" name="Image 3">
          <a:extLst>
            <a:ext uri="{FF2B5EF4-FFF2-40B4-BE49-F238E27FC236}">
              <a16:creationId xmlns:a16="http://schemas.microsoft.com/office/drawing/2014/main" id="{B7B51EF4-63D4-4091-8C80-17BB09FF5107}"/>
            </a:ext>
            <a:ext uri="{147F2762-F138-4A5C-976F-8EAC2B608ADB}">
              <a16:predDERef xmlns:a16="http://schemas.microsoft.com/office/drawing/2014/main" pred="{B68525D1-0E09-E90F-454F-04840CCEE8EA}"/>
            </a:ext>
          </a:extLst>
        </xdr:cNvPr>
        <xdr:cNvPicPr>
          <a:picLocks noChangeAspect="1"/>
        </xdr:cNvPicPr>
      </xdr:nvPicPr>
      <xdr:blipFill>
        <a:blip xmlns:r="http://schemas.openxmlformats.org/officeDocument/2006/relationships" r:embed="rId3"/>
        <a:stretch>
          <a:fillRect/>
        </a:stretch>
      </xdr:blipFill>
      <xdr:spPr>
        <a:xfrm rot="16235809">
          <a:off x="-1219200" y="1219200"/>
          <a:ext cx="7305675" cy="48672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27</xdr:col>
      <xdr:colOff>571500</xdr:colOff>
      <xdr:row>1</xdr:row>
      <xdr:rowOff>19050</xdr:rowOff>
    </xdr:from>
    <xdr:to>
      <xdr:col>37</xdr:col>
      <xdr:colOff>571500</xdr:colOff>
      <xdr:row>59</xdr:row>
      <xdr:rowOff>0</xdr:rowOff>
    </xdr:to>
    <xdr:sp macro="" textlink="">
      <xdr:nvSpPr>
        <xdr:cNvPr id="2" name="ZoneTexte 2">
          <a:extLst>
            <a:ext uri="{FF2B5EF4-FFF2-40B4-BE49-F238E27FC236}">
              <a16:creationId xmlns:a16="http://schemas.microsoft.com/office/drawing/2014/main" id="{404FF22D-0967-80C5-E8EC-98FC2F5E90A8}"/>
            </a:ext>
            <a:ext uri="{147F2762-F138-4A5C-976F-8EAC2B608ADB}">
              <a16:predDERef xmlns:a16="http://schemas.microsoft.com/office/drawing/2014/main" pred="{2AF9A4BF-E163-9941-B2BE-56CE8BD87AF0}"/>
            </a:ext>
          </a:extLst>
        </xdr:cNvPr>
        <xdr:cNvSpPr txBox="1"/>
      </xdr:nvSpPr>
      <xdr:spPr>
        <a:xfrm>
          <a:off x="30568900" y="273050"/>
          <a:ext cx="6858000" cy="117665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400">
              <a:latin typeface="+mn-lt"/>
              <a:ea typeface="+mn-lt"/>
              <a:cs typeface="+mn-lt"/>
            </a:rPr>
            <a:t>Cash Flow from Operating Activities (CFO) demonstrated robust and improving cash generation, rising from €3,161 million in 2021 to a peak of €6,131 million in 2025. This near doubling reflects excellent cash conversion from the growing net income, supported by stable non-cash items like depreciation and generally disciplined working capital management. However, year-to-year volatility in working capital changes (e.g., increases in inventories and receivables in some years) occasionally created temporary outflows, highlighting that rapid business expansion sometimes required short-term cash absorption. Overall, the strong CFO trend underscores the high quality of earnings and the group's ability to turn profit growth into actual cash, with cash conversion ratios frequently approaching or exceeding 100% in stronger years.</a:t>
          </a:r>
        </a:p>
        <a:p>
          <a:pPr marL="0" indent="0" algn="l"/>
          <a:endParaRPr lang="en-US" sz="1400">
            <a:latin typeface="+mn-lt"/>
            <a:ea typeface="+mn-lt"/>
            <a:cs typeface="+mn-lt"/>
          </a:endParaRPr>
        </a:p>
        <a:p>
          <a:pPr marL="0" indent="0" algn="l"/>
          <a:r>
            <a:rPr lang="en-US" sz="1400">
              <a:latin typeface="+mn-lt"/>
              <a:ea typeface="+mn-lt"/>
              <a:cs typeface="+mn-lt"/>
            </a:rPr>
            <a:t>Cash Flow from Investing Activities (CFI) remained consistently negative, averaging between -€2.0 billion and -€2.7 billion annually, which is typical for a capital-intensive industrial and technology leader. The primary driver was sustained capital expenditures on property, plant and equipment, along with investments in intangible assets and selective acquisitions. Compared with the 2021 base of -€1,351 million, the outflow widened to -€2,727 million in 2025, signaling increased investment in capacity, digital solutions, and growth initiatives in energy management and automation. This disciplined but growing investment level supports long-term strategic positioning, though it represents a structural cash use that must be funded by strong operating cash flows.</a:t>
          </a:r>
        </a:p>
        <a:p>
          <a:pPr marL="0" indent="0" algn="l"/>
          <a:endParaRPr lang="en-US" sz="1400">
            <a:latin typeface="+mn-lt"/>
            <a:ea typeface="+mn-lt"/>
            <a:cs typeface="+mn-lt"/>
          </a:endParaRPr>
        </a:p>
        <a:p>
          <a:pPr marL="0" indent="0" algn="l"/>
          <a:r>
            <a:rPr lang="en-US" sz="1400">
              <a:latin typeface="+mn-lt"/>
              <a:ea typeface="+mn-lt"/>
              <a:cs typeface="+mn-lt"/>
            </a:rPr>
            <a:t>Cash Flow from Financing Activities (CFF) was predominantly negative and volatile, ranging from around -€3.0 billion to -€2.6 billion in recent years. Large outflows were mainly driven by consistent and growing dividend payments to shareholders (often €2.0–2.9 billion per year), share buybacks in certain periods, and net debt management activities. The group used debt markets opportunistically for refinancing or selective issuance, which helped maintain financial flexibility without excessive leverage buildup. This pattern illustrates a shareholder-friendly capital allocation policy that returns substantial cash while balancing growth funding needs.</a:t>
          </a:r>
        </a:p>
        <a:p>
          <a:pPr marL="0" indent="0" algn="l"/>
          <a:endParaRPr lang="en-US" sz="1400">
            <a:latin typeface="+mn-lt"/>
            <a:ea typeface="+mn-lt"/>
            <a:cs typeface="+mn-lt"/>
          </a:endParaRPr>
        </a:p>
        <a:p>
          <a:pPr marL="0" indent="0" algn="l"/>
          <a:r>
            <a:rPr lang="en-US" sz="1400">
              <a:latin typeface="+mn-lt"/>
              <a:ea typeface="+mn-lt"/>
              <a:cs typeface="+mn-lt"/>
            </a:rPr>
            <a:t>Free Cash Flow (FCF), derived from CFO minus net capital expenditures, emerged as a clear strength. It grew significantly from approximately €3.7 billion in 2021 to around €4.6 billion in 2025, with excellent cash conversion from net income often reaching 110% or higher in peak years. This robust FCF generation provided ample headroom to fund dividends, selective M&amp;A, and balance sheet maintenance, while demonstrating operational efficiency and resilience. Minor year-to-year fluctuations were mostly linked to timing of working capital or capex cycles rather than underlying weakness.</a:t>
          </a:r>
        </a:p>
        <a:p>
          <a:pPr marL="0" indent="0" algn="l"/>
          <a:endParaRPr lang="en-US" sz="1400">
            <a:latin typeface="+mn-lt"/>
            <a:ea typeface="+mn-lt"/>
            <a:cs typeface="+mn-lt"/>
          </a:endParaRPr>
        </a:p>
        <a:p>
          <a:pPr marL="0" indent="0" algn="l"/>
          <a:r>
            <a:rPr lang="en-US" sz="1400">
              <a:latin typeface="+mn-lt"/>
              <a:ea typeface="+mn-lt"/>
              <a:cs typeface="+mn-lt"/>
            </a:rPr>
            <a:t>Overall, the total change in cash and cash equivalents reflected a healthy net cash position that improved in most years despite substantial dividend distributions and ongoing investments. The statement portrays Schneider Electric as a high-quality cash compounder with strong operating cash generation, strategic investing discipline, and balanced financing that prioritizes shareholder returns. The combination of rising CFO, controlled CFI outflows, and high FCF conversion highlights structural cash flow resilience, even amid business growth and occasional working capital swings. This cash profile supports the group's ability to navigate economic cycles while continuing to invest in electrification, automation, and digital transformation.</a:t>
          </a:r>
        </a:p>
        <a:p>
          <a:pPr marL="0" indent="0" algn="l"/>
          <a:endParaRPr lang="en-US" sz="1100">
            <a:latin typeface="+mn-lt"/>
            <a:ea typeface="+mn-lt"/>
            <a:cs typeface="+mn-lt"/>
          </a:endParaRPr>
        </a:p>
        <a:p>
          <a:pPr marL="0" indent="0" algn="l"/>
          <a:endParaRPr lang="en-US" sz="1100">
            <a:latin typeface="+mn-lt"/>
            <a:ea typeface="+mn-lt"/>
            <a:cs typeface="+mn-lt"/>
          </a:endParaRPr>
        </a:p>
      </xdr:txBody>
    </xdr:sp>
    <xdr:clientData/>
  </xdr:twoCellAnchor>
  <xdr:twoCellAnchor editAs="oneCell">
    <xdr:from>
      <xdr:col>2</xdr:col>
      <xdr:colOff>27577</xdr:colOff>
      <xdr:row>0</xdr:row>
      <xdr:rowOff>23851</xdr:rowOff>
    </xdr:from>
    <xdr:to>
      <xdr:col>13</xdr:col>
      <xdr:colOff>417087</xdr:colOff>
      <xdr:row>61</xdr:row>
      <xdr:rowOff>57902</xdr:rowOff>
    </xdr:to>
    <xdr:pic>
      <xdr:nvPicPr>
        <xdr:cNvPr id="4" name="Picture 3">
          <a:extLst>
            <a:ext uri="{FF2B5EF4-FFF2-40B4-BE49-F238E27FC236}">
              <a16:creationId xmlns:a16="http://schemas.microsoft.com/office/drawing/2014/main" id="{296B2831-E7A9-47EB-A6F0-73018042C0BF}"/>
            </a:ext>
            <a:ext uri="{147F2762-F138-4A5C-976F-8EAC2B608ADB}">
              <a16:predDERef xmlns:a16="http://schemas.microsoft.com/office/drawing/2014/main" pred="{404FF22D-0967-80C5-E8EC-98FC2F5E90A8}"/>
            </a:ext>
          </a:extLst>
        </xdr:cNvPr>
        <xdr:cNvPicPr>
          <a:picLocks noChangeAspect="1"/>
        </xdr:cNvPicPr>
      </xdr:nvPicPr>
      <xdr:blipFill>
        <a:blip xmlns:r="http://schemas.openxmlformats.org/officeDocument/2006/relationships" r:embed="rId1"/>
        <a:stretch>
          <a:fillRect/>
        </a:stretch>
      </xdr:blipFill>
      <xdr:spPr>
        <a:xfrm>
          <a:off x="4961527" y="23851"/>
          <a:ext cx="9295385" cy="11768851"/>
        </a:xfrm>
        <a:prstGeom prst="rect">
          <a:avLst/>
        </a:prstGeom>
      </xdr:spPr>
    </xdr:pic>
    <xdr:clientData/>
  </xdr:twoCellAnchor>
  <xdr:twoCellAnchor editAs="oneCell">
    <xdr:from>
      <xdr:col>0</xdr:col>
      <xdr:colOff>9525</xdr:colOff>
      <xdr:row>0</xdr:row>
      <xdr:rowOff>0</xdr:rowOff>
    </xdr:from>
    <xdr:to>
      <xdr:col>1</xdr:col>
      <xdr:colOff>2867025</xdr:colOff>
      <xdr:row>38</xdr:row>
      <xdr:rowOff>19050</xdr:rowOff>
    </xdr:to>
    <xdr:pic>
      <xdr:nvPicPr>
        <xdr:cNvPr id="5" name="Image 4">
          <a:extLst>
            <a:ext uri="{FF2B5EF4-FFF2-40B4-BE49-F238E27FC236}">
              <a16:creationId xmlns:a16="http://schemas.microsoft.com/office/drawing/2014/main" id="{2F78B900-1B77-402A-A086-975117FF19CD}"/>
            </a:ext>
            <a:ext uri="{147F2762-F138-4A5C-976F-8EAC2B608ADB}">
              <a16:predDERef xmlns:a16="http://schemas.microsoft.com/office/drawing/2014/main" pred="{296B2831-E7A9-47EB-A6F0-73018042C0BF}"/>
            </a:ext>
          </a:extLst>
        </xdr:cNvPr>
        <xdr:cNvPicPr>
          <a:picLocks noChangeAspect="1"/>
        </xdr:cNvPicPr>
      </xdr:nvPicPr>
      <xdr:blipFill>
        <a:blip xmlns:r="http://schemas.openxmlformats.org/officeDocument/2006/relationships" r:embed="rId2"/>
        <a:stretch>
          <a:fillRect/>
        </a:stretch>
      </xdr:blipFill>
      <xdr:spPr>
        <a:xfrm rot="16235809">
          <a:off x="-1209675" y="1219200"/>
          <a:ext cx="7305675" cy="48672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971550</xdr:colOff>
      <xdr:row>57</xdr:row>
      <xdr:rowOff>38100</xdr:rowOff>
    </xdr:from>
    <xdr:to>
      <xdr:col>10</xdr:col>
      <xdr:colOff>0</xdr:colOff>
      <xdr:row>70</xdr:row>
      <xdr:rowOff>38100</xdr:rowOff>
    </xdr:to>
    <xdr:sp macro="" textlink="">
      <xdr:nvSpPr>
        <xdr:cNvPr id="32" name="TextBox 1">
          <a:extLst>
            <a:ext uri="{FF2B5EF4-FFF2-40B4-BE49-F238E27FC236}">
              <a16:creationId xmlns:a16="http://schemas.microsoft.com/office/drawing/2014/main" id="{9F6C3818-7CFC-E1C7-15BB-80E80A4BC714}"/>
            </a:ext>
          </a:extLst>
        </xdr:cNvPr>
        <xdr:cNvSpPr txBox="1"/>
      </xdr:nvSpPr>
      <xdr:spPr>
        <a:xfrm>
          <a:off x="5924550" y="10896600"/>
          <a:ext cx="6248400" cy="247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Methodological note - DSO, DPO &amp; DIO conventions</a:t>
          </a:r>
        </a:p>
        <a:p>
          <a:endParaRPr lang="en-US"/>
        </a:p>
        <a:p>
          <a:r>
            <a:rPr lang="en-US"/>
            <a:t>For the calculation of working capital days ratios, we applied a </a:t>
          </a:r>
          <a:r>
            <a:rPr lang="en-US" b="1"/>
            <a:t>360-day convention</a:t>
          </a:r>
          <a:r>
            <a:rPr lang="en-US"/>
            <a:t> rather than 365, in line with the standard academic methodology used throughout this course, where each month is treated as 30 days for comparability purposes.</a:t>
          </a:r>
        </a:p>
        <a:p>
          <a:endParaRPr lang="en-US"/>
        </a:p>
        <a:p>
          <a:r>
            <a:rPr lang="en-US"/>
            <a:t>Regarding the </a:t>
          </a:r>
          <a:r>
            <a:rPr lang="en-US" b="1"/>
            <a:t>tax gross-up adjustment</a:t>
          </a:r>
          <a:r>
            <a:rPr lang="en-US"/>
            <a:t> on the denominator,</a:t>
          </a:r>
          <a:r>
            <a:rPr lang="en-US" baseline="0"/>
            <a:t> </a:t>
          </a:r>
          <a:r>
            <a:rPr lang="en-US"/>
            <a:t> while it is technically argued that trade receivables and payables on the balance sheet are recorded inclusive of VAT, creating a mismatch with the tax-exclusive figures reported in the income statement, we chose </a:t>
          </a:r>
          <a:r>
            <a:rPr lang="en-US" b="1"/>
            <a:t>not to apply this correction</a:t>
          </a:r>
          <a:r>
            <a:rPr lang="en-US"/>
            <a:t> for Schneider Electric. As a global B2B group operating across more than 100 countries, no single VAT rate can be meaningfully identified or applied. Furthermore, in B2B transactions, VAT is fully recoverable by the counterparty, making it economically neutral. Applying an arbitrary tax rate would introduce greater distortion than the one it aims to correct. This adjustment is most relevant for domestic, B2C-oriented companies where a uniform and material tax rate applies consistently across all revenues.</a:t>
          </a:r>
        </a:p>
        <a:p>
          <a:endParaRPr lang="en-US" sz="1100"/>
        </a:p>
      </xdr:txBody>
    </xdr:sp>
    <xdr:clientData/>
  </xdr:twoCellAnchor>
  <xdr:twoCellAnchor>
    <xdr:from>
      <xdr:col>2</xdr:col>
      <xdr:colOff>942975</xdr:colOff>
      <xdr:row>49</xdr:row>
      <xdr:rowOff>9525</xdr:rowOff>
    </xdr:from>
    <xdr:to>
      <xdr:col>9</xdr:col>
      <xdr:colOff>723900</xdr:colOff>
      <xdr:row>56</xdr:row>
      <xdr:rowOff>114300</xdr:rowOff>
    </xdr:to>
    <xdr:sp macro="" textlink="">
      <xdr:nvSpPr>
        <xdr:cNvPr id="3" name="TextBox 2">
          <a:extLst>
            <a:ext uri="{FF2B5EF4-FFF2-40B4-BE49-F238E27FC236}">
              <a16:creationId xmlns:a16="http://schemas.microsoft.com/office/drawing/2014/main" id="{62AF4F1A-2E98-51C2-AAA1-3378EAECD14D}"/>
            </a:ext>
            <a:ext uri="{147F2762-F138-4A5C-976F-8EAC2B608ADB}">
              <a16:predDERef xmlns:a16="http://schemas.microsoft.com/office/drawing/2014/main" pred="{9F6C3818-7CFC-E1C7-15BB-80E80A4BC714}"/>
            </a:ext>
          </a:extLst>
        </xdr:cNvPr>
        <xdr:cNvSpPr txBox="1"/>
      </xdr:nvSpPr>
      <xdr:spPr>
        <a:xfrm>
          <a:off x="5895975" y="9344025"/>
          <a:ext cx="6238875" cy="143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chemeClr val="tx2"/>
              </a:solidFill>
            </a:rPr>
            <a:t>Two conventions exist for assigning dividends in the payout ratio:</a:t>
          </a:r>
        </a:p>
        <a:p>
          <a:r>
            <a:rPr lang="en-US" b="1">
              <a:solidFill>
                <a:schemeClr val="tx2"/>
              </a:solidFill>
            </a:rPr>
            <a:t>"Strict" convention</a:t>
          </a:r>
          <a:r>
            <a:rPr lang="en-US">
              <a:solidFill>
                <a:schemeClr val="tx2"/>
              </a:solidFill>
            </a:rPr>
            <a:t> — you assign the dividend to the fiscal year whose profits it rewards. For example, the dividend paid in 2025 is assigned to FY2024, since it remunerates FY2024 earnings. This is technically more accurate but means FY2025 has no dividend yet (it will only be paid in 2026).</a:t>
          </a:r>
        </a:p>
        <a:p>
          <a:r>
            <a:rPr lang="en-US" b="1">
              <a:solidFill>
                <a:schemeClr val="tx2"/>
              </a:solidFill>
            </a:rPr>
            <a:t>"Simple" convention</a:t>
          </a:r>
          <a:r>
            <a:rPr lang="en-US">
              <a:solidFill>
                <a:schemeClr val="tx2"/>
              </a:solidFill>
            </a:rPr>
            <a:t> — you take the dividends as they appear directly in the CFS for each year, no shift. So 2025 = €2,191m paid in 2025, regardless of which year's earnings they relate to. Less precise but straightforward and uses readily available data.</a:t>
          </a:r>
        </a:p>
        <a:p>
          <a:r>
            <a:rPr lang="en-US">
              <a:solidFill>
                <a:schemeClr val="tx2"/>
              </a:solidFill>
            </a:rPr>
            <a:t>Both are valid. We're asking the professor which one to apply.</a:t>
          </a:r>
        </a:p>
        <a:p>
          <a:endParaRPr lang="en-US" sz="1100"/>
        </a:p>
      </xdr:txBody>
    </xdr:sp>
    <xdr:clientData/>
  </xdr:twoCellAnchor>
  <xdr:twoCellAnchor>
    <xdr:from>
      <xdr:col>19</xdr:col>
      <xdr:colOff>742950</xdr:colOff>
      <xdr:row>1</xdr:row>
      <xdr:rowOff>28575</xdr:rowOff>
    </xdr:from>
    <xdr:to>
      <xdr:col>26</xdr:col>
      <xdr:colOff>733425</xdr:colOff>
      <xdr:row>107</xdr:row>
      <xdr:rowOff>0</xdr:rowOff>
    </xdr:to>
    <xdr:sp macro="" textlink="">
      <xdr:nvSpPr>
        <xdr:cNvPr id="33" name="TextBox 3">
          <a:extLst>
            <a:ext uri="{FF2B5EF4-FFF2-40B4-BE49-F238E27FC236}">
              <a16:creationId xmlns:a16="http://schemas.microsoft.com/office/drawing/2014/main" id="{875C36F2-61FD-AD9D-28E3-A3A82909A221}"/>
            </a:ext>
            <a:ext uri="{147F2762-F138-4A5C-976F-8EAC2B608ADB}">
              <a16:predDERef xmlns:a16="http://schemas.microsoft.com/office/drawing/2014/main" pred="{62AF4F1A-2E98-51C2-AAA1-3378EAECD14D}"/>
            </a:ext>
          </a:extLst>
        </xdr:cNvPr>
        <xdr:cNvSpPr txBox="1"/>
      </xdr:nvSpPr>
      <xdr:spPr>
        <a:xfrm>
          <a:off x="28112370" y="267850"/>
          <a:ext cx="7076707" cy="194815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tx1"/>
              </a:solidFill>
              <a:effectLst/>
              <a:latin typeface="+mn-lt"/>
              <a:ea typeface="+mn-ea"/>
              <a:cs typeface="+mn-cs"/>
            </a:rPr>
            <a:t>Profitability</a:t>
          </a:r>
          <a:r>
            <a:rPr lang="en-US" sz="1100" b="1" i="0" baseline="0">
              <a:solidFill>
                <a:schemeClr val="tx1"/>
              </a:solidFill>
              <a:effectLst/>
              <a:latin typeface="+mn-lt"/>
              <a:ea typeface="+mn-ea"/>
              <a:cs typeface="+mn-cs"/>
            </a:rPr>
            <a:t> analysis</a:t>
          </a:r>
          <a:endParaRPr lang="en-US" sz="1100" b="1" i="0">
            <a:solidFill>
              <a:schemeClr val="tx1"/>
            </a:solidFill>
            <a:effectLst/>
            <a:latin typeface="+mn-lt"/>
            <a:ea typeface="+mn-ea"/>
            <a:cs typeface="+mn-cs"/>
          </a:endParaRPr>
        </a:p>
        <a:p>
          <a:r>
            <a:rPr lang="en-US" sz="1100" b="1" i="0">
              <a:solidFill>
                <a:schemeClr val="tx1"/>
              </a:solidFill>
              <a:effectLst/>
              <a:latin typeface="+mn-lt"/>
              <a:ea typeface="+mn-ea"/>
              <a:cs typeface="+mn-cs"/>
            </a:rPr>
            <a:t>ROE:</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Schneider Electric's ROE stands at 17.79% in 2025, meaning the company generates €0.18 of net profit for every €1 invested by shareholders. This is a strong level (above 15% is considered good). The ROE has been steadily improving from 11.64% in 2021, which reflects a consistent improvement in how efficiently the company uses shareholders' funds to generate returns.</a:t>
          </a:r>
        </a:p>
        <a:p>
          <a:r>
            <a:rPr lang="en-US" sz="1100" b="1" i="0">
              <a:solidFill>
                <a:schemeClr val="tx1"/>
              </a:solidFill>
              <a:effectLst/>
              <a:latin typeface="+mn-lt"/>
              <a:ea typeface="+mn-ea"/>
              <a:cs typeface="+mn-cs"/>
            </a:rPr>
            <a:t>ROS: </a:t>
          </a:r>
          <a:r>
            <a:rPr lang="en-US" sz="1100" b="0" i="0">
              <a:solidFill>
                <a:schemeClr val="tx1"/>
              </a:solidFill>
              <a:effectLst/>
              <a:latin typeface="+mn-lt"/>
              <a:ea typeface="+mn-ea"/>
              <a:cs typeface="+mn-cs"/>
            </a:rPr>
            <a:t>The ROS of 10.84% means that Schneider retains about €0.11 of net profit for every €1 of revenue. This is a solid level (above 10% is a good sign). It has improved significantly from 11.32% in 2021, dipped in 2022–2023, and recovered strongly in 2025, showing good control over revenues and expenses.</a:t>
          </a:r>
        </a:p>
        <a:p>
          <a:r>
            <a:rPr lang="en-US" sz="1100" b="1" i="0">
              <a:solidFill>
                <a:schemeClr val="tx1"/>
              </a:solidFill>
              <a:effectLst/>
              <a:latin typeface="+mn-lt"/>
              <a:ea typeface="+mn-ea"/>
              <a:cs typeface="+mn-cs"/>
            </a:rPr>
            <a:t>Assets Turnover:</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Schneider generates €0.64 of revenue for every €1 of assets. This is below 1, which is typical for a capital-intensive industrial company like Schneider Electric. However, the ratio has been progressing since 2021 (0.53), indicating a gradual improvement in asset utilization.</a:t>
          </a:r>
        </a:p>
        <a:p>
          <a:r>
            <a:rPr lang="en-US" sz="1100" b="1" i="0">
              <a:solidFill>
                <a:schemeClr val="tx1"/>
              </a:solidFill>
              <a:effectLst/>
              <a:latin typeface="+mn-lt"/>
              <a:ea typeface="+mn-ea"/>
              <a:cs typeface="+mn-cs"/>
            </a:rPr>
            <a:t>Equity Multiplier: </a:t>
          </a:r>
          <a:r>
            <a:rPr lang="en-US" sz="1100" b="0" i="0" u="none" strike="noStrike">
              <a:solidFill>
                <a:schemeClr val="tx1"/>
              </a:solidFill>
              <a:effectLst/>
              <a:latin typeface="+mn-lt"/>
              <a:ea typeface="+mn-ea"/>
              <a:cs typeface="+mn-cs"/>
            </a:rPr>
            <a:t>With an EM of 2.56, Schneider Electric deploys €2.56 of assets for every €1 of shareholders' equity. This implies a D/E of approximately 1.56 (EM − 1), which indicates a </a:t>
          </a:r>
          <a:r>
            <a:rPr lang="en-US" sz="1100" b="0" i="0">
              <a:solidFill>
                <a:schemeClr val="tx1"/>
              </a:solidFill>
              <a:effectLst/>
              <a:latin typeface="+mn-lt"/>
              <a:ea typeface="+mn-ea"/>
              <a:cs typeface="+mn-cs"/>
            </a:rPr>
            <a:t>significant use of financial leverage</a:t>
          </a:r>
          <a:r>
            <a:rPr lang="en-US" sz="1100" b="0" i="0" u="none" strike="noStrike">
              <a:solidFill>
                <a:schemeClr val="tx1"/>
              </a:solidFill>
              <a:effectLst/>
              <a:latin typeface="+mn-lt"/>
              <a:ea typeface="+mn-ea"/>
              <a:cs typeface="+mn-cs"/>
            </a:rPr>
            <a:t>, meaning the company relies considerably on debt to finance its assets rather than purely on equity. The EM has risen from 1.94 in 2021, confirming that Schneider has been increasingly leveraging its balance sheet over the period, which amplifies ROE but also adds financial risk.</a:t>
          </a:r>
          <a:br>
            <a:rPr lang="en-US">
              <a:solidFill>
                <a:schemeClr val="tx1"/>
              </a:solidFill>
            </a:rPr>
          </a:br>
          <a:endParaRPr lang="en-US">
            <a:solidFill>
              <a:schemeClr val="tx1"/>
            </a:solidFill>
          </a:endParaRPr>
        </a:p>
        <a:p>
          <a:r>
            <a:rPr lang="en-US" b="1">
              <a:solidFill>
                <a:schemeClr val="tx1"/>
              </a:solidFill>
            </a:rPr>
            <a:t>Operating management</a:t>
          </a:r>
          <a:r>
            <a:rPr lang="en-US" b="1" baseline="0">
              <a:solidFill>
                <a:schemeClr val="tx1"/>
              </a:solidFill>
            </a:rPr>
            <a:t> - </a:t>
          </a:r>
          <a:r>
            <a:rPr lang="en-US" b="1">
              <a:solidFill>
                <a:schemeClr val="tx1"/>
              </a:solidFill>
            </a:rPr>
            <a:t>Profit margins</a:t>
          </a:r>
        </a:p>
        <a:p>
          <a:r>
            <a:rPr lang="en-US" sz="1100" b="1" i="0">
              <a:solidFill>
                <a:schemeClr val="tx1"/>
              </a:solidFill>
              <a:effectLst/>
              <a:latin typeface="+mn-lt"/>
              <a:ea typeface="+mn-ea"/>
              <a:cs typeface="+mn-cs"/>
            </a:rPr>
            <a:t>Gross Profit Margin:</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The gross margin of 42.08% is very strong (above 40% is excellent in many industries). It has been remarkably stable since 2021 (40.97%), which is a </a:t>
          </a:r>
          <a:r>
            <a:rPr lang="en-US" sz="1100" b="0" i="0" u="none" strike="noStrike">
              <a:solidFill>
                <a:schemeClr val="tx1"/>
              </a:solidFill>
              <a:effectLst/>
              <a:latin typeface="+mn-lt"/>
              <a:ea typeface="+mn-ea"/>
              <a:cs typeface="+mn-cs"/>
            </a:rPr>
            <a:t>strong sign of structural pricing power and good cost management.</a:t>
          </a:r>
          <a:endParaRPr lang="en-US" sz="1100" b="0" i="0">
            <a:solidFill>
              <a:schemeClr val="tx1"/>
            </a:solidFill>
            <a:effectLst/>
            <a:latin typeface="+mn-lt"/>
            <a:ea typeface="+mn-ea"/>
            <a:cs typeface="+mn-cs"/>
          </a:endParaRPr>
        </a:p>
        <a:p>
          <a:r>
            <a:rPr lang="en-US" sz="1100" b="1" i="0">
              <a:solidFill>
                <a:schemeClr val="tx1"/>
              </a:solidFill>
              <a:effectLst/>
              <a:latin typeface="+mn-lt"/>
              <a:ea typeface="+mn-ea"/>
              <a:cs typeface="+mn-cs"/>
            </a:rPr>
            <a:t>EBITDA Margin:</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An EBITDA margin of ~20% is a solid performance (above 20% is considered strong). It has grown from 18.78% in 2021, reflecting improved operational efficiency before depreciation and amortization charges.</a:t>
          </a:r>
        </a:p>
        <a:p>
          <a:r>
            <a:rPr lang="en-US" sz="1100" b="0" i="0" u="none" strike="noStrike">
              <a:solidFill>
                <a:schemeClr val="tx1"/>
              </a:solidFill>
              <a:effectLst/>
              <a:latin typeface="+mn-lt"/>
              <a:ea typeface="+mn-ea"/>
              <a:cs typeface="+mn-cs"/>
            </a:rPr>
            <a:t>The margin has been consistently improving since 2021 (18.78%), which signals a gradual but steady improvement in operational efficiency over the period.</a:t>
          </a:r>
          <a:endParaRPr lang="en-US" sz="1100" b="0" i="0">
            <a:solidFill>
              <a:schemeClr val="tx1"/>
            </a:solidFill>
            <a:effectLst/>
            <a:latin typeface="+mn-lt"/>
            <a:ea typeface="+mn-ea"/>
            <a:cs typeface="+mn-cs"/>
          </a:endParaRPr>
        </a:p>
        <a:p>
          <a:r>
            <a:rPr lang="en-US" sz="1100" b="1" i="0">
              <a:solidFill>
                <a:schemeClr val="tx1"/>
              </a:solidFill>
              <a:effectLst/>
              <a:latin typeface="+mn-lt"/>
              <a:ea typeface="+mn-ea"/>
              <a:cs typeface="+mn-cs"/>
            </a:rPr>
            <a:t>EBITA Margin: </a:t>
          </a:r>
          <a:r>
            <a:rPr lang="en-US" sz="1100" b="0" i="0" u="none" strike="noStrike">
              <a:solidFill>
                <a:schemeClr val="tx1"/>
              </a:solidFill>
              <a:effectLst/>
              <a:latin typeface="+mn-lt"/>
              <a:ea typeface="+mn-ea"/>
              <a:cs typeface="+mn-cs"/>
            </a:rPr>
            <a:t>Slightly lower than the EBITDA margin (17,82%/19.99%), as it includes depreciation charges. The ~2% gap reflects the significant weight of tangible asset depreciation for a capital-intensive company like Schneider Electric. The EBITA margin has grown from 16.40% in 2021, confirming a consistent improvement in core operating profitability. </a:t>
          </a:r>
        </a:p>
        <a:p>
          <a:r>
            <a:rPr lang="en-US" sz="1100" b="0" i="0" u="none" strike="noStrike">
              <a:solidFill>
                <a:schemeClr val="tx1"/>
              </a:solidFill>
              <a:effectLst/>
              <a:latin typeface="+mn-lt"/>
              <a:ea typeface="+mn-ea"/>
              <a:cs typeface="+mn-cs"/>
            </a:rPr>
            <a:t>Both margins tell the same story: Schneider is becoming more operationally efficient over time.</a:t>
          </a:r>
          <a:endParaRPr lang="en-US" sz="1100" b="0" i="0">
            <a:solidFill>
              <a:schemeClr val="tx1"/>
            </a:solidFill>
            <a:effectLst/>
            <a:latin typeface="+mn-lt"/>
            <a:ea typeface="+mn-ea"/>
            <a:cs typeface="+mn-cs"/>
          </a:endParaRPr>
        </a:p>
        <a:p>
          <a:r>
            <a:rPr lang="en-US" sz="1100" b="1" i="0">
              <a:solidFill>
                <a:schemeClr val="tx1"/>
              </a:solidFill>
              <a:effectLst/>
              <a:latin typeface="+mn-lt"/>
              <a:ea typeface="+mn-ea"/>
              <a:cs typeface="+mn-cs"/>
            </a:rPr>
            <a:t>EBIT Margin:</a:t>
          </a:r>
          <a:r>
            <a:rPr lang="en-US" sz="1100" b="1" i="0" baseline="0">
              <a:solidFill>
                <a:schemeClr val="tx1"/>
              </a:solidFill>
              <a:effectLst/>
              <a:latin typeface="+mn-lt"/>
              <a:ea typeface="+mn-ea"/>
              <a:cs typeface="+mn-cs"/>
            </a:rPr>
            <a:t> </a:t>
          </a:r>
          <a:r>
            <a:rPr lang="en-US" sz="1100" b="0" i="0" u="none" strike="noStrike">
              <a:solidFill>
                <a:schemeClr val="tx1"/>
              </a:solidFill>
              <a:effectLst/>
              <a:latin typeface="+mn-lt"/>
              <a:ea typeface="+mn-ea"/>
              <a:cs typeface="+mn-cs"/>
            </a:rPr>
            <a:t>The EBIT margin of 16.68% is very close to the EBITDA margin (19.99%), with a narrow gap of only ~3.3 points. Unlike a capital-intensive business where a large gap would indicate high depreciation charges, this small gap suggests that Schneider Electric carries a relatively </a:t>
          </a:r>
          <a:r>
            <a:rPr lang="en-US" sz="1100" b="0" i="0">
              <a:solidFill>
                <a:schemeClr val="tx1"/>
              </a:solidFill>
              <a:effectLst/>
              <a:latin typeface="+mn-lt"/>
              <a:ea typeface="+mn-ea"/>
              <a:cs typeface="+mn-cs"/>
            </a:rPr>
            <a:t>low D&amp;A burden</a:t>
          </a:r>
          <a:r>
            <a:rPr lang="en-US" sz="1100" b="0" i="0" u="none" strike="noStrike">
              <a:solidFill>
                <a:schemeClr val="tx1"/>
              </a:solidFill>
              <a:effectLst/>
              <a:latin typeface="+mn-lt"/>
              <a:ea typeface="+mn-ea"/>
              <a:cs typeface="+mn-cs"/>
            </a:rPr>
            <a:t> relative to its revenues. </a:t>
          </a:r>
        </a:p>
        <a:p>
          <a:br>
            <a:rPr lang="en-US">
              <a:solidFill>
                <a:schemeClr val="tx1"/>
              </a:solidFill>
            </a:rPr>
          </a:br>
          <a:r>
            <a:rPr lang="en-US" b="1">
              <a:solidFill>
                <a:schemeClr val="tx1"/>
              </a:solidFill>
            </a:rPr>
            <a:t>Working</a:t>
          </a:r>
          <a:r>
            <a:rPr lang="en-US" b="1" baseline="0">
              <a:solidFill>
                <a:schemeClr val="tx1"/>
              </a:solidFill>
            </a:rPr>
            <a:t> capital management</a:t>
          </a:r>
        </a:p>
        <a:p>
          <a:r>
            <a:rPr lang="en-US" sz="1100" b="1" i="0">
              <a:solidFill>
                <a:schemeClr val="tx1"/>
              </a:solidFill>
              <a:effectLst/>
              <a:latin typeface="+mn-lt"/>
              <a:ea typeface="+mn-ea"/>
              <a:cs typeface="+mn-cs"/>
            </a:rPr>
            <a:t>Days' Receivables (DSO):</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Schneider's customers take on average 88 days to pay. This is high (&gt;60 days is considered elevated</a:t>
          </a:r>
          <a:r>
            <a:rPr lang="en-US" sz="1100" b="0" i="0" baseline="0">
              <a:solidFill>
                <a:schemeClr val="tx1"/>
              </a:solidFill>
              <a:effectLst/>
              <a:latin typeface="+mn-lt"/>
              <a:ea typeface="+mn-ea"/>
              <a:cs typeface="+mn-cs"/>
            </a:rPr>
            <a:t> and &lt;30 days is ideal</a:t>
          </a:r>
          <a:r>
            <a:rPr lang="en-US" sz="1100" b="0" i="0">
              <a:solidFill>
                <a:schemeClr val="tx1"/>
              </a:solidFill>
              <a:effectLst/>
              <a:latin typeface="+mn-lt"/>
              <a:ea typeface="+mn-ea"/>
              <a:cs typeface="+mn-cs"/>
            </a:rPr>
            <a:t>), but fairly consistent with B2B industrial businesses that grant longer payment terms. The DSO is stable across the period.</a:t>
          </a:r>
        </a:p>
        <a:p>
          <a:r>
            <a:rPr lang="en-US" sz="1100" b="1" i="0">
              <a:solidFill>
                <a:schemeClr val="tx1"/>
              </a:solidFill>
              <a:effectLst/>
              <a:latin typeface="+mn-lt"/>
              <a:ea typeface="+mn-ea"/>
              <a:cs typeface="+mn-cs"/>
            </a:rPr>
            <a:t>Days' Inventories (DIO): </a:t>
          </a:r>
          <a:r>
            <a:rPr lang="en-US" sz="1100" b="0" i="0">
              <a:solidFill>
                <a:schemeClr val="tx1"/>
              </a:solidFill>
              <a:effectLst/>
              <a:latin typeface="+mn-lt"/>
              <a:ea typeface="+mn-ea"/>
              <a:cs typeface="+mn-cs"/>
            </a:rPr>
            <a:t>Schneider holds its inventory for about 83 days before selling it</a:t>
          </a:r>
          <a:r>
            <a:rPr lang="en-US" sz="1100" b="0" i="0" baseline="0">
              <a:solidFill>
                <a:schemeClr val="tx1"/>
              </a:solidFill>
              <a:effectLst/>
              <a:latin typeface="+mn-lt"/>
              <a:ea typeface="+mn-ea"/>
              <a:cs typeface="+mn-cs"/>
            </a:rPr>
            <a:t> which is very high</a:t>
          </a:r>
          <a:r>
            <a:rPr lang="en-US" sz="1100" b="0" i="0">
              <a:solidFill>
                <a:schemeClr val="tx1"/>
              </a:solidFill>
              <a:effectLst/>
              <a:latin typeface="+mn-lt"/>
              <a:ea typeface="+mn-ea"/>
              <a:cs typeface="+mn-cs"/>
            </a:rPr>
            <a:t>. A high DIO ties up capital in inventory and reduces efficiency</a:t>
          </a:r>
        </a:p>
        <a:p>
          <a:r>
            <a:rPr lang="en-US" sz="1100" b="1" i="0">
              <a:solidFill>
                <a:schemeClr val="tx1"/>
              </a:solidFill>
              <a:effectLst/>
              <a:latin typeface="+mn-lt"/>
              <a:ea typeface="+mn-ea"/>
              <a:cs typeface="+mn-cs"/>
            </a:rPr>
            <a:t>Days' Payables (DPO):</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Schneider takes ~144 days to pay its suppliers, which is very favorable. A high DPO means the company retains cash longer, reducing the need for external financing. The DPO has grown from 120.58 days in 2021, which is a positive sign for working capital management.</a:t>
          </a:r>
        </a:p>
        <a:p>
          <a:r>
            <a:rPr lang="en-US" sz="1100" b="1" i="0">
              <a:solidFill>
                <a:schemeClr val="tx1"/>
              </a:solidFill>
              <a:effectLst/>
              <a:latin typeface="+mn-lt"/>
              <a:ea typeface="+mn-ea"/>
              <a:cs typeface="+mn-cs"/>
            </a:rPr>
            <a:t>CCC:</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The Cash Conversion Cycle of ~27 days is acceptable. The CCC has improved from 48.25 days in 2021, driven mainly by the increase in DPO. The closer to 0 (or negative), the better, Schneider is moving in the right direction.</a:t>
          </a:r>
          <a:br>
            <a:rPr lang="en-US">
              <a:solidFill>
                <a:schemeClr val="tx1"/>
              </a:solidFill>
            </a:rPr>
          </a:br>
          <a:br>
            <a:rPr lang="en-US">
              <a:solidFill>
                <a:schemeClr val="tx1"/>
              </a:solidFill>
            </a:rPr>
          </a:br>
          <a:r>
            <a:rPr lang="en-US" b="1">
              <a:solidFill>
                <a:schemeClr val="tx1"/>
              </a:solidFill>
            </a:rPr>
            <a:t>Non-current</a:t>
          </a:r>
          <a:r>
            <a:rPr lang="en-US" b="1" baseline="0">
              <a:solidFill>
                <a:schemeClr val="tx1"/>
              </a:solidFill>
            </a:rPr>
            <a:t> asset management</a:t>
          </a:r>
          <a:endParaRPr lang="en-US">
            <a:solidFill>
              <a:schemeClr val="tx1"/>
            </a:solidFill>
          </a:endParaRPr>
        </a:p>
        <a:p>
          <a:r>
            <a:rPr lang="en-US" sz="1100" b="1" i="0">
              <a:solidFill>
                <a:schemeClr val="tx1"/>
              </a:solidFill>
              <a:effectLst/>
              <a:latin typeface="+mn-lt"/>
              <a:ea typeface="+mn-ea"/>
              <a:cs typeface="+mn-cs"/>
            </a:rPr>
            <a:t>PP&amp;E Turnover:</a:t>
          </a:r>
          <a:r>
            <a:rPr lang="en-US" sz="1100" b="1" i="0" baseline="0">
              <a:solidFill>
                <a:schemeClr val="tx1"/>
              </a:solidFill>
              <a:effectLst/>
              <a:latin typeface="+mn-lt"/>
              <a:ea typeface="+mn-ea"/>
              <a:cs typeface="+mn-cs"/>
            </a:rPr>
            <a:t> </a:t>
          </a:r>
          <a:r>
            <a:rPr lang="en-US" b="0">
              <a:solidFill>
                <a:schemeClr val="tx1"/>
              </a:solidFill>
            </a:rPr>
            <a:t>The PP&amp;E turnover of 7.33 means that Schneider Electric generates €7.33 of revenue for every €1 of net fixed assets. A high PP&amp;E turnover signals an efficient use of assets, while a low one indicates too much investment relative to sales. A ratio of 7.33 is therefore a strong level, confirming that Schneider uses its tangible assets efficiently to generate revenue. However, the ratio has slightly declined from 7.55 in 2021, which could suggest that recent capital investments have not yet fully translated into additional revenue.</a:t>
          </a:r>
          <a:br>
            <a:rPr lang="en-US">
              <a:solidFill>
                <a:schemeClr val="tx1"/>
              </a:solidFill>
            </a:rPr>
          </a:br>
          <a:endParaRPr lang="en-US">
            <a:solidFill>
              <a:schemeClr val="tx1"/>
            </a:solidFill>
          </a:endParaRPr>
        </a:p>
        <a:p>
          <a:r>
            <a:rPr lang="en-US" sz="1100" b="1" i="0">
              <a:solidFill>
                <a:schemeClr val="tx1"/>
              </a:solidFill>
              <a:effectLst/>
              <a:latin typeface="+mn-lt"/>
              <a:ea typeface="+mn-ea"/>
              <a:cs typeface="+mn-cs"/>
            </a:rPr>
            <a:t>Liquidity analysis</a:t>
          </a:r>
        </a:p>
        <a:p>
          <a:r>
            <a:rPr lang="en-US" sz="1100" b="1" i="0">
              <a:solidFill>
                <a:schemeClr val="tx1"/>
              </a:solidFill>
              <a:effectLst/>
              <a:latin typeface="+mn-lt"/>
              <a:ea typeface="+mn-ea"/>
              <a:cs typeface="+mn-cs"/>
            </a:rPr>
            <a:t>Current Ratio:</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The current ratio is 1.19, meaning Schneider can cover its current liabilities with its current assets. This is above 1, which is reassuring, but slightly below the healthy 1.5–2 range from the course. It improved from 108.5% in 2021 to a peak of 122.6% in 2024, before slightly declining in 2025 but still a stable and acceptable position.</a:t>
          </a:r>
        </a:p>
        <a:p>
          <a:r>
            <a:rPr lang="en-US" sz="1100" b="1" i="0">
              <a:solidFill>
                <a:schemeClr val="tx1"/>
              </a:solidFill>
              <a:effectLst/>
              <a:latin typeface="+mn-lt"/>
              <a:ea typeface="+mn-ea"/>
              <a:cs typeface="+mn-cs"/>
            </a:rPr>
            <a:t>Quick Ratio:</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The QR of 0.90 is below 1, which indicates a potential liquidity concern (between 1 and 1.5 is considered strong). This means that without selling inventory, Schneider cannot fully cover its short-term liabilities. The QR has been below 1 throughout the period, which is a structural feature of the company rather than a sudden deterioration.</a:t>
          </a:r>
        </a:p>
        <a:p>
          <a:r>
            <a:rPr lang="en-US" sz="1100" b="1" i="0">
              <a:solidFill>
                <a:schemeClr val="tx1"/>
              </a:solidFill>
              <a:effectLst/>
              <a:latin typeface="+mn-lt"/>
              <a:ea typeface="+mn-ea"/>
              <a:cs typeface="+mn-cs"/>
            </a:rPr>
            <a:t>Cash Ratio:</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The cash ratio of 0.25 is below 0.5, which means Schneider cannot cover its short-term obligations with cash alone. A low cash ratio is not necessarily bad,</a:t>
          </a:r>
          <a:r>
            <a:rPr lang="en-US" sz="1100" b="0" i="0" baseline="0">
              <a:solidFill>
                <a:schemeClr val="tx1"/>
              </a:solidFill>
              <a:effectLst/>
              <a:latin typeface="+mn-lt"/>
              <a:ea typeface="+mn-ea"/>
              <a:cs typeface="+mn-cs"/>
            </a:rPr>
            <a:t> in fact </a:t>
          </a:r>
          <a:r>
            <a:rPr lang="en-US" sz="1100" b="0" i="0">
              <a:solidFill>
                <a:schemeClr val="tx1"/>
              </a:solidFill>
              <a:effectLst/>
              <a:latin typeface="+mn-lt"/>
              <a:ea typeface="+mn-ea"/>
              <a:cs typeface="+mn-cs"/>
            </a:rPr>
            <a:t>many healthy companies have low cash ratios because holding excess cash reduces profitability. The ratio has improved slightly from 18.4% in 2021, showing a gradual strengthening of the cash position.</a:t>
          </a:r>
          <a:br>
            <a:rPr lang="en-US">
              <a:solidFill>
                <a:schemeClr val="tx1"/>
              </a:solidFill>
            </a:rPr>
          </a:br>
          <a:endParaRPr lang="en-US">
            <a:solidFill>
              <a:schemeClr val="tx1"/>
            </a:solidFill>
          </a:endParaRPr>
        </a:p>
        <a:p>
          <a:r>
            <a:rPr lang="en-US" sz="1100" b="1" i="0">
              <a:solidFill>
                <a:schemeClr val="tx1"/>
              </a:solidFill>
              <a:effectLst/>
              <a:latin typeface="+mn-lt"/>
              <a:ea typeface="+mn-ea"/>
              <a:cs typeface="+mn-cs"/>
            </a:rPr>
            <a:t>Solvency analysis</a:t>
          </a:r>
        </a:p>
        <a:p>
          <a:r>
            <a:rPr lang="en-US" sz="1100" b="1" i="0">
              <a:solidFill>
                <a:schemeClr val="tx1"/>
              </a:solidFill>
              <a:effectLst/>
              <a:latin typeface="+mn-lt"/>
              <a:ea typeface="+mn-ea"/>
              <a:cs typeface="+mn-cs"/>
            </a:rPr>
            <a:t>Debt-to-Equity:</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Schneider's D/E ratio stands at 0.73 in 2025, meaning total debt represents 73.1% of shareholders' equity. This is in the moderate-to-high range (above 0.6 which</a:t>
          </a:r>
          <a:r>
            <a:rPr lang="en-US" sz="1100" b="0" i="0" baseline="0">
              <a:solidFill>
                <a:schemeClr val="tx1"/>
              </a:solidFill>
              <a:effectLst/>
              <a:latin typeface="+mn-lt"/>
              <a:ea typeface="+mn-ea"/>
              <a:cs typeface="+mn-cs"/>
            </a:rPr>
            <a:t> </a:t>
          </a:r>
          <a:r>
            <a:rPr lang="en-US" sz="1100" b="0" i="0">
              <a:solidFill>
                <a:schemeClr val="tx1"/>
              </a:solidFill>
              <a:effectLst/>
              <a:latin typeface="+mn-lt"/>
              <a:ea typeface="+mn-ea"/>
              <a:cs typeface="+mn-cs"/>
            </a:rPr>
            <a:t>signals a high debt = vulnerability</a:t>
          </a:r>
          <a:r>
            <a:rPr lang="en-US" sz="1100" b="0" i="0" baseline="0">
              <a:solidFill>
                <a:schemeClr val="tx1"/>
              </a:solidFill>
              <a:effectLst/>
              <a:latin typeface="+mn-lt"/>
              <a:ea typeface="+mn-ea"/>
              <a:cs typeface="+mn-cs"/>
            </a:rPr>
            <a:t> signal </a:t>
          </a:r>
          <a:r>
            <a:rPr lang="en-US" sz="1100" b="0" i="0" u="none" strike="noStrike">
              <a:solidFill>
                <a:schemeClr val="tx1"/>
              </a:solidFill>
              <a:effectLst/>
              <a:latin typeface="+mn-lt"/>
              <a:ea typeface="+mn-ea"/>
              <a:cs typeface="+mn-cs"/>
            </a:rPr>
            <a:t>as the company uses more debt than what is considered comfortable</a:t>
          </a:r>
          <a:r>
            <a:rPr lang="en-US" sz="1100" b="0" i="0">
              <a:solidFill>
                <a:schemeClr val="tx1"/>
              </a:solidFill>
              <a:effectLst/>
              <a:latin typeface="+mn-lt"/>
              <a:ea typeface="+mn-ea"/>
              <a:cs typeface="+mn-cs"/>
            </a:rPr>
            <a:t>). It has risen sharply from 34.7% in 2021, which reflects a significant increase in debt financing over the period</a:t>
          </a:r>
        </a:p>
        <a:p>
          <a:r>
            <a:rPr lang="en-US" sz="1100" b="1" i="0">
              <a:solidFill>
                <a:schemeClr val="tx1"/>
              </a:solidFill>
              <a:effectLst/>
              <a:latin typeface="+mn-lt"/>
              <a:ea typeface="+mn-ea"/>
              <a:cs typeface="+mn-cs"/>
            </a:rPr>
            <a:t>Total Debt Ratio:</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The TDR of 0.28 means that 28.6% of total assets are financed by debt. This falls in the low-to-moderate range (between 20% and 40% ), indicating a solid solvency position. The TDR has grown from 17.9% in 2021, but remains at an acceptable level. </a:t>
          </a:r>
          <a:r>
            <a:rPr lang="en-US">
              <a:solidFill>
                <a:schemeClr val="tx1"/>
              </a:solidFill>
            </a:rPr>
            <a:t>This upward trend signals that Schneider has </a:t>
          </a:r>
          <a:r>
            <a:rPr lang="en-US" b="0">
              <a:solidFill>
                <a:schemeClr val="tx1"/>
              </a:solidFill>
            </a:rPr>
            <a:t>been increasingly relying on debt to </a:t>
          </a:r>
          <a:r>
            <a:rPr lang="en-US">
              <a:solidFill>
                <a:schemeClr val="tx1"/>
              </a:solidFill>
            </a:rPr>
            <a:t>finance its asset base, likely to fund acquisitions or strategic investments. While the current level remains comfortable and well below the 0.6 warning, the pace of increase is worth monitoring. If this trend continues, Schneider could progressively move into a higher-risk zone where creditors may start perceiving greater default risk</a:t>
          </a:r>
          <a:endParaRPr lang="en-US" sz="1100" b="0" i="0">
            <a:solidFill>
              <a:schemeClr val="tx1"/>
            </a:solidFill>
            <a:effectLst/>
            <a:latin typeface="+mn-lt"/>
            <a:ea typeface="+mn-ea"/>
            <a:cs typeface="+mn-cs"/>
          </a:endParaRPr>
        </a:p>
        <a:p>
          <a:r>
            <a:rPr lang="en-US" sz="1100" b="1" i="0">
              <a:solidFill>
                <a:schemeClr val="tx1"/>
              </a:solidFill>
              <a:effectLst/>
              <a:latin typeface="+mn-lt"/>
              <a:ea typeface="+mn-ea"/>
              <a:cs typeface="+mn-cs"/>
            </a:rPr>
            <a:t>Interest Coverage Ratio:</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With an ICR of 14.16, Schneider generates 14x its interest expense in operating profit. This is very strong (above 5 is excellent). It has however declined from 43.75 in 2021, suggesting that interest expenses have increased significantly, likely due to higher debt levels. Despite the downward trend, the company remains very comfortable in meeting its debt obligations.</a:t>
          </a:r>
        </a:p>
        <a:p>
          <a:r>
            <a:rPr lang="en-US" sz="1100" b="1" i="0">
              <a:solidFill>
                <a:schemeClr val="tx1"/>
              </a:solidFill>
              <a:effectLst/>
              <a:latin typeface="+mn-lt"/>
              <a:ea typeface="+mn-ea"/>
              <a:cs typeface="+mn-cs"/>
            </a:rPr>
            <a:t>Net Debt-to-EBITDA:</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This ratio of 1.86 means it would take Schneider ~1.86 years of EBITDA to repay its net debt. This is a good level (between 1 and 2 is considered healthy). It has increased from 1.07 in 2024 and 1.77 in 2021, signaling a slight uptick in leverage, but still remains manageable.</a:t>
          </a:r>
        </a:p>
        <a:p>
          <a:endParaRPr lang="en-US">
            <a:solidFill>
              <a:schemeClr val="tx1"/>
            </a:solidFill>
          </a:endParaRPr>
        </a:p>
        <a:p>
          <a:r>
            <a:rPr lang="fr-FR" sz="1100" b="1" i="0">
              <a:solidFill>
                <a:schemeClr val="tx1"/>
              </a:solidFill>
              <a:effectLst/>
              <a:latin typeface="+mn-lt"/>
              <a:ea typeface="+mn-ea"/>
              <a:cs typeface="+mn-cs"/>
            </a:rPr>
            <a:t>Investors and shareholders</a:t>
          </a:r>
          <a:r>
            <a:rPr lang="fr-FR" sz="1100" b="1" i="0" baseline="0">
              <a:solidFill>
                <a:schemeClr val="tx1"/>
              </a:solidFill>
              <a:effectLst/>
              <a:latin typeface="+mn-lt"/>
              <a:ea typeface="+mn-ea"/>
              <a:cs typeface="+mn-cs"/>
            </a:rPr>
            <a:t> ratios</a:t>
          </a:r>
          <a:endParaRPr lang="en-US" sz="1100" b="1" i="0">
            <a:solidFill>
              <a:schemeClr val="tx1"/>
            </a:solidFill>
            <a:effectLst/>
            <a:latin typeface="+mn-lt"/>
            <a:ea typeface="+mn-ea"/>
            <a:cs typeface="+mn-cs"/>
          </a:endParaRPr>
        </a:p>
        <a:p>
          <a:r>
            <a:rPr lang="en-US" sz="1100" b="1" i="0">
              <a:solidFill>
                <a:schemeClr val="tx1"/>
              </a:solidFill>
              <a:effectLst/>
              <a:latin typeface="+mn-lt"/>
              <a:ea typeface="+mn-ea"/>
              <a:cs typeface="+mn-cs"/>
            </a:rPr>
            <a:t>Dividend Payout Ratio:</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Schneider pays out 52.63% of its net income as dividends. This is a moderate-to-high payout (between 30–60% is considered balanced), typical of a mature, stable industrial company. The DPR has been stable since 2021 (45.16%), showing a consistent and shareholder-friendly dividend policy.</a:t>
          </a:r>
        </a:p>
        <a:p>
          <a:r>
            <a:rPr lang="en-US" sz="1100" b="1" i="0">
              <a:solidFill>
                <a:schemeClr val="tx1"/>
              </a:solidFill>
              <a:effectLst/>
              <a:latin typeface="+mn-lt"/>
              <a:ea typeface="+mn-ea"/>
              <a:cs typeface="+mn-cs"/>
            </a:rPr>
            <a:t>Dividend Yield:</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The DY of 1.66% is low (below 3% is considerate low). This means the dividend return relative to the share price is limited. However, the low yield partly reflects the strong appreciation of Schneider's share price (from €172.46 in 2021 to €234.9 in 2025), which mechanically lowers the yield</a:t>
          </a:r>
          <a:r>
            <a:rPr lang="en-US" sz="1100" b="0" i="0" baseline="0">
              <a:solidFill>
                <a:schemeClr val="tx1"/>
              </a:solidFill>
              <a:effectLst/>
              <a:latin typeface="+mn-lt"/>
              <a:ea typeface="+mn-ea"/>
              <a:cs typeface="+mn-cs"/>
            </a:rPr>
            <a:t> but f</a:t>
          </a:r>
          <a:r>
            <a:rPr lang="en-US" sz="1100" b="0" i="0">
              <a:solidFill>
                <a:schemeClr val="tx1"/>
              </a:solidFill>
              <a:effectLst/>
              <a:latin typeface="+mn-lt"/>
              <a:ea typeface="+mn-ea"/>
              <a:cs typeface="+mn-cs"/>
            </a:rPr>
            <a:t>or growth investors, this is not necessarily negative.</a:t>
          </a:r>
        </a:p>
        <a:p>
          <a:r>
            <a:rPr lang="en-US" sz="1100" b="1" i="0">
              <a:solidFill>
                <a:schemeClr val="tx1"/>
              </a:solidFill>
              <a:effectLst/>
              <a:latin typeface="+mn-lt"/>
              <a:ea typeface="+mn-ea"/>
              <a:cs typeface="+mn-cs"/>
            </a:rPr>
            <a:t>Earnings Per Share:</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EPS stands at €7.4 in 2025, up from €5.8 in 2021. This is a clear growing EPS trend, which signals improving profitability and operational efficiency. It is a strong positive signal for shareholders.</a:t>
          </a:r>
        </a:p>
        <a:p>
          <a:r>
            <a:rPr lang="en-US" sz="1100" b="1" i="0">
              <a:solidFill>
                <a:schemeClr val="tx1"/>
              </a:solidFill>
              <a:effectLst/>
              <a:latin typeface="+mn-lt"/>
              <a:ea typeface="+mn-ea"/>
              <a:cs typeface="+mn-cs"/>
            </a:rPr>
            <a:t>P/E Ratio:</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The P/E ratio of 31.7 is high (above 20 is considered). The market is willing to pay €31.7 for every €1 of earnings, which reflects strong investor confidence in Schneider's future growth prospects. It has remained elevated since 2024 (31.7), and increased significantly from 29.9 in 2021.</a:t>
          </a:r>
        </a:p>
        <a:p>
          <a:r>
            <a:rPr lang="en-US" sz="1100" b="1" i="0">
              <a:solidFill>
                <a:schemeClr val="tx1"/>
              </a:solidFill>
              <a:effectLst/>
              <a:latin typeface="+mn-lt"/>
              <a:ea typeface="+mn-ea"/>
              <a:cs typeface="+mn-cs"/>
            </a:rPr>
            <a:t>P/B Ratio:</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The P/B of 5.4 means the market values Schneider at 5.4 times its book value. This is well above 2 (above 2 is generally considered high), suggesting the market attributes significant intangible value to the company  (brand, technology, market position). The P/B has grown steadily from 3.4 in 2021, confirming the market's growing confidence in Schneider Electric.</a:t>
          </a:r>
        </a:p>
        <a:p>
          <a:br>
            <a:rPr lang="en-US">
              <a:solidFill>
                <a:schemeClr val="tx1"/>
              </a:solidFill>
            </a:rPr>
          </a:br>
          <a:r>
            <a:rPr lang="en-US" sz="1100" b="1" i="0">
              <a:solidFill>
                <a:schemeClr val="tx1"/>
              </a:solidFill>
              <a:effectLst/>
              <a:latin typeface="+mn-lt"/>
              <a:ea typeface="+mn-ea"/>
              <a:cs typeface="+mn-cs"/>
            </a:rPr>
            <a:t>Valuation multiples</a:t>
          </a:r>
        </a:p>
        <a:p>
          <a:r>
            <a:rPr lang="en-US" sz="1100" b="1" i="0">
              <a:solidFill>
                <a:schemeClr val="tx1"/>
              </a:solidFill>
              <a:effectLst/>
              <a:latin typeface="+mn-lt"/>
              <a:ea typeface="+mn-ea"/>
              <a:cs typeface="+mn-cs"/>
            </a:rPr>
            <a:t>EV/EBITDA:</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An EV/EBITDA of 18.3 is above the typical healthy range (3–5, with &gt;5 being high). This</a:t>
          </a:r>
          <a:r>
            <a:rPr lang="en-US" sz="1100" b="0" i="0" baseline="0">
              <a:solidFill>
                <a:schemeClr val="tx1"/>
              </a:solidFill>
              <a:effectLst/>
              <a:latin typeface="+mn-lt"/>
              <a:ea typeface="+mn-ea"/>
              <a:cs typeface="+mn-cs"/>
            </a:rPr>
            <a:t> indicate a </a:t>
          </a:r>
          <a:r>
            <a:rPr lang="en-US" b="0">
              <a:solidFill>
                <a:schemeClr val="tx1"/>
              </a:solidFill>
            </a:rPr>
            <a:t>significant market premium.</a:t>
          </a:r>
          <a:r>
            <a:rPr lang="en-US" sz="1100" b="0" i="0">
              <a:solidFill>
                <a:schemeClr val="tx1"/>
              </a:solidFill>
              <a:effectLst/>
              <a:latin typeface="+mn-lt"/>
              <a:ea typeface="+mn-ea"/>
              <a:cs typeface="+mn-cs"/>
            </a:rPr>
            <a:t> </a:t>
          </a:r>
          <a:r>
            <a:rPr lang="en-US">
              <a:solidFill>
                <a:schemeClr val="tx1"/>
              </a:solidFill>
            </a:rPr>
            <a:t>It reflects strong investor confidence in Schneider's future earnings potential and growth prospects. The ratio has remained broadly stable since 2021, suggesting the market has consistently valued the company at a premium over the period.</a:t>
          </a:r>
          <a:endParaRPr lang="en-US" b="1">
            <a:solidFill>
              <a:schemeClr val="tx1"/>
            </a:solidFill>
          </a:endParaRPr>
        </a:p>
        <a:p>
          <a:r>
            <a:rPr lang="en-US" b="1">
              <a:solidFill>
                <a:schemeClr val="tx1"/>
              </a:solidFill>
            </a:rPr>
            <a:t>EV/EBITA:</a:t>
          </a:r>
          <a:r>
            <a:rPr lang="en-US" b="1" baseline="0">
              <a:solidFill>
                <a:schemeClr val="tx1"/>
              </a:solidFill>
            </a:rPr>
            <a:t> </a:t>
          </a:r>
          <a:r>
            <a:rPr lang="en-US" b="0">
              <a:solidFill>
                <a:schemeClr val="tx1"/>
              </a:solidFill>
            </a:rPr>
            <a:t>The EV/EBITA of 20.5 is slightly higher than the EV/EBITDA, as EBITA is smaller (it already deducts depreciation). The ~2.2 point gap between the two multiples is consistent with the narrow EBITDA-to-EBIT gap observed earlier, confirming Schneider's relatively low depreciation burden. Both multiples tell the same story: the market places a high valuation on Schneider Electric, well above typical industrial benchmarks, which is consistent with the company's strong fundamentals, market leadership in energy management, and its strategic positioning in high-growth sectors like electrification and digital automation.</a:t>
          </a:r>
          <a:endParaRPr lang="en-US" sz="1100" b="0" i="0">
            <a:solidFill>
              <a:schemeClr val="tx1"/>
            </a:solidFill>
            <a:effectLst/>
            <a:latin typeface="+mn-lt"/>
            <a:ea typeface="+mn-ea"/>
            <a:cs typeface="+mn-cs"/>
          </a:endParaRPr>
        </a:p>
        <a:p>
          <a:r>
            <a:rPr lang="en-US" sz="1100" b="1" i="0">
              <a:solidFill>
                <a:schemeClr val="tx1"/>
              </a:solidFill>
              <a:effectLst/>
              <a:latin typeface="+mn-lt"/>
              <a:ea typeface="+mn-ea"/>
              <a:cs typeface="+mn-cs"/>
            </a:rPr>
            <a:t>ROCE:</a:t>
          </a:r>
          <a:r>
            <a:rPr lang="en-US" sz="1100" b="1" i="0" baseline="0">
              <a:solidFill>
                <a:schemeClr val="tx1"/>
              </a:solidFill>
              <a:effectLst/>
              <a:latin typeface="+mn-lt"/>
              <a:ea typeface="+mn-ea"/>
              <a:cs typeface="+mn-cs"/>
            </a:rPr>
            <a:t> </a:t>
          </a:r>
          <a:r>
            <a:rPr lang="en-US" sz="1100" b="0" i="0">
              <a:solidFill>
                <a:schemeClr val="tx1"/>
              </a:solidFill>
              <a:effectLst/>
              <a:latin typeface="+mn-lt"/>
              <a:ea typeface="+mn-ea"/>
              <a:cs typeface="+mn-cs"/>
            </a:rPr>
            <a:t>The Return on Capital Employed of 12.1% has improved from 8.3% in 2021. This indicates that Schneider is generating increasingly better returns on the total capital deployed in the business.</a:t>
          </a:r>
          <a:r>
            <a:rPr lang="en-US" sz="1100" b="0" i="0" baseline="0">
              <a:solidFill>
                <a:schemeClr val="tx1"/>
              </a:solidFill>
              <a:effectLst/>
              <a:latin typeface="+mn-lt"/>
              <a:ea typeface="+mn-ea"/>
              <a:cs typeface="+mn-cs"/>
            </a:rPr>
            <a:t> It is</a:t>
          </a:r>
          <a:r>
            <a:rPr lang="en-US" sz="1100" b="0" i="0">
              <a:solidFill>
                <a:schemeClr val="tx1"/>
              </a:solidFill>
              <a:effectLst/>
              <a:latin typeface="+mn-lt"/>
              <a:ea typeface="+mn-ea"/>
              <a:cs typeface="+mn-cs"/>
            </a:rPr>
            <a:t> a strong positive signal for long-term investors.</a:t>
          </a:r>
        </a:p>
        <a:p>
          <a:endParaRPr lang="en-US" sz="1100"/>
        </a:p>
      </xdr:txBody>
    </xdr:sp>
    <xdr:clientData/>
  </xdr:twoCellAnchor>
  <xdr:twoCellAnchor editAs="oneCell">
    <xdr:from>
      <xdr:col>0</xdr:col>
      <xdr:colOff>0</xdr:colOff>
      <xdr:row>0</xdr:row>
      <xdr:rowOff>0</xdr:rowOff>
    </xdr:from>
    <xdr:to>
      <xdr:col>1</xdr:col>
      <xdr:colOff>4105275</xdr:colOff>
      <xdr:row>38</xdr:row>
      <xdr:rowOff>15306</xdr:rowOff>
    </xdr:to>
    <xdr:pic>
      <xdr:nvPicPr>
        <xdr:cNvPr id="4" name="Image 3">
          <a:extLst>
            <a:ext uri="{FF2B5EF4-FFF2-40B4-BE49-F238E27FC236}">
              <a16:creationId xmlns:a16="http://schemas.microsoft.com/office/drawing/2014/main" id="{0C33D445-E787-4F71-AC40-7666BFF109DA}"/>
            </a:ext>
            <a:ext uri="{147F2762-F138-4A5C-976F-8EAC2B608ADB}">
              <a16:predDERef xmlns:a16="http://schemas.microsoft.com/office/drawing/2014/main" pred="{875C36F2-61FD-AD9D-28E3-A3A82909A221}"/>
            </a:ext>
          </a:extLst>
        </xdr:cNvPr>
        <xdr:cNvPicPr>
          <a:picLocks noChangeAspect="1"/>
        </xdr:cNvPicPr>
      </xdr:nvPicPr>
      <xdr:blipFill>
        <a:blip xmlns:r="http://schemas.openxmlformats.org/officeDocument/2006/relationships" r:embed="rId1"/>
        <a:stretch>
          <a:fillRect/>
        </a:stretch>
      </xdr:blipFill>
      <xdr:spPr>
        <a:xfrm rot="16235809">
          <a:off x="-1219200" y="1219200"/>
          <a:ext cx="7305675" cy="48672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0E322A3-E9FC-BF4E-BCBC-EF2C898CC27C}">
  <we:reference id="WA200009404" version="1.0.0.8" store="Omex" storeType="OMEX"/>
  <we:alternateReferences>
    <we:reference id="WA200009404" version="1.0.0.8" store="WA200009404" storeType="OMEX"/>
  </we:alternateReferences>
  <we:properties>
    <we:property name="claude.fileId" value="&quot;9b7ece1b-72bc-49a7-8697-fda8238994a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A032E-D82B-48DF-BAD4-E9A8DD86D028}">
  <sheetPr>
    <tabColor theme="9" tint="-0.499984740745262"/>
  </sheetPr>
  <dimension ref="A1:S18"/>
  <sheetViews>
    <sheetView showGridLines="0" workbookViewId="0">
      <selection activeCell="A17" sqref="A17:G17"/>
    </sheetView>
  </sheetViews>
  <sheetFormatPr baseColWidth="10" defaultColWidth="9.1640625" defaultRowHeight="15" x14ac:dyDescent="0.2"/>
  <cols>
    <col min="1" max="16384" width="9.1640625" style="78"/>
  </cols>
  <sheetData>
    <row r="1" spans="1:19" x14ac:dyDescent="0.2">
      <c r="A1" s="290"/>
      <c r="B1" s="290"/>
      <c r="C1" s="290"/>
      <c r="D1" s="290"/>
      <c r="E1" s="290"/>
      <c r="F1" s="290"/>
      <c r="G1" s="290"/>
      <c r="H1" s="290"/>
      <c r="I1" s="290"/>
      <c r="J1" s="290"/>
      <c r="K1" s="290"/>
      <c r="L1" s="290"/>
      <c r="M1" s="290"/>
      <c r="N1" s="290"/>
      <c r="O1" s="290"/>
      <c r="P1" s="290"/>
      <c r="Q1" s="290"/>
      <c r="R1" s="290"/>
      <c r="S1" s="290"/>
    </row>
    <row r="2" spans="1:19" x14ac:dyDescent="0.2">
      <c r="A2" s="290"/>
      <c r="B2" s="290"/>
      <c r="C2" s="290"/>
      <c r="D2" s="290"/>
      <c r="E2" s="290"/>
      <c r="F2" s="290"/>
      <c r="G2" s="290"/>
      <c r="H2" s="290"/>
      <c r="I2" s="290"/>
      <c r="J2" s="290"/>
      <c r="K2" s="290"/>
      <c r="L2" s="290"/>
      <c r="M2" s="290"/>
      <c r="N2" s="290"/>
      <c r="O2" s="290"/>
      <c r="P2" s="290"/>
      <c r="Q2" s="290"/>
      <c r="R2" s="290"/>
      <c r="S2" s="290"/>
    </row>
    <row r="3" spans="1:19" x14ac:dyDescent="0.2">
      <c r="A3" s="290"/>
      <c r="B3" s="290"/>
      <c r="C3" s="290"/>
      <c r="D3" s="290"/>
      <c r="E3" s="290"/>
      <c r="F3" s="290"/>
      <c r="G3" s="290"/>
      <c r="H3" s="290"/>
      <c r="I3" s="290"/>
      <c r="J3" s="290"/>
      <c r="K3" s="290"/>
      <c r="L3" s="290"/>
      <c r="M3" s="290"/>
      <c r="N3" s="290"/>
      <c r="O3" s="290"/>
      <c r="P3" s="290"/>
      <c r="Q3" s="290"/>
      <c r="R3" s="290"/>
      <c r="S3" s="290"/>
    </row>
    <row r="4" spans="1:19" x14ac:dyDescent="0.2">
      <c r="A4" s="290"/>
      <c r="B4" s="290"/>
      <c r="C4" s="290"/>
      <c r="D4" s="290"/>
      <c r="E4" s="290"/>
      <c r="F4" s="290"/>
      <c r="G4" s="290"/>
      <c r="H4" s="290"/>
      <c r="I4" s="290"/>
      <c r="J4" s="290"/>
      <c r="K4" s="290"/>
      <c r="L4" s="290"/>
      <c r="M4" s="290"/>
      <c r="N4" s="290"/>
      <c r="O4" s="290"/>
      <c r="P4" s="290"/>
      <c r="Q4" s="290"/>
      <c r="R4" s="290"/>
      <c r="S4" s="290"/>
    </row>
    <row r="5" spans="1:19" x14ac:dyDescent="0.2">
      <c r="A5" s="290"/>
      <c r="B5" s="290"/>
      <c r="C5" s="290"/>
      <c r="D5" s="290"/>
      <c r="E5" s="290"/>
      <c r="F5" s="290"/>
      <c r="G5" s="290"/>
      <c r="H5" s="290"/>
      <c r="I5" s="290"/>
      <c r="J5" s="290"/>
      <c r="K5" s="290"/>
      <c r="L5" s="290"/>
      <c r="M5" s="290"/>
      <c r="N5" s="290"/>
      <c r="O5" s="290"/>
      <c r="P5" s="290"/>
      <c r="Q5" s="290"/>
      <c r="R5" s="290"/>
      <c r="S5" s="290"/>
    </row>
    <row r="6" spans="1:19" x14ac:dyDescent="0.2">
      <c r="A6" s="290"/>
      <c r="B6" s="290"/>
      <c r="C6" s="290"/>
      <c r="D6" s="290"/>
      <c r="E6" s="290"/>
      <c r="F6" s="290"/>
      <c r="G6" s="290"/>
      <c r="H6" s="290"/>
      <c r="I6" s="290"/>
      <c r="J6" s="290"/>
      <c r="K6" s="290"/>
      <c r="L6" s="290"/>
      <c r="M6" s="290"/>
      <c r="N6" s="290"/>
      <c r="O6" s="290"/>
      <c r="P6" s="290"/>
      <c r="Q6" s="290"/>
      <c r="R6" s="290"/>
      <c r="S6" s="290"/>
    </row>
    <row r="7" spans="1:19" x14ac:dyDescent="0.2">
      <c r="A7" s="290"/>
      <c r="B7" s="290"/>
      <c r="C7" s="290"/>
      <c r="D7" s="290"/>
      <c r="E7" s="290"/>
      <c r="F7" s="290"/>
      <c r="G7" s="290"/>
      <c r="H7" s="290"/>
      <c r="I7" s="402" t="s">
        <v>0</v>
      </c>
      <c r="J7" s="403"/>
      <c r="K7" s="403"/>
      <c r="L7" s="403"/>
      <c r="M7" s="403"/>
      <c r="N7" s="403"/>
      <c r="O7" s="403"/>
      <c r="P7" s="403"/>
      <c r="Q7" s="403"/>
      <c r="R7" s="404"/>
      <c r="S7" s="290"/>
    </row>
    <row r="8" spans="1:19" x14ac:dyDescent="0.2">
      <c r="A8" s="290"/>
      <c r="B8" s="290"/>
      <c r="C8" s="290"/>
      <c r="D8" s="290"/>
      <c r="E8" s="290"/>
      <c r="F8" s="290"/>
      <c r="G8" s="290"/>
      <c r="H8" s="290"/>
      <c r="I8" s="405"/>
      <c r="J8" s="406"/>
      <c r="K8" s="406"/>
      <c r="L8" s="406"/>
      <c r="M8" s="406"/>
      <c r="N8" s="406"/>
      <c r="O8" s="406"/>
      <c r="P8" s="406"/>
      <c r="Q8" s="406"/>
      <c r="R8" s="407"/>
      <c r="S8" s="290"/>
    </row>
    <row r="9" spans="1:19" x14ac:dyDescent="0.2">
      <c r="A9" s="290"/>
      <c r="B9" s="290"/>
      <c r="C9" s="290"/>
      <c r="D9" s="290"/>
      <c r="E9" s="290"/>
      <c r="F9" s="290"/>
      <c r="G9" s="290"/>
      <c r="H9" s="290"/>
      <c r="I9" s="405"/>
      <c r="J9" s="406"/>
      <c r="K9" s="406"/>
      <c r="L9" s="406"/>
      <c r="M9" s="406"/>
      <c r="N9" s="406"/>
      <c r="O9" s="406"/>
      <c r="P9" s="406"/>
      <c r="Q9" s="406"/>
      <c r="R9" s="407"/>
      <c r="S9" s="290"/>
    </row>
    <row r="10" spans="1:19" x14ac:dyDescent="0.2">
      <c r="A10" s="290"/>
      <c r="B10" s="290"/>
      <c r="C10" s="290"/>
      <c r="D10" s="290"/>
      <c r="E10" s="290"/>
      <c r="F10" s="290"/>
      <c r="G10" s="290"/>
      <c r="H10" s="290"/>
      <c r="I10" s="405"/>
      <c r="J10" s="406"/>
      <c r="K10" s="406"/>
      <c r="L10" s="406"/>
      <c r="M10" s="406"/>
      <c r="N10" s="406"/>
      <c r="O10" s="406"/>
      <c r="P10" s="406"/>
      <c r="Q10" s="406"/>
      <c r="R10" s="407"/>
      <c r="S10" s="290"/>
    </row>
    <row r="11" spans="1:19" x14ac:dyDescent="0.2">
      <c r="A11" s="290"/>
      <c r="B11" s="290"/>
      <c r="C11" s="290"/>
      <c r="D11" s="290"/>
      <c r="E11" s="290"/>
      <c r="F11" s="290"/>
      <c r="G11" s="290"/>
      <c r="H11" s="290"/>
      <c r="I11" s="408"/>
      <c r="J11" s="409"/>
      <c r="K11" s="409"/>
      <c r="L11" s="409"/>
      <c r="M11" s="409"/>
      <c r="N11" s="409"/>
      <c r="O11" s="409"/>
      <c r="P11" s="409"/>
      <c r="Q11" s="409"/>
      <c r="R11" s="410"/>
      <c r="S11" s="290"/>
    </row>
    <row r="12" spans="1:19" x14ac:dyDescent="0.2">
      <c r="A12" s="290"/>
      <c r="B12" s="290"/>
      <c r="C12" s="290"/>
      <c r="D12" s="290"/>
      <c r="E12" s="290"/>
      <c r="F12" s="290"/>
      <c r="G12" s="290"/>
      <c r="H12" s="290"/>
      <c r="I12" s="290"/>
      <c r="J12" s="290"/>
      <c r="K12" s="290"/>
      <c r="L12" s="290"/>
      <c r="M12" s="290"/>
      <c r="N12" s="290"/>
      <c r="O12" s="290"/>
      <c r="P12" s="290"/>
      <c r="Q12" s="290"/>
      <c r="R12" s="290"/>
      <c r="S12" s="290"/>
    </row>
    <row r="13" spans="1:19" x14ac:dyDescent="0.2">
      <c r="A13" s="290"/>
      <c r="B13" s="290"/>
      <c r="C13" s="290"/>
      <c r="D13" s="290"/>
      <c r="E13" s="290"/>
      <c r="F13" s="290"/>
      <c r="G13" s="290"/>
      <c r="H13" s="290"/>
      <c r="I13" s="290"/>
      <c r="J13" s="290"/>
      <c r="K13" s="290"/>
      <c r="L13" s="290"/>
      <c r="M13" s="290"/>
      <c r="N13" s="290"/>
      <c r="O13" s="290"/>
      <c r="P13" s="290"/>
      <c r="Q13" s="290"/>
      <c r="R13" s="290"/>
      <c r="S13" s="290"/>
    </row>
    <row r="14" spans="1:19" x14ac:dyDescent="0.2">
      <c r="A14" s="290"/>
      <c r="B14" s="290"/>
      <c r="C14" s="290"/>
      <c r="D14" s="290"/>
      <c r="E14" s="290"/>
      <c r="F14" s="290"/>
      <c r="G14" s="290"/>
      <c r="H14" s="290"/>
      <c r="I14" s="290"/>
      <c r="J14" s="290"/>
      <c r="K14" s="290"/>
      <c r="L14" s="290"/>
      <c r="M14" s="290"/>
      <c r="N14" s="290"/>
      <c r="O14" s="290"/>
      <c r="P14" s="290"/>
      <c r="Q14" s="290"/>
      <c r="R14" s="290"/>
      <c r="S14" s="290"/>
    </row>
    <row r="15" spans="1:19" x14ac:dyDescent="0.2">
      <c r="A15" s="290"/>
      <c r="B15" s="290"/>
      <c r="C15" s="290"/>
      <c r="D15" s="290"/>
      <c r="E15" s="290"/>
      <c r="F15" s="290"/>
      <c r="G15" s="290"/>
      <c r="H15" s="290"/>
      <c r="I15" s="290"/>
      <c r="J15" s="290"/>
      <c r="K15" s="290"/>
      <c r="L15" s="290"/>
      <c r="M15" s="290"/>
      <c r="N15" s="290"/>
      <c r="O15" s="290"/>
      <c r="P15" s="290"/>
      <c r="Q15" s="290"/>
      <c r="R15" s="290"/>
      <c r="S15" s="290"/>
    </row>
    <row r="16" spans="1:19" x14ac:dyDescent="0.2">
      <c r="A16" s="290"/>
      <c r="B16" s="290"/>
      <c r="C16" s="290"/>
      <c r="D16" s="290"/>
      <c r="E16" s="290"/>
      <c r="F16" s="290"/>
      <c r="G16" s="290"/>
      <c r="H16" s="290"/>
      <c r="I16" s="290"/>
      <c r="J16" s="290"/>
      <c r="K16" s="290"/>
      <c r="L16" s="290"/>
      <c r="M16" s="290"/>
      <c r="N16" s="290"/>
      <c r="O16" s="290"/>
      <c r="P16" s="290"/>
      <c r="Q16" s="290"/>
      <c r="R16" s="290"/>
      <c r="S16" s="290"/>
    </row>
    <row r="17" spans="1:19" ht="16" x14ac:dyDescent="0.2">
      <c r="A17" s="401"/>
      <c r="B17" s="401"/>
      <c r="C17" s="401"/>
      <c r="D17" s="401"/>
      <c r="E17" s="401"/>
      <c r="F17" s="401"/>
      <c r="G17" s="401"/>
      <c r="H17" s="290"/>
      <c r="I17" s="290"/>
      <c r="J17" s="290"/>
      <c r="K17" s="290"/>
      <c r="L17" s="290"/>
      <c r="M17" s="290"/>
      <c r="N17" s="290"/>
      <c r="O17" s="290"/>
      <c r="P17" s="290"/>
      <c r="Q17" s="290"/>
      <c r="R17" s="290"/>
      <c r="S17" s="290"/>
    </row>
    <row r="18" spans="1:19" x14ac:dyDescent="0.2">
      <c r="A18" s="290"/>
      <c r="B18" s="290"/>
      <c r="C18" s="290"/>
      <c r="D18" s="290"/>
      <c r="E18" s="290"/>
      <c r="F18" s="290"/>
      <c r="G18" s="290"/>
      <c r="H18" s="290"/>
      <c r="I18" s="290"/>
      <c r="J18" s="290"/>
      <c r="K18" s="290"/>
      <c r="L18" s="290"/>
      <c r="M18" s="290"/>
      <c r="N18" s="290"/>
      <c r="O18" s="290"/>
      <c r="P18" s="290"/>
      <c r="Q18" s="290"/>
      <c r="R18" s="290"/>
      <c r="S18" s="290"/>
    </row>
  </sheetData>
  <mergeCells count="2">
    <mergeCell ref="A17:G17"/>
    <mergeCell ref="I7:R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E55B2-E596-4356-8679-16CE543E7DAE}">
  <sheetPr codeName="Sheet2">
    <tabColor theme="9" tint="-0.249977111117893"/>
  </sheetPr>
  <dimension ref="A1:AN89"/>
  <sheetViews>
    <sheetView showGridLines="0" tabSelected="1" topLeftCell="AC1" zoomScale="75" workbookViewId="0">
      <selection activeCell="AM8" sqref="AM8"/>
    </sheetView>
  </sheetViews>
  <sheetFormatPr baseColWidth="10" defaultColWidth="8.83203125" defaultRowHeight="15" x14ac:dyDescent="0.2"/>
  <cols>
    <col min="1" max="1" width="17.1640625" style="411" customWidth="1"/>
    <col min="2" max="2" width="55.5" style="411" customWidth="1"/>
    <col min="3" max="5" width="14.83203125" style="78" customWidth="1"/>
    <col min="6" max="6" width="15.83203125" style="291" customWidth="1"/>
    <col min="7" max="7" width="13.83203125" style="78" customWidth="1"/>
    <col min="8" max="8" width="15.33203125" style="78" customWidth="1"/>
    <col min="9" max="9" width="12.83203125" style="78" customWidth="1"/>
    <col min="10" max="10" width="13.1640625" style="78" customWidth="1"/>
    <col min="11" max="11" width="12.33203125" style="78" customWidth="1"/>
    <col min="12" max="12" width="10.5" style="78" bestFit="1" customWidth="1"/>
    <col min="13" max="13" width="46.1640625" style="78" bestFit="1" customWidth="1"/>
    <col min="14" max="14" width="11" style="78" hidden="1" customWidth="1"/>
    <col min="15" max="15" width="10" style="78" hidden="1" customWidth="1"/>
    <col min="16" max="16" width="13.5" style="78" hidden="1" customWidth="1"/>
    <col min="17" max="30" width="14.6640625" style="78" customWidth="1"/>
    <col min="31" max="31" width="12.1640625" style="78" bestFit="1" customWidth="1"/>
    <col min="32" max="32" width="54.6640625" style="78" bestFit="1" customWidth="1"/>
    <col min="33" max="33" width="8.5" style="78" hidden="1" customWidth="1"/>
    <col min="34" max="35" width="12.83203125" style="78" customWidth="1"/>
    <col min="36" max="38" width="13" style="78" bestFit="1" customWidth="1"/>
    <col min="39" max="39" width="13.5" style="78" bestFit="1" customWidth="1"/>
    <col min="40" max="40" width="12.1640625" style="78" bestFit="1" customWidth="1"/>
    <col min="41" max="41" width="9.6640625" style="78" bestFit="1" customWidth="1"/>
    <col min="42" max="42" width="13.33203125" style="78" bestFit="1" customWidth="1"/>
    <col min="43" max="43" width="12.1640625" style="78" bestFit="1" customWidth="1"/>
    <col min="44" max="44" width="9.6640625" style="78" bestFit="1" customWidth="1"/>
    <col min="45" max="45" width="13.33203125" style="78" bestFit="1" customWidth="1"/>
    <col min="46" max="46" width="12.1640625" style="78" bestFit="1" customWidth="1"/>
    <col min="47" max="47" width="9.6640625" style="78" bestFit="1" customWidth="1"/>
    <col min="48" max="48" width="13.33203125" style="78" bestFit="1" customWidth="1"/>
    <col min="49" max="49" width="12.1640625" style="78" bestFit="1" customWidth="1"/>
    <col min="50" max="50" width="9.6640625" style="78" bestFit="1" customWidth="1"/>
    <col min="51" max="51" width="13.33203125" style="78" bestFit="1" customWidth="1"/>
    <col min="52" max="52" width="12.1640625" style="78" bestFit="1" customWidth="1"/>
    <col min="53" max="53" width="13.33203125" style="78" bestFit="1" customWidth="1"/>
    <col min="54" max="16384" width="8.83203125" style="78"/>
  </cols>
  <sheetData>
    <row r="1" spans="5:38" ht="15" customHeight="1" x14ac:dyDescent="0.2">
      <c r="E1"/>
      <c r="F1" s="21"/>
      <c r="G1"/>
      <c r="H1"/>
      <c r="I1"/>
      <c r="J1"/>
      <c r="K1"/>
      <c r="L1"/>
      <c r="AE1"/>
    </row>
    <row r="2" spans="5:38" ht="15" customHeight="1" x14ac:dyDescent="1.05">
      <c r="E2"/>
      <c r="F2" s="389"/>
      <c r="G2" s="389"/>
      <c r="H2" s="389"/>
      <c r="I2" s="389"/>
      <c r="J2" s="389"/>
      <c r="K2" s="389"/>
      <c r="L2" s="389"/>
      <c r="M2" s="148" t="s">
        <v>1</v>
      </c>
      <c r="N2" s="149"/>
      <c r="O2" s="149"/>
      <c r="P2" s="149"/>
      <c r="Q2" s="150"/>
      <c r="R2" s="151"/>
      <c r="S2" s="151"/>
      <c r="T2" s="151"/>
      <c r="U2" s="151"/>
      <c r="V2" s="151"/>
      <c r="W2" s="152"/>
      <c r="X2" s="153"/>
      <c r="Y2" s="153"/>
      <c r="Z2" s="153"/>
      <c r="AA2" s="153"/>
      <c r="AB2" s="153"/>
      <c r="AC2" s="154"/>
      <c r="AD2" s="154"/>
      <c r="AE2" s="389"/>
      <c r="AF2" s="286" t="s">
        <v>2</v>
      </c>
      <c r="AG2" s="287"/>
      <c r="AH2" s="287"/>
      <c r="AI2" s="287"/>
      <c r="AJ2" s="287"/>
      <c r="AK2" s="287"/>
      <c r="AL2" s="288"/>
    </row>
    <row r="3" spans="5:38" ht="15" customHeight="1" x14ac:dyDescent="1.05">
      <c r="E3"/>
      <c r="F3" s="389"/>
      <c r="G3" s="389"/>
      <c r="H3" s="389"/>
      <c r="I3" s="389"/>
      <c r="J3" s="389"/>
      <c r="K3" s="389"/>
      <c r="L3" s="389"/>
      <c r="M3" s="155"/>
      <c r="N3" s="156" t="s">
        <v>3</v>
      </c>
      <c r="O3" s="156" t="s">
        <v>4</v>
      </c>
      <c r="P3" s="156" t="s">
        <v>5</v>
      </c>
      <c r="Q3" s="157" t="s">
        <v>6</v>
      </c>
      <c r="R3" s="158" t="s">
        <v>7</v>
      </c>
      <c r="S3" s="158" t="s">
        <v>8</v>
      </c>
      <c r="T3" s="158" t="s">
        <v>9</v>
      </c>
      <c r="U3" s="158" t="s">
        <v>7</v>
      </c>
      <c r="V3" s="158" t="s">
        <v>8</v>
      </c>
      <c r="W3" s="159" t="s">
        <v>10</v>
      </c>
      <c r="X3" s="158" t="s">
        <v>7</v>
      </c>
      <c r="Y3" s="158" t="s">
        <v>8</v>
      </c>
      <c r="Z3" s="160" t="s">
        <v>11</v>
      </c>
      <c r="AA3" s="158" t="s">
        <v>7</v>
      </c>
      <c r="AB3" s="158" t="s">
        <v>8</v>
      </c>
      <c r="AC3" s="161" t="s">
        <v>12</v>
      </c>
      <c r="AD3" s="162" t="s">
        <v>8</v>
      </c>
      <c r="AE3" s="389"/>
      <c r="AF3" s="163" t="s">
        <v>13</v>
      </c>
      <c r="AG3" s="164" t="s">
        <v>3</v>
      </c>
      <c r="AH3" s="164">
        <v>2025</v>
      </c>
      <c r="AI3" s="164">
        <v>2024</v>
      </c>
      <c r="AJ3" s="165">
        <v>2023</v>
      </c>
      <c r="AK3" s="165">
        <v>2022</v>
      </c>
      <c r="AL3" s="166">
        <v>2021</v>
      </c>
    </row>
    <row r="4" spans="5:38" ht="15" customHeight="1" x14ac:dyDescent="1.05">
      <c r="E4"/>
      <c r="F4" s="389"/>
      <c r="G4" s="389"/>
      <c r="H4" s="389"/>
      <c r="I4" s="389"/>
      <c r="J4" s="389"/>
      <c r="K4" s="389"/>
      <c r="L4" s="389"/>
      <c r="M4" s="444" t="s">
        <v>14</v>
      </c>
      <c r="N4" s="293"/>
      <c r="O4" s="219"/>
      <c r="P4" s="294"/>
      <c r="Q4" s="293">
        <v>40152</v>
      </c>
      <c r="R4" s="219">
        <f>Q4/AC4-1</f>
        <v>0.3891022314478465</v>
      </c>
      <c r="S4" s="294">
        <f t="shared" ref="S4:S12" si="0">Q4/$Q$4</f>
        <v>1</v>
      </c>
      <c r="T4" s="295">
        <v>38153</v>
      </c>
      <c r="U4" s="219">
        <f>T4/AC4-1</f>
        <v>0.3199446462549731</v>
      </c>
      <c r="V4" s="294">
        <f t="shared" ref="V4:V12" si="1">T4/$T$4</f>
        <v>1</v>
      </c>
      <c r="W4" s="295">
        <v>35902</v>
      </c>
      <c r="X4" s="219">
        <f>W4/AC4-1</f>
        <v>0.24206884622037705</v>
      </c>
      <c r="Y4" s="294">
        <f t="shared" ref="Y4:Y12" si="2">W4/$W$4</f>
        <v>1</v>
      </c>
      <c r="Z4" s="295">
        <v>34176</v>
      </c>
      <c r="AA4" s="219">
        <f>Z4/AC4-1</f>
        <v>0.18235599377270373</v>
      </c>
      <c r="AB4" s="294">
        <f t="shared" ref="AB4:AB12" si="3">Z4/$Z$4</f>
        <v>1</v>
      </c>
      <c r="AC4" s="295">
        <v>28905</v>
      </c>
      <c r="AD4" s="296">
        <f t="shared" ref="AD4:AD12" si="4">AC4/$AC$4</f>
        <v>1</v>
      </c>
      <c r="AE4" s="389"/>
      <c r="AF4" s="339" t="s">
        <v>15</v>
      </c>
      <c r="AG4" s="340"/>
      <c r="AH4" s="341">
        <f>Q4</f>
        <v>40152</v>
      </c>
      <c r="AI4" s="342">
        <f>T4</f>
        <v>38153</v>
      </c>
      <c r="AJ4" s="342">
        <f>W4</f>
        <v>35902</v>
      </c>
      <c r="AK4" s="343">
        <f>Z4</f>
        <v>34176</v>
      </c>
      <c r="AL4" s="344">
        <f>AC4</f>
        <v>28905</v>
      </c>
    </row>
    <row r="5" spans="5:38" ht="15" customHeight="1" x14ac:dyDescent="1.05">
      <c r="E5"/>
      <c r="F5" s="389"/>
      <c r="G5" s="389"/>
      <c r="H5" s="389"/>
      <c r="I5" s="389"/>
      <c r="J5" s="389"/>
      <c r="K5" s="389"/>
      <c r="L5" s="389"/>
      <c r="M5" s="444" t="s">
        <v>16</v>
      </c>
      <c r="N5" s="293"/>
      <c r="O5" s="219"/>
      <c r="P5" s="297"/>
      <c r="Q5" s="293">
        <v>-23257</v>
      </c>
      <c r="R5" s="219">
        <f t="shared" ref="R5:R29" si="5">Q5/AC5-1</f>
        <v>0.36308756300550926</v>
      </c>
      <c r="S5" s="297">
        <f t="shared" si="0"/>
        <v>-0.57922394899382346</v>
      </c>
      <c r="T5" s="295">
        <v>-21885</v>
      </c>
      <c r="U5" s="219">
        <f t="shared" ref="U5:U29" si="6">T5/AC5-1</f>
        <v>0.28267495018169031</v>
      </c>
      <c r="V5" s="297">
        <f t="shared" si="1"/>
        <v>-0.57361151154561896</v>
      </c>
      <c r="W5" s="295">
        <v>-20890</v>
      </c>
      <c r="X5" s="219">
        <f t="shared" ref="X5:X29" si="7">W5/AC5-1</f>
        <v>0.22435822295158836</v>
      </c>
      <c r="Y5" s="297">
        <f t="shared" si="2"/>
        <v>-0.58186173472229963</v>
      </c>
      <c r="Z5" s="295">
        <v>-20300</v>
      </c>
      <c r="AA5" s="219">
        <f t="shared" ref="AA5:AA29" si="8">Z5/AC5-1</f>
        <v>0.18977845504630175</v>
      </c>
      <c r="AB5" s="297">
        <f t="shared" si="3"/>
        <v>-0.59398408239700373</v>
      </c>
      <c r="AC5" s="295">
        <v>-17062</v>
      </c>
      <c r="AD5" s="296">
        <f t="shared" si="4"/>
        <v>-0.59027849852966618</v>
      </c>
      <c r="AE5" s="389"/>
      <c r="AF5" s="346" t="s">
        <v>17</v>
      </c>
      <c r="AG5" s="347"/>
      <c r="AH5" s="348">
        <f>Q5+Q14+Q10+Q11</f>
        <v>-24078</v>
      </c>
      <c r="AI5" s="349">
        <f>T5+T14+T10+T11</f>
        <v>-22519</v>
      </c>
      <c r="AJ5" s="349">
        <f>W5+W14+W10+W11</f>
        <v>-21369</v>
      </c>
      <c r="AK5" s="350">
        <f>Z5+Z14+Z10+Z11</f>
        <v>-21384</v>
      </c>
      <c r="AL5" s="351">
        <f>AC5+AC14+AC10+AC11</f>
        <v>-17718</v>
      </c>
    </row>
    <row r="6" spans="5:38" ht="15" customHeight="1" x14ac:dyDescent="1.05">
      <c r="E6"/>
      <c r="F6" s="389"/>
      <c r="G6" s="389"/>
      <c r="H6" s="389"/>
      <c r="I6" s="389"/>
      <c r="J6" s="389"/>
      <c r="K6" s="389"/>
      <c r="L6" s="389"/>
      <c r="M6" s="445" t="s">
        <v>18</v>
      </c>
      <c r="N6" s="298"/>
      <c r="O6" s="299"/>
      <c r="P6" s="300"/>
      <c r="Q6" s="298">
        <v>16895</v>
      </c>
      <c r="R6" s="299">
        <f t="shared" si="5"/>
        <v>0.42658110276112482</v>
      </c>
      <c r="S6" s="300">
        <f t="shared" si="0"/>
        <v>0.42077605100617654</v>
      </c>
      <c r="T6" s="301">
        <v>16268</v>
      </c>
      <c r="U6" s="299">
        <f t="shared" si="6"/>
        <v>0.37363843620704218</v>
      </c>
      <c r="V6" s="300">
        <f t="shared" si="1"/>
        <v>0.42638848845438104</v>
      </c>
      <c r="W6" s="301">
        <v>15012</v>
      </c>
      <c r="X6" s="299">
        <f t="shared" si="7"/>
        <v>0.26758422696951789</v>
      </c>
      <c r="Y6" s="300">
        <f t="shared" si="2"/>
        <v>0.41813826527770043</v>
      </c>
      <c r="Z6" s="301">
        <v>13876</v>
      </c>
      <c r="AA6" s="299">
        <f t="shared" si="8"/>
        <v>0.17166258549354052</v>
      </c>
      <c r="AB6" s="300">
        <f t="shared" si="3"/>
        <v>0.40601591760299627</v>
      </c>
      <c r="AC6" s="301">
        <v>11843</v>
      </c>
      <c r="AD6" s="302">
        <f t="shared" si="4"/>
        <v>0.40972150147033387</v>
      </c>
      <c r="AE6" s="389"/>
      <c r="AF6" s="339" t="s">
        <v>19</v>
      </c>
      <c r="AG6" s="340"/>
      <c r="AH6" s="341">
        <f>AH4+AH5</f>
        <v>16074</v>
      </c>
      <c r="AI6" s="342">
        <f>AI4+AI5</f>
        <v>15634</v>
      </c>
      <c r="AJ6" s="342">
        <f>AJ4+AJ5</f>
        <v>14533</v>
      </c>
      <c r="AK6" s="343">
        <f>AK4+AK5</f>
        <v>12792</v>
      </c>
      <c r="AL6" s="344">
        <f>AL4+AL5</f>
        <v>11187</v>
      </c>
    </row>
    <row r="7" spans="5:38" ht="15" customHeight="1" x14ac:dyDescent="1.05">
      <c r="E7"/>
      <c r="F7" s="389"/>
      <c r="G7" s="389"/>
      <c r="H7" s="389"/>
      <c r="I7" s="389"/>
      <c r="J7" s="389"/>
      <c r="K7" s="389"/>
      <c r="L7" s="389"/>
      <c r="M7" s="444" t="s">
        <v>20</v>
      </c>
      <c r="N7" s="293"/>
      <c r="O7" s="219"/>
      <c r="P7" s="297"/>
      <c r="Q7" s="293">
        <v>-1365</v>
      </c>
      <c r="R7" s="219">
        <f t="shared" si="5"/>
        <v>0.59649122807017552</v>
      </c>
      <c r="S7" s="297">
        <f t="shared" si="0"/>
        <v>-3.3995815899581588E-2</v>
      </c>
      <c r="T7" s="295">
        <v>-1308</v>
      </c>
      <c r="U7" s="219">
        <f t="shared" si="6"/>
        <v>0.52982456140350886</v>
      </c>
      <c r="V7" s="297">
        <f t="shared" si="1"/>
        <v>-3.4283018373391344E-2</v>
      </c>
      <c r="W7" s="295">
        <v>-1168</v>
      </c>
      <c r="X7" s="219">
        <f t="shared" si="7"/>
        <v>0.36608187134502934</v>
      </c>
      <c r="Y7" s="297">
        <f t="shared" si="2"/>
        <v>-3.2533006517742741E-2</v>
      </c>
      <c r="Z7" s="295">
        <v>-1040</v>
      </c>
      <c r="AA7" s="219">
        <f t="shared" si="8"/>
        <v>0.21637426900584789</v>
      </c>
      <c r="AB7" s="297">
        <f t="shared" si="3"/>
        <v>-3.0430711610486893E-2</v>
      </c>
      <c r="AC7" s="295">
        <v>-855</v>
      </c>
      <c r="AD7" s="296">
        <f t="shared" si="4"/>
        <v>-2.9579657498702647E-2</v>
      </c>
      <c r="AE7" s="389"/>
      <c r="AF7" s="353" t="str">
        <f>"- Selling and marketing costs"</f>
        <v>- Selling and marketing costs</v>
      </c>
      <c r="AG7" s="354"/>
      <c r="AH7" s="355">
        <f>Q8</f>
        <v>-8010</v>
      </c>
      <c r="AI7" s="356">
        <f>T8</f>
        <v>-7877</v>
      </c>
      <c r="AJ7" s="356">
        <f>W8</f>
        <v>-7432</v>
      </c>
      <c r="AK7" s="357">
        <f>Z8</f>
        <v>-6819</v>
      </c>
      <c r="AL7" s="358">
        <f>AC8</f>
        <v>-6001</v>
      </c>
    </row>
    <row r="8" spans="5:38" ht="57" x14ac:dyDescent="0.2">
      <c r="M8" s="292" t="s">
        <v>21</v>
      </c>
      <c r="N8" s="293"/>
      <c r="O8" s="219"/>
      <c r="P8" s="297"/>
      <c r="Q8" s="293">
        <v>-8010</v>
      </c>
      <c r="R8" s="219">
        <f t="shared" si="5"/>
        <v>0.33477753707715374</v>
      </c>
      <c r="S8" s="297">
        <f t="shared" si="0"/>
        <v>-0.19949193066347878</v>
      </c>
      <c r="T8" s="295">
        <v>-7877</v>
      </c>
      <c r="U8" s="219">
        <f t="shared" si="6"/>
        <v>0.31261456423929346</v>
      </c>
      <c r="V8" s="297">
        <f t="shared" si="1"/>
        <v>-0.20645820774251042</v>
      </c>
      <c r="W8" s="295">
        <v>-7432</v>
      </c>
      <c r="X8" s="219">
        <f t="shared" si="7"/>
        <v>0.23846025662389603</v>
      </c>
      <c r="Y8" s="297">
        <f t="shared" si="2"/>
        <v>-0.20700796613002062</v>
      </c>
      <c r="Z8" s="295">
        <v>-6819</v>
      </c>
      <c r="AA8" s="219">
        <f t="shared" si="8"/>
        <v>0.13631061489751706</v>
      </c>
      <c r="AB8" s="297">
        <f t="shared" si="3"/>
        <v>-0.19952598314606743</v>
      </c>
      <c r="AC8" s="295">
        <v>-6001</v>
      </c>
      <c r="AD8" s="296">
        <f t="shared" si="4"/>
        <v>-0.20761113994118666</v>
      </c>
      <c r="AF8" s="359" t="s">
        <v>22</v>
      </c>
      <c r="AG8" s="360"/>
      <c r="AH8" s="361">
        <f>Q7</f>
        <v>-1365</v>
      </c>
      <c r="AI8" s="362">
        <f>T7</f>
        <v>-1308</v>
      </c>
      <c r="AJ8" s="362">
        <f>W7</f>
        <v>-1168</v>
      </c>
      <c r="AK8" s="363">
        <f>Z7</f>
        <v>-1040</v>
      </c>
      <c r="AL8" s="364">
        <f>AC7</f>
        <v>-855</v>
      </c>
    </row>
    <row r="9" spans="5:38" ht="19" x14ac:dyDescent="0.2">
      <c r="M9" s="40" t="s">
        <v>23</v>
      </c>
      <c r="N9" s="298"/>
      <c r="O9" s="299"/>
      <c r="P9" s="300"/>
      <c r="Q9" s="298">
        <v>7520</v>
      </c>
      <c r="R9" s="299">
        <f t="shared" si="5"/>
        <v>0.50792059354321228</v>
      </c>
      <c r="S9" s="300">
        <f t="shared" si="0"/>
        <v>0.18728830444311617</v>
      </c>
      <c r="T9" s="301">
        <v>7083</v>
      </c>
      <c r="U9" s="299">
        <f t="shared" si="6"/>
        <v>0.42029276117906567</v>
      </c>
      <c r="V9" s="300">
        <f t="shared" si="1"/>
        <v>0.18564726233847928</v>
      </c>
      <c r="W9" s="301">
        <v>6412</v>
      </c>
      <c r="X9" s="299">
        <f t="shared" si="7"/>
        <v>0.28574293162221776</v>
      </c>
      <c r="Y9" s="300">
        <f t="shared" si="2"/>
        <v>0.17859729262993704</v>
      </c>
      <c r="Z9" s="301">
        <v>6017</v>
      </c>
      <c r="AA9" s="299">
        <f t="shared" si="8"/>
        <v>0.20653699619009425</v>
      </c>
      <c r="AB9" s="300">
        <f t="shared" si="3"/>
        <v>0.17605922284644196</v>
      </c>
      <c r="AC9" s="301">
        <v>4987</v>
      </c>
      <c r="AD9" s="302">
        <f t="shared" si="4"/>
        <v>0.17253070403044457</v>
      </c>
      <c r="AF9" s="339" t="s">
        <v>24</v>
      </c>
      <c r="AG9" s="340"/>
      <c r="AH9" s="366">
        <f>AH6+AH7+AH8</f>
        <v>6699</v>
      </c>
      <c r="AI9" s="366">
        <f>AI6+AI7+AI8</f>
        <v>6449</v>
      </c>
      <c r="AJ9" s="366">
        <f>AJ6+AJ7+AJ8</f>
        <v>5933</v>
      </c>
      <c r="AK9" s="367">
        <f>AK6+AK7+AK8</f>
        <v>4933</v>
      </c>
      <c r="AL9" s="368">
        <f>AL6+AL7+AL8</f>
        <v>4331</v>
      </c>
    </row>
    <row r="10" spans="5:38" ht="76" x14ac:dyDescent="0.2">
      <c r="M10" s="292" t="s">
        <v>25</v>
      </c>
      <c r="N10" s="293"/>
      <c r="O10" s="219"/>
      <c r="P10" s="297"/>
      <c r="Q10" s="293">
        <v>-77</v>
      </c>
      <c r="R10" s="219">
        <f t="shared" si="5"/>
        <v>2.6666666666666665</v>
      </c>
      <c r="S10" s="297">
        <f t="shared" si="0"/>
        <v>-1.9177126917712692E-3</v>
      </c>
      <c r="T10" s="295">
        <v>-87</v>
      </c>
      <c r="U10" s="219">
        <f t="shared" si="6"/>
        <v>3.1428571428571432</v>
      </c>
      <c r="V10" s="297">
        <f t="shared" si="1"/>
        <v>-2.2802925064870391E-3</v>
      </c>
      <c r="W10" s="295">
        <v>98</v>
      </c>
      <c r="X10" s="219">
        <f t="shared" si="7"/>
        <v>-5.666666666666667</v>
      </c>
      <c r="Y10" s="297">
        <f t="shared" si="2"/>
        <v>2.7296529441256756E-3</v>
      </c>
      <c r="Z10" s="295">
        <v>-433</v>
      </c>
      <c r="AA10" s="219">
        <f t="shared" si="8"/>
        <v>19.61904761904762</v>
      </c>
      <c r="AB10" s="297">
        <f t="shared" si="3"/>
        <v>-1.2669709737827715E-2</v>
      </c>
      <c r="AC10" s="295">
        <v>-21</v>
      </c>
      <c r="AD10" s="296">
        <f t="shared" si="4"/>
        <v>-7.265179034769071E-4</v>
      </c>
      <c r="AF10" s="370" t="str">
        <f>"- Financial expense net of Financial income"</f>
        <v>- Financial expense net of Financial income</v>
      </c>
      <c r="AG10" s="371"/>
      <c r="AH10" s="372">
        <f>Q18+Q19</f>
        <v>-519</v>
      </c>
      <c r="AI10" s="372">
        <f>T18+T19</f>
        <v>-409</v>
      </c>
      <c r="AJ10" s="372">
        <f>W18+W19</f>
        <v>-530</v>
      </c>
      <c r="AK10" s="373">
        <f>Z18+Z19</f>
        <v>-215</v>
      </c>
      <c r="AL10" s="374">
        <f>AC18+AC19</f>
        <v>-176</v>
      </c>
    </row>
    <row r="11" spans="5:38" ht="19" x14ac:dyDescent="0.2">
      <c r="M11" s="292" t="s">
        <v>26</v>
      </c>
      <c r="N11" s="293"/>
      <c r="O11" s="219"/>
      <c r="P11" s="297"/>
      <c r="Q11" s="293">
        <v>-287</v>
      </c>
      <c r="R11" s="219">
        <f t="shared" si="5"/>
        <v>0.27555555555555555</v>
      </c>
      <c r="S11" s="297">
        <f t="shared" si="0"/>
        <v>-7.147838214783821E-3</v>
      </c>
      <c r="T11" s="295">
        <v>-141</v>
      </c>
      <c r="U11" s="219">
        <f t="shared" si="6"/>
        <v>-0.37333333333333329</v>
      </c>
      <c r="V11" s="297">
        <f t="shared" si="1"/>
        <v>-3.6956464760307182E-3</v>
      </c>
      <c r="W11" s="295">
        <v>-147</v>
      </c>
      <c r="X11" s="219">
        <f t="shared" si="7"/>
        <v>-0.34666666666666668</v>
      </c>
      <c r="Y11" s="297">
        <f t="shared" si="2"/>
        <v>-4.0944794161885132E-3</v>
      </c>
      <c r="Z11" s="295">
        <v>-227</v>
      </c>
      <c r="AA11" s="219">
        <f t="shared" si="8"/>
        <v>8.8888888888889461E-3</v>
      </c>
      <c r="AB11" s="297">
        <f t="shared" si="3"/>
        <v>-6.6420880149812732E-3</v>
      </c>
      <c r="AC11" s="295">
        <v>-225</v>
      </c>
      <c r="AD11" s="296">
        <f t="shared" si="4"/>
        <v>-7.7841203943954333E-3</v>
      </c>
      <c r="AF11" s="339" t="s">
        <v>27</v>
      </c>
      <c r="AG11" s="340"/>
      <c r="AH11" s="366">
        <f>AH9+AH10</f>
        <v>6180</v>
      </c>
      <c r="AI11" s="366">
        <f>AI9+AI10</f>
        <v>6040</v>
      </c>
      <c r="AJ11" s="366">
        <f>AJ9+AJ10</f>
        <v>5403</v>
      </c>
      <c r="AK11" s="367">
        <f>AK9+AK10</f>
        <v>4718</v>
      </c>
      <c r="AL11" s="368">
        <f>AL9+AL10</f>
        <v>4155</v>
      </c>
    </row>
    <row r="12" spans="5:38" ht="38" x14ac:dyDescent="0.2">
      <c r="M12" s="40" t="s">
        <v>28</v>
      </c>
      <c r="N12" s="298"/>
      <c r="O12" s="299"/>
      <c r="P12" s="300"/>
      <c r="Q12" s="298">
        <v>7156</v>
      </c>
      <c r="R12" s="299">
        <f t="shared" si="5"/>
        <v>0.50938620544188984</v>
      </c>
      <c r="S12" s="300">
        <f t="shared" si="0"/>
        <v>0.17822275353656106</v>
      </c>
      <c r="T12" s="301">
        <v>6855</v>
      </c>
      <c r="U12" s="299">
        <f t="shared" si="6"/>
        <v>0.44589748998101664</v>
      </c>
      <c r="V12" s="300">
        <f t="shared" si="1"/>
        <v>0.17967132335596153</v>
      </c>
      <c r="W12" s="301">
        <v>6363</v>
      </c>
      <c r="X12" s="299">
        <f t="shared" si="7"/>
        <v>0.34212191520776214</v>
      </c>
      <c r="Y12" s="300">
        <f t="shared" si="2"/>
        <v>0.17723246615787422</v>
      </c>
      <c r="Z12" s="301">
        <v>5357</v>
      </c>
      <c r="AA12" s="299">
        <f t="shared" si="8"/>
        <v>0.12993039443155463</v>
      </c>
      <c r="AB12" s="300">
        <f t="shared" si="3"/>
        <v>0.15674742509363296</v>
      </c>
      <c r="AC12" s="301">
        <v>4741</v>
      </c>
      <c r="AD12" s="302">
        <f t="shared" si="4"/>
        <v>0.16402006573257222</v>
      </c>
      <c r="AF12" s="346" t="s">
        <v>29</v>
      </c>
      <c r="AG12" s="371"/>
      <c r="AH12" s="372">
        <f>Q22+Q23+Q24</f>
        <v>-1829</v>
      </c>
      <c r="AI12" s="372">
        <f>T22+T23+T24</f>
        <v>-1601</v>
      </c>
      <c r="AJ12" s="375">
        <f>W22+W23</f>
        <v>-1234</v>
      </c>
      <c r="AK12" s="373">
        <f>Z22+Z23</f>
        <v>-1182</v>
      </c>
      <c r="AL12" s="374">
        <f>AC22+AC23</f>
        <v>-882</v>
      </c>
    </row>
    <row r="13" spans="5:38" ht="38" x14ac:dyDescent="0.2">
      <c r="M13" s="40" t="s">
        <v>30</v>
      </c>
      <c r="N13" s="298" t="e">
        <f>N12+'Cash Flow Statement'!P6</f>
        <v>#VALUE!</v>
      </c>
      <c r="O13" s="299" t="e">
        <f>N13/AC13-1</f>
        <v>#VALUE!</v>
      </c>
      <c r="P13" s="300" t="e">
        <f>N13/N4</f>
        <v>#VALUE!</v>
      </c>
      <c r="Q13" s="298">
        <f>Q12+'Cash Flow Statement'!S6</f>
        <v>8027</v>
      </c>
      <c r="R13" s="299">
        <f>Q13/AC13-1</f>
        <v>0.47854116780254197</v>
      </c>
      <c r="S13" s="300">
        <f>Q13/Q4</f>
        <v>0.19991532177724647</v>
      </c>
      <c r="T13" s="301">
        <f>T12+'Cash Flow Statement'!U6</f>
        <v>7677</v>
      </c>
      <c r="U13" s="299">
        <f>T13/AC13-1</f>
        <v>0.41407257321790381</v>
      </c>
      <c r="V13" s="300">
        <f>T13/T4</f>
        <v>0.20121615600345977</v>
      </c>
      <c r="W13" s="301">
        <f>W12+'Cash Flow Statement'!W6</f>
        <v>7080</v>
      </c>
      <c r="X13" s="299">
        <f>W13/AC13-1</f>
        <v>0.30410757045496406</v>
      </c>
      <c r="Y13" s="300">
        <f>W13/W4</f>
        <v>0.19720349841234472</v>
      </c>
      <c r="Z13" s="301">
        <f>Z12+'Cash Flow Statement'!Y6</f>
        <v>6089</v>
      </c>
      <c r="AA13" s="299">
        <f>Z13/AC13-1</f>
        <v>0.12156934978817469</v>
      </c>
      <c r="AB13" s="300">
        <f>Z13/Z4</f>
        <v>0.17816596441947566</v>
      </c>
      <c r="AC13" s="301">
        <f>AC12+'Cash Flow Statement'!AA6</f>
        <v>5429</v>
      </c>
      <c r="AD13" s="302">
        <f>AC13/AC4</f>
        <v>0.18782217609410137</v>
      </c>
      <c r="AF13" s="376" t="s">
        <v>31</v>
      </c>
      <c r="AG13" s="377"/>
      <c r="AH13" s="378">
        <f>AH11+AH12</f>
        <v>4351</v>
      </c>
      <c r="AI13" s="378">
        <f>AI11+AI12</f>
        <v>4439</v>
      </c>
      <c r="AJ13" s="378">
        <f>AJ11+AJ12</f>
        <v>4169</v>
      </c>
      <c r="AK13" s="379">
        <f>AK11+AK12</f>
        <v>3536</v>
      </c>
      <c r="AL13" s="380">
        <f>AL11+AL12</f>
        <v>3273</v>
      </c>
    </row>
    <row r="14" spans="5:38" x14ac:dyDescent="0.2">
      <c r="M14" s="292" t="s">
        <v>32</v>
      </c>
      <c r="N14" s="293"/>
      <c r="O14" s="219"/>
      <c r="P14" s="297"/>
      <c r="Q14" s="293">
        <v>-457</v>
      </c>
      <c r="R14" s="219">
        <f t="shared" si="5"/>
        <v>0.11463414634146352</v>
      </c>
      <c r="S14" s="297">
        <f t="shared" ref="S14:S29" si="9">Q14/$Q$4</f>
        <v>-1.1381749352460649E-2</v>
      </c>
      <c r="T14" s="295">
        <v>-406</v>
      </c>
      <c r="U14" s="219">
        <f t="shared" si="6"/>
        <v>-9.7560975609756184E-3</v>
      </c>
      <c r="V14" s="297">
        <f t="shared" ref="V14:V29" si="10">T14/$T$4</f>
        <v>-1.0641365030272848E-2</v>
      </c>
      <c r="W14" s="295">
        <v>-430</v>
      </c>
      <c r="X14" s="219">
        <f t="shared" si="7"/>
        <v>4.8780487804878092E-2</v>
      </c>
      <c r="Y14" s="297">
        <f t="shared" ref="Y14:Y23" si="11">W14/$W$4</f>
        <v>-1.1977048632388168E-2</v>
      </c>
      <c r="Z14" s="295">
        <v>-424</v>
      </c>
      <c r="AA14" s="219">
        <f t="shared" si="8"/>
        <v>3.4146341463414664E-2</v>
      </c>
      <c r="AB14" s="297">
        <f t="shared" ref="AB14:AB23" si="12">Z14/$Z$4</f>
        <v>-1.2406367041198503E-2</v>
      </c>
      <c r="AC14" s="295">
        <v>-410</v>
      </c>
      <c r="AD14" s="296">
        <f t="shared" ref="AD14:AD23" si="13">AC14/$AC$4</f>
        <v>-1.4184397163120567E-2</v>
      </c>
    </row>
    <row r="15" spans="5:38" x14ac:dyDescent="0.2">
      <c r="M15" s="40" t="s">
        <v>33</v>
      </c>
      <c r="N15" s="298"/>
      <c r="O15" s="299"/>
      <c r="P15" s="300"/>
      <c r="Q15" s="298">
        <v>6699</v>
      </c>
      <c r="R15" s="299">
        <f t="shared" si="5"/>
        <v>0.54675594550912021</v>
      </c>
      <c r="S15" s="300">
        <f t="shared" si="9"/>
        <v>0.16684100418410042</v>
      </c>
      <c r="T15" s="301">
        <v>6449</v>
      </c>
      <c r="U15" s="299">
        <f t="shared" si="6"/>
        <v>0.48903255599168793</v>
      </c>
      <c r="V15" s="300">
        <f t="shared" si="10"/>
        <v>0.16902995832568868</v>
      </c>
      <c r="W15" s="301">
        <v>5933</v>
      </c>
      <c r="X15" s="299">
        <f t="shared" si="7"/>
        <v>0.36989148002770733</v>
      </c>
      <c r="Y15" s="300">
        <f t="shared" si="11"/>
        <v>0.16525541752548606</v>
      </c>
      <c r="Z15" s="301">
        <v>4933</v>
      </c>
      <c r="AA15" s="299">
        <f t="shared" si="8"/>
        <v>0.13899792195797733</v>
      </c>
      <c r="AB15" s="300">
        <f t="shared" si="12"/>
        <v>0.14434105805243447</v>
      </c>
      <c r="AC15" s="301">
        <v>4331</v>
      </c>
      <c r="AD15" s="302">
        <f t="shared" si="13"/>
        <v>0.14983566856945166</v>
      </c>
    </row>
    <row r="16" spans="5:38" x14ac:dyDescent="0.2">
      <c r="M16" s="292" t="s">
        <v>34</v>
      </c>
      <c r="N16" s="293"/>
      <c r="O16" s="219"/>
      <c r="P16" s="297"/>
      <c r="Q16" s="293">
        <v>152</v>
      </c>
      <c r="R16" s="219">
        <f t="shared" si="5"/>
        <v>37</v>
      </c>
      <c r="S16" s="297">
        <f t="shared" si="9"/>
        <v>3.7856146642757521E-3</v>
      </c>
      <c r="T16" s="295">
        <v>174</v>
      </c>
      <c r="U16" s="219">
        <f t="shared" si="6"/>
        <v>42.5</v>
      </c>
      <c r="V16" s="297">
        <f t="shared" si="10"/>
        <v>4.5605850129740782E-3</v>
      </c>
      <c r="W16" s="295">
        <v>79</v>
      </c>
      <c r="X16" s="219">
        <f t="shared" si="7"/>
        <v>18.75</v>
      </c>
      <c r="Y16" s="297">
        <f t="shared" si="11"/>
        <v>2.2004345161829426E-3</v>
      </c>
      <c r="Z16" s="295">
        <v>24</v>
      </c>
      <c r="AA16" s="219">
        <f t="shared" si="8"/>
        <v>5</v>
      </c>
      <c r="AB16" s="297">
        <f t="shared" si="12"/>
        <v>7.0224719101123594E-4</v>
      </c>
      <c r="AC16" s="295">
        <v>4</v>
      </c>
      <c r="AD16" s="296">
        <f t="shared" si="13"/>
        <v>1.3838436256702992E-4</v>
      </c>
    </row>
    <row r="17" spans="13:40" x14ac:dyDescent="0.2">
      <c r="M17" s="292" t="s">
        <v>35</v>
      </c>
      <c r="N17" s="293"/>
      <c r="O17" s="219"/>
      <c r="P17" s="297"/>
      <c r="Q17" s="293">
        <v>-473</v>
      </c>
      <c r="R17" s="219">
        <f t="shared" si="5"/>
        <v>3.7777777777777777</v>
      </c>
      <c r="S17" s="297">
        <f t="shared" si="9"/>
        <v>-1.1780235106594939E-2</v>
      </c>
      <c r="T17" s="295">
        <v>-435</v>
      </c>
      <c r="U17" s="219">
        <f t="shared" si="6"/>
        <v>3.3939393939393936</v>
      </c>
      <c r="V17" s="297">
        <f t="shared" si="10"/>
        <v>-1.1401462532435196E-2</v>
      </c>
      <c r="W17" s="295">
        <v>-387</v>
      </c>
      <c r="X17" s="219">
        <f t="shared" si="7"/>
        <v>2.9090909090909092</v>
      </c>
      <c r="Y17" s="297">
        <f t="shared" si="11"/>
        <v>-1.077934376914935E-2</v>
      </c>
      <c r="Z17" s="295">
        <v>-130</v>
      </c>
      <c r="AA17" s="219">
        <f t="shared" si="8"/>
        <v>0.31313131313131315</v>
      </c>
      <c r="AB17" s="297">
        <f t="shared" si="12"/>
        <v>-3.8038389513108616E-3</v>
      </c>
      <c r="AC17" s="295">
        <v>-99</v>
      </c>
      <c r="AD17" s="296">
        <f t="shared" si="13"/>
        <v>-3.4250129735339907E-3</v>
      </c>
    </row>
    <row r="18" spans="13:40" x14ac:dyDescent="0.2">
      <c r="M18" s="303" t="s">
        <v>36</v>
      </c>
      <c r="N18" s="304"/>
      <c r="O18" s="231"/>
      <c r="P18" s="305"/>
      <c r="Q18" s="304">
        <v>-321</v>
      </c>
      <c r="R18" s="231">
        <f t="shared" si="5"/>
        <v>2.3789473684210525</v>
      </c>
      <c r="S18" s="305">
        <f t="shared" si="9"/>
        <v>-7.9946204423191874E-3</v>
      </c>
      <c r="T18" s="306">
        <v>-261</v>
      </c>
      <c r="U18" s="231">
        <f t="shared" si="6"/>
        <v>1.7473684210526317</v>
      </c>
      <c r="V18" s="305">
        <f t="shared" si="10"/>
        <v>-6.8408775194611169E-3</v>
      </c>
      <c r="W18" s="306">
        <v>-308</v>
      </c>
      <c r="X18" s="231">
        <f t="shared" si="7"/>
        <v>2.2421052631578946</v>
      </c>
      <c r="Y18" s="305">
        <f t="shared" si="11"/>
        <v>-8.5789092529664091E-3</v>
      </c>
      <c r="Z18" s="306">
        <v>-106</v>
      </c>
      <c r="AA18" s="231">
        <f t="shared" si="8"/>
        <v>0.11578947368421044</v>
      </c>
      <c r="AB18" s="305">
        <f t="shared" si="12"/>
        <v>-3.1015917602996257E-3</v>
      </c>
      <c r="AC18" s="306">
        <v>-95</v>
      </c>
      <c r="AD18" s="307">
        <f t="shared" si="13"/>
        <v>-3.2866286109669608E-3</v>
      </c>
    </row>
    <row r="19" spans="13:40" x14ac:dyDescent="0.2">
      <c r="M19" s="292" t="s">
        <v>37</v>
      </c>
      <c r="N19" s="293"/>
      <c r="O19" s="219"/>
      <c r="P19" s="297"/>
      <c r="Q19" s="293">
        <v>-198</v>
      </c>
      <c r="R19" s="219">
        <f t="shared" si="5"/>
        <v>1.4444444444444446</v>
      </c>
      <c r="S19" s="297">
        <f t="shared" si="9"/>
        <v>-4.9312612074118353E-3</v>
      </c>
      <c r="T19" s="295">
        <v>-148</v>
      </c>
      <c r="U19" s="219">
        <f t="shared" si="6"/>
        <v>0.82716049382716039</v>
      </c>
      <c r="V19" s="297">
        <f t="shared" si="10"/>
        <v>-3.8791182868974919E-3</v>
      </c>
      <c r="W19" s="295">
        <v>-222</v>
      </c>
      <c r="X19" s="219">
        <f t="shared" si="7"/>
        <v>1.7407407407407409</v>
      </c>
      <c r="Y19" s="297">
        <f t="shared" si="11"/>
        <v>-6.1834995264887747E-3</v>
      </c>
      <c r="Z19" s="295">
        <v>-109</v>
      </c>
      <c r="AA19" s="219">
        <f t="shared" si="8"/>
        <v>0.34567901234567899</v>
      </c>
      <c r="AB19" s="297">
        <f t="shared" si="12"/>
        <v>-3.1893726591760299E-3</v>
      </c>
      <c r="AC19" s="295">
        <v>-81</v>
      </c>
      <c r="AD19" s="296">
        <f t="shared" si="13"/>
        <v>-2.8022833419823561E-3</v>
      </c>
    </row>
    <row r="20" spans="13:40" x14ac:dyDescent="0.2">
      <c r="M20" s="40" t="s">
        <v>38</v>
      </c>
      <c r="N20" s="308"/>
      <c r="O20" s="309"/>
      <c r="P20" s="310"/>
      <c r="Q20" s="308">
        <v>-519</v>
      </c>
      <c r="R20" s="309">
        <f t="shared" si="5"/>
        <v>1.9488636363636362</v>
      </c>
      <c r="S20" s="310">
        <f t="shared" si="9"/>
        <v>-1.2925881649731023E-2</v>
      </c>
      <c r="T20" s="311">
        <v>-409</v>
      </c>
      <c r="U20" s="309">
        <f t="shared" si="6"/>
        <v>1.3238636363636362</v>
      </c>
      <c r="V20" s="310">
        <f t="shared" si="10"/>
        <v>-1.071999580635861E-2</v>
      </c>
      <c r="W20" s="311">
        <v>-530</v>
      </c>
      <c r="X20" s="309">
        <f t="shared" si="7"/>
        <v>2.0113636363636362</v>
      </c>
      <c r="Y20" s="310">
        <f t="shared" si="11"/>
        <v>-1.4762408779455184E-2</v>
      </c>
      <c r="Z20" s="311">
        <v>-215</v>
      </c>
      <c r="AA20" s="309">
        <f t="shared" si="8"/>
        <v>0.22159090909090917</v>
      </c>
      <c r="AB20" s="310">
        <f t="shared" si="12"/>
        <v>-6.2909644194756552E-3</v>
      </c>
      <c r="AC20" s="311">
        <v>-176</v>
      </c>
      <c r="AD20" s="312">
        <f t="shared" si="13"/>
        <v>-6.0889119529493165E-3</v>
      </c>
    </row>
    <row r="21" spans="13:40" x14ac:dyDescent="0.2">
      <c r="M21" s="40" t="s">
        <v>39</v>
      </c>
      <c r="N21" s="313"/>
      <c r="O21" s="314"/>
      <c r="P21" s="315"/>
      <c r="Q21" s="313">
        <v>6180</v>
      </c>
      <c r="R21" s="314">
        <f t="shared" si="5"/>
        <v>0.4873646209386282</v>
      </c>
      <c r="S21" s="315">
        <f t="shared" si="9"/>
        <v>0.1539151225343694</v>
      </c>
      <c r="T21" s="316">
        <v>6040</v>
      </c>
      <c r="U21" s="314">
        <f t="shared" si="6"/>
        <v>0.45367027677496985</v>
      </c>
      <c r="V21" s="315">
        <f t="shared" si="10"/>
        <v>0.15830996251933008</v>
      </c>
      <c r="W21" s="316">
        <v>5403</v>
      </c>
      <c r="X21" s="314">
        <f t="shared" si="7"/>
        <v>0.30036101083032496</v>
      </c>
      <c r="Y21" s="315">
        <f t="shared" si="11"/>
        <v>0.15049300874603086</v>
      </c>
      <c r="Z21" s="316">
        <v>4718</v>
      </c>
      <c r="AA21" s="314">
        <f t="shared" si="8"/>
        <v>0.13549939831528279</v>
      </c>
      <c r="AB21" s="315">
        <f t="shared" si="12"/>
        <v>0.13805009363295881</v>
      </c>
      <c r="AC21" s="316">
        <v>4155</v>
      </c>
      <c r="AD21" s="317">
        <f t="shared" si="13"/>
        <v>0.14374675661650232</v>
      </c>
    </row>
    <row r="22" spans="13:40" x14ac:dyDescent="0.2">
      <c r="M22" s="292" t="s">
        <v>40</v>
      </c>
      <c r="N22" s="293"/>
      <c r="O22" s="219"/>
      <c r="P22" s="297"/>
      <c r="Q22" s="293">
        <v>-1455</v>
      </c>
      <c r="R22" s="219">
        <f t="shared" si="5"/>
        <v>0.5062111801242235</v>
      </c>
      <c r="S22" s="297">
        <f t="shared" si="9"/>
        <v>-3.6237298266586969E-2</v>
      </c>
      <c r="T22" s="295">
        <v>-1398</v>
      </c>
      <c r="U22" s="219">
        <f t="shared" si="6"/>
        <v>0.44720496894409933</v>
      </c>
      <c r="V22" s="297">
        <f t="shared" si="10"/>
        <v>-3.6641941655964141E-2</v>
      </c>
      <c r="W22" s="295">
        <v>-1285</v>
      </c>
      <c r="X22" s="219">
        <f t="shared" si="7"/>
        <v>0.33022774327122151</v>
      </c>
      <c r="Y22" s="297">
        <f t="shared" si="11"/>
        <v>-3.5791877889811155E-2</v>
      </c>
      <c r="Z22" s="295">
        <v>-1211</v>
      </c>
      <c r="AA22" s="219">
        <f t="shared" si="8"/>
        <v>0.25362318840579712</v>
      </c>
      <c r="AB22" s="297">
        <f t="shared" si="12"/>
        <v>-3.5434222846441946E-2</v>
      </c>
      <c r="AC22" s="295">
        <v>-966</v>
      </c>
      <c r="AD22" s="296">
        <f t="shared" si="13"/>
        <v>-3.3419823559937729E-2</v>
      </c>
    </row>
    <row r="23" spans="13:40" x14ac:dyDescent="0.2">
      <c r="M23" s="292" t="s">
        <v>41</v>
      </c>
      <c r="N23" s="293"/>
      <c r="O23" s="219"/>
      <c r="P23" s="297"/>
      <c r="Q23" s="293">
        <v>14</v>
      </c>
      <c r="R23" s="219">
        <f t="shared" si="5"/>
        <v>-0.83333333333333337</v>
      </c>
      <c r="S23" s="297">
        <f t="shared" si="9"/>
        <v>3.4867503486750347E-4</v>
      </c>
      <c r="T23" s="295">
        <v>17</v>
      </c>
      <c r="U23" s="219">
        <f t="shared" si="6"/>
        <v>-0.79761904761904767</v>
      </c>
      <c r="V23" s="297">
        <f t="shared" si="10"/>
        <v>4.4557439781930648E-4</v>
      </c>
      <c r="W23" s="295">
        <v>51</v>
      </c>
      <c r="X23" s="219">
        <f t="shared" si="7"/>
        <v>-0.3928571428571429</v>
      </c>
      <c r="Y23" s="297">
        <f t="shared" si="11"/>
        <v>1.4205336750041781E-3</v>
      </c>
      <c r="Z23" s="295">
        <v>29</v>
      </c>
      <c r="AA23" s="219">
        <f t="shared" si="8"/>
        <v>-0.65476190476190477</v>
      </c>
      <c r="AB23" s="297">
        <f t="shared" si="12"/>
        <v>8.4854868913857679E-4</v>
      </c>
      <c r="AC23" s="295">
        <v>84</v>
      </c>
      <c r="AD23" s="296">
        <f t="shared" si="13"/>
        <v>2.9060716139076284E-3</v>
      </c>
    </row>
    <row r="24" spans="13:40" ht="15" customHeight="1" x14ac:dyDescent="0.2">
      <c r="M24" s="292" t="s">
        <v>42</v>
      </c>
      <c r="N24" s="293"/>
      <c r="O24" s="219"/>
      <c r="P24" s="297"/>
      <c r="Q24" s="293">
        <v>-388</v>
      </c>
      <c r="R24" s="219">
        <f>Q24/T24-1</f>
        <v>0.76363636363636367</v>
      </c>
      <c r="S24" s="297">
        <f t="shared" si="9"/>
        <v>-9.6632795377565254E-3</v>
      </c>
      <c r="T24" s="295">
        <v>-220</v>
      </c>
      <c r="U24" s="219"/>
      <c r="V24" s="297">
        <f t="shared" si="10"/>
        <v>-5.766256912955731E-3</v>
      </c>
      <c r="W24" s="295" t="s">
        <v>43</v>
      </c>
      <c r="X24" s="219"/>
      <c r="Y24" s="297"/>
      <c r="Z24" s="295" t="s">
        <v>43</v>
      </c>
      <c r="AA24" s="219"/>
      <c r="AB24" s="297"/>
      <c r="AC24" s="295" t="s">
        <v>43</v>
      </c>
      <c r="AD24" s="296"/>
    </row>
    <row r="25" spans="13:40" ht="15" customHeight="1" x14ac:dyDescent="0.2">
      <c r="M25" s="303" t="s">
        <v>44</v>
      </c>
      <c r="N25" s="318"/>
      <c r="O25" s="237"/>
      <c r="P25" s="319"/>
      <c r="Q25" s="318">
        <v>4351</v>
      </c>
      <c r="R25" s="237">
        <f t="shared" si="5"/>
        <v>0.32936144210204699</v>
      </c>
      <c r="S25" s="319">
        <f t="shared" si="9"/>
        <v>0.10836321976489341</v>
      </c>
      <c r="T25" s="320">
        <v>4439</v>
      </c>
      <c r="U25" s="237">
        <f t="shared" si="6"/>
        <v>0.35624809043690808</v>
      </c>
      <c r="V25" s="319">
        <f t="shared" si="10"/>
        <v>0.1163473383482295</v>
      </c>
      <c r="W25" s="320">
        <v>4169</v>
      </c>
      <c r="X25" s="237">
        <f t="shared" si="7"/>
        <v>0.27375496486403916</v>
      </c>
      <c r="Y25" s="319">
        <f>W25/$W$4</f>
        <v>0.11612166453122388</v>
      </c>
      <c r="Z25" s="320">
        <v>3536</v>
      </c>
      <c r="AA25" s="237">
        <f t="shared" si="8"/>
        <v>8.0354414909868721E-2</v>
      </c>
      <c r="AB25" s="319">
        <f>Z25/$Z$4</f>
        <v>0.10346441947565543</v>
      </c>
      <c r="AC25" s="320">
        <v>3273</v>
      </c>
      <c r="AD25" s="321">
        <f>AC25/$AC$4</f>
        <v>0.11323300467047223</v>
      </c>
    </row>
    <row r="26" spans="13:40" ht="15" customHeight="1" x14ac:dyDescent="0.2">
      <c r="M26" s="292" t="s">
        <v>45</v>
      </c>
      <c r="N26" s="322"/>
      <c r="O26" s="243"/>
      <c r="P26" s="323"/>
      <c r="Q26" s="322">
        <v>4163</v>
      </c>
      <c r="R26" s="243">
        <f t="shared" si="5"/>
        <v>0.29931335830212236</v>
      </c>
      <c r="S26" s="323">
        <f t="shared" si="9"/>
        <v>0.1036810121538155</v>
      </c>
      <c r="T26" s="324">
        <v>4269</v>
      </c>
      <c r="U26" s="243">
        <f t="shared" si="6"/>
        <v>0.33239700374531833</v>
      </c>
      <c r="V26" s="323">
        <f t="shared" si="10"/>
        <v>0.11189159437003643</v>
      </c>
      <c r="W26" s="324">
        <v>4003</v>
      </c>
      <c r="X26" s="243">
        <f t="shared" si="7"/>
        <v>0.24937578027465679</v>
      </c>
      <c r="Y26" s="323">
        <f>W26/$W$4</f>
        <v>0.11149796668709264</v>
      </c>
      <c r="Z26" s="324">
        <v>3477</v>
      </c>
      <c r="AA26" s="243">
        <f t="shared" si="8"/>
        <v>8.5205992509363337E-2</v>
      </c>
      <c r="AB26" s="323">
        <f>Z26/$Z$4</f>
        <v>0.10173806179775281</v>
      </c>
      <c r="AC26" s="324">
        <v>3204</v>
      </c>
      <c r="AD26" s="325">
        <f>AC26/$AC$4</f>
        <v>0.11084587441619097</v>
      </c>
    </row>
    <row r="27" spans="13:40" ht="15" customHeight="1" x14ac:dyDescent="0.2">
      <c r="M27" s="292" t="s">
        <v>46</v>
      </c>
      <c r="N27" s="326"/>
      <c r="O27" s="327"/>
      <c r="P27" s="328"/>
      <c r="Q27" s="326">
        <v>188</v>
      </c>
      <c r="R27" s="327">
        <f t="shared" si="5"/>
        <v>1.7246376811594204</v>
      </c>
      <c r="S27" s="328">
        <f t="shared" si="9"/>
        <v>4.6822076110779043E-3</v>
      </c>
      <c r="T27" s="329">
        <v>170</v>
      </c>
      <c r="U27" s="327">
        <f t="shared" si="6"/>
        <v>1.4637681159420288</v>
      </c>
      <c r="V27" s="328">
        <f t="shared" si="10"/>
        <v>4.4557439781930646E-3</v>
      </c>
      <c r="W27" s="329">
        <v>166</v>
      </c>
      <c r="X27" s="327">
        <f t="shared" si="7"/>
        <v>1.4057971014492754</v>
      </c>
      <c r="Y27" s="328">
        <f>W27/$W$4</f>
        <v>4.6236978441312462E-3</v>
      </c>
      <c r="Z27" s="329">
        <v>59</v>
      </c>
      <c r="AA27" s="327">
        <f t="shared" si="8"/>
        <v>-0.14492753623188404</v>
      </c>
      <c r="AB27" s="328">
        <f>Z27/$Z$4</f>
        <v>1.7263576779026218E-3</v>
      </c>
      <c r="AC27" s="329">
        <v>69</v>
      </c>
      <c r="AD27" s="330">
        <f>AC27/$AC$4</f>
        <v>2.3871302542812661E-3</v>
      </c>
    </row>
    <row r="28" spans="13:40" ht="15" customHeight="1" x14ac:dyDescent="0.2">
      <c r="M28" s="292" t="s">
        <v>47</v>
      </c>
      <c r="N28" s="331"/>
      <c r="O28" s="219"/>
      <c r="P28" s="297"/>
      <c r="Q28" s="331">
        <v>7.41</v>
      </c>
      <c r="R28" s="219">
        <f>Q28/AC28-1</f>
        <v>0.28645833333333348</v>
      </c>
      <c r="S28" s="297">
        <f t="shared" si="9"/>
        <v>1.8454871488344292E-4</v>
      </c>
      <c r="T28" s="332">
        <v>7.61</v>
      </c>
      <c r="U28" s="219">
        <f t="shared" si="6"/>
        <v>0.32118055555555558</v>
      </c>
      <c r="V28" s="297">
        <f t="shared" si="10"/>
        <v>1.9946006867087779E-4</v>
      </c>
      <c r="W28" s="332">
        <v>7.15</v>
      </c>
      <c r="X28" s="219">
        <f t="shared" si="7"/>
        <v>0.24131944444444464</v>
      </c>
      <c r="Y28" s="297">
        <f>W28/$W$4</f>
        <v>1.9915325051529163E-4</v>
      </c>
      <c r="Z28" s="332">
        <v>6.23</v>
      </c>
      <c r="AA28" s="219">
        <f t="shared" si="8"/>
        <v>8.1597222222222321E-2</v>
      </c>
      <c r="AB28" s="297">
        <f>Z28/$Z$4</f>
        <v>1.8229166666666667E-4</v>
      </c>
      <c r="AC28" s="332">
        <v>5.76</v>
      </c>
      <c r="AD28" s="296">
        <f>AC28/$AC$4</f>
        <v>1.9927348209652308E-4</v>
      </c>
    </row>
    <row r="29" spans="13:40" ht="15" customHeight="1" x14ac:dyDescent="0.2">
      <c r="M29" s="333" t="s">
        <v>48</v>
      </c>
      <c r="N29" s="334"/>
      <c r="O29" s="335"/>
      <c r="P29" s="336"/>
      <c r="Q29" s="334">
        <v>7.33</v>
      </c>
      <c r="R29" s="335">
        <f t="shared" si="5"/>
        <v>0.2927689594356262</v>
      </c>
      <c r="S29" s="336">
        <f t="shared" si="9"/>
        <v>1.8255628611277147E-4</v>
      </c>
      <c r="T29" s="337">
        <v>7.53</v>
      </c>
      <c r="U29" s="335">
        <f t="shared" si="6"/>
        <v>0.32804232804232814</v>
      </c>
      <c r="V29" s="336">
        <f t="shared" si="10"/>
        <v>1.9736324797525753E-4</v>
      </c>
      <c r="W29" s="337">
        <v>7.07</v>
      </c>
      <c r="X29" s="335">
        <f t="shared" si="7"/>
        <v>0.24691358024691357</v>
      </c>
      <c r="Y29" s="336">
        <f>W29/$W$4</f>
        <v>1.9692496239763802E-4</v>
      </c>
      <c r="Z29" s="337">
        <v>6.15</v>
      </c>
      <c r="AA29" s="335">
        <f t="shared" si="8"/>
        <v>8.4656084656084651E-2</v>
      </c>
      <c r="AB29" s="336">
        <f>Z29/$Z$4</f>
        <v>1.7995084269662923E-4</v>
      </c>
      <c r="AC29" s="337">
        <v>5.67</v>
      </c>
      <c r="AD29" s="338">
        <f>AC29/$AC$4</f>
        <v>1.9615983393876492E-4</v>
      </c>
    </row>
    <row r="31" spans="13:40" ht="23" customHeight="1" x14ac:dyDescent="0.2">
      <c r="M31" s="443" t="s">
        <v>49</v>
      </c>
      <c r="N31" s="443"/>
      <c r="O31" s="443"/>
      <c r="P31" s="443"/>
      <c r="Q31" s="443"/>
      <c r="R31" s="443"/>
      <c r="S31" s="443"/>
      <c r="T31" s="443"/>
      <c r="U31" s="443"/>
      <c r="V31" s="443"/>
      <c r="W31" s="443"/>
      <c r="X31" s="443"/>
      <c r="Y31" s="443"/>
      <c r="Z31" s="443"/>
      <c r="AA31" s="443"/>
      <c r="AB31" s="443"/>
      <c r="AC31" s="443"/>
      <c r="AD31" s="443"/>
      <c r="AE31" s="443"/>
      <c r="AF31" s="443"/>
      <c r="AG31" s="443"/>
      <c r="AH31" s="443"/>
      <c r="AI31" s="443"/>
      <c r="AJ31" s="443"/>
      <c r="AK31" s="443"/>
      <c r="AL31" s="443"/>
      <c r="AM31" s="443"/>
      <c r="AN31" s="443"/>
    </row>
    <row r="32" spans="13:40" ht="47" x14ac:dyDescent="0.2">
      <c r="M32" s="442"/>
      <c r="N32" s="442"/>
      <c r="O32" s="442"/>
      <c r="P32" s="442"/>
      <c r="Q32" s="442"/>
      <c r="R32" s="442"/>
      <c r="S32" s="442"/>
      <c r="T32" s="442"/>
      <c r="U32" s="442"/>
      <c r="V32" s="442"/>
      <c r="W32" s="442"/>
      <c r="X32" s="442"/>
      <c r="Y32" s="442"/>
      <c r="Z32" s="442"/>
      <c r="AA32" s="442"/>
      <c r="AB32" s="442"/>
      <c r="AC32" s="442"/>
      <c r="AD32" s="442"/>
      <c r="AE32" s="442"/>
      <c r="AF32" s="442"/>
      <c r="AG32" s="442"/>
      <c r="AH32" s="442"/>
      <c r="AI32" s="442"/>
      <c r="AJ32" s="442"/>
      <c r="AK32" s="442"/>
      <c r="AL32" s="442"/>
      <c r="AM32" s="442"/>
      <c r="AN32" s="442"/>
    </row>
    <row r="33" spans="6:40" ht="33" customHeight="1" x14ac:dyDescent="0.2">
      <c r="M33" s="442"/>
      <c r="N33" s="442"/>
      <c r="O33" s="442"/>
      <c r="P33" s="442"/>
      <c r="Q33" s="442"/>
      <c r="R33" s="442"/>
      <c r="S33" s="442"/>
      <c r="T33" s="442"/>
      <c r="U33" s="442"/>
      <c r="V33" s="442"/>
      <c r="W33" s="442"/>
      <c r="X33" s="442"/>
      <c r="Y33" s="442"/>
      <c r="Z33" s="442"/>
      <c r="AA33" s="442"/>
      <c r="AB33" s="442"/>
      <c r="AC33" s="442"/>
      <c r="AD33" s="442"/>
      <c r="AE33" s="442"/>
      <c r="AF33" s="442"/>
      <c r="AG33" s="442"/>
      <c r="AH33" s="442"/>
      <c r="AI33" s="442"/>
      <c r="AJ33" s="442"/>
      <c r="AK33" s="442"/>
      <c r="AL33" s="442"/>
      <c r="AM33" s="442"/>
      <c r="AN33" s="442"/>
    </row>
    <row r="34" spans="6:40" ht="81.75" customHeight="1" x14ac:dyDescent="0.2"/>
    <row r="35" spans="6:40" ht="33" customHeight="1" x14ac:dyDescent="0.2"/>
    <row r="37" spans="6:40" ht="114" customHeight="1" x14ac:dyDescent="0.2"/>
    <row r="38" spans="6:40" ht="114" customHeight="1" x14ac:dyDescent="0.2">
      <c r="O38" s="185"/>
      <c r="P38" s="332"/>
      <c r="Q38" s="388"/>
      <c r="R38" s="388"/>
      <c r="S38" s="332"/>
      <c r="T38" s="388"/>
      <c r="U38" s="388"/>
      <c r="V38" s="332"/>
      <c r="W38" s="388"/>
      <c r="X38" s="388"/>
      <c r="Y38" s="332"/>
      <c r="Z38" s="388"/>
      <c r="AA38" s="388"/>
      <c r="AB38" s="332"/>
      <c r="AC38" s="388"/>
      <c r="AD38" s="388"/>
      <c r="AE38" s="332"/>
      <c r="AF38" s="388"/>
    </row>
    <row r="39" spans="6:40" x14ac:dyDescent="0.2">
      <c r="S39" s="291"/>
    </row>
    <row r="40" spans="6:40" ht="18" customHeight="1" x14ac:dyDescent="0.2"/>
    <row r="41" spans="6:40" ht="33" customHeight="1" x14ac:dyDescent="0.2"/>
    <row r="42" spans="6:40" ht="81.75" customHeight="1" x14ac:dyDescent="0.2"/>
    <row r="43" spans="6:40" ht="65.25" customHeight="1" x14ac:dyDescent="0.2">
      <c r="V43" s="345"/>
      <c r="X43" s="345"/>
      <c r="Y43" s="345"/>
      <c r="AA43" s="345"/>
      <c r="AB43" s="345"/>
      <c r="AD43" s="345"/>
      <c r="AE43" s="345"/>
      <c r="AF43" s="345"/>
      <c r="AG43" s="345"/>
    </row>
    <row r="44" spans="6:40" ht="18" x14ac:dyDescent="0.2">
      <c r="F44" s="78"/>
      <c r="V44" s="352"/>
      <c r="X44" s="352"/>
      <c r="Y44" s="352"/>
      <c r="AA44" s="352"/>
      <c r="AB44" s="352"/>
      <c r="AD44" s="352"/>
      <c r="AE44" s="352"/>
      <c r="AF44" s="352"/>
      <c r="AG44" s="352"/>
    </row>
    <row r="45" spans="6:40" ht="18" x14ac:dyDescent="0.2">
      <c r="F45" s="78"/>
      <c r="V45" s="345"/>
      <c r="X45" s="345"/>
      <c r="Y45" s="345"/>
      <c r="AA45" s="345"/>
      <c r="AB45" s="345"/>
      <c r="AD45" s="345"/>
      <c r="AE45" s="345"/>
      <c r="AF45" s="345"/>
      <c r="AG45" s="345"/>
    </row>
    <row r="46" spans="6:40" ht="18" x14ac:dyDescent="0.2">
      <c r="F46" s="78"/>
      <c r="V46" s="352"/>
      <c r="X46" s="352"/>
      <c r="Y46" s="352"/>
      <c r="AA46" s="352"/>
      <c r="AB46" s="352"/>
      <c r="AD46" s="352"/>
      <c r="AE46" s="352"/>
      <c r="AF46" s="352"/>
    </row>
    <row r="47" spans="6:40" ht="18" x14ac:dyDescent="0.2">
      <c r="F47" s="78"/>
      <c r="V47" s="352"/>
      <c r="W47" s="365"/>
      <c r="X47" s="352"/>
      <c r="Y47" s="352"/>
      <c r="AA47" s="352"/>
      <c r="AB47" s="352"/>
      <c r="AD47" s="352"/>
      <c r="AE47" s="352"/>
      <c r="AF47" s="352"/>
      <c r="AG47" s="352"/>
    </row>
    <row r="48" spans="6:40" ht="18" x14ac:dyDescent="0.2">
      <c r="F48" s="78"/>
      <c r="V48" s="369"/>
      <c r="Y48" s="369"/>
      <c r="AA48" s="369"/>
      <c r="AB48" s="369"/>
      <c r="AD48" s="369"/>
      <c r="AE48" s="369"/>
      <c r="AF48" s="369"/>
      <c r="AG48" s="369"/>
    </row>
    <row r="49" spans="6:33" ht="18" x14ac:dyDescent="0.2">
      <c r="F49" s="78"/>
      <c r="V49" s="352"/>
      <c r="X49" s="352"/>
      <c r="Y49" s="352"/>
      <c r="AA49" s="352"/>
      <c r="AB49" s="352"/>
      <c r="AD49" s="352"/>
      <c r="AE49" s="352"/>
      <c r="AF49" s="352"/>
      <c r="AG49" s="352"/>
    </row>
    <row r="50" spans="6:33" ht="18" x14ac:dyDescent="0.2">
      <c r="F50" s="78"/>
      <c r="V50" s="369"/>
      <c r="X50" s="369"/>
      <c r="Y50" s="369"/>
      <c r="AA50" s="369"/>
      <c r="AB50" s="369"/>
      <c r="AD50" s="369"/>
      <c r="AE50" s="369"/>
      <c r="AF50" s="369"/>
      <c r="AG50" s="369"/>
    </row>
    <row r="51" spans="6:33" ht="18" x14ac:dyDescent="0.2">
      <c r="F51" s="78"/>
      <c r="V51" s="352"/>
      <c r="X51" s="352"/>
      <c r="Y51" s="352"/>
      <c r="AA51" s="352"/>
      <c r="AB51" s="352"/>
      <c r="AD51" s="352"/>
      <c r="AE51" s="352"/>
      <c r="AF51" s="352"/>
      <c r="AG51" s="352"/>
    </row>
    <row r="52" spans="6:33" ht="18" x14ac:dyDescent="0.2">
      <c r="F52" s="78"/>
      <c r="V52" s="369"/>
      <c r="X52" s="369"/>
      <c r="Y52" s="369"/>
      <c r="AA52" s="369"/>
      <c r="AB52" s="369"/>
      <c r="AD52" s="369"/>
      <c r="AE52" s="369"/>
      <c r="AF52" s="369"/>
      <c r="AG52" s="369"/>
    </row>
    <row r="53" spans="6:33" x14ac:dyDescent="0.2">
      <c r="F53" s="78"/>
      <c r="S53" s="291"/>
    </row>
    <row r="54" spans="6:33" x14ac:dyDescent="0.2">
      <c r="F54" s="78"/>
      <c r="O54" s="78" t="s">
        <v>50</v>
      </c>
      <c r="S54" s="291"/>
    </row>
    <row r="55" spans="6:33" x14ac:dyDescent="0.2">
      <c r="F55" s="78"/>
      <c r="S55" s="291"/>
    </row>
    <row r="56" spans="6:33" x14ac:dyDescent="0.2">
      <c r="F56" s="78"/>
      <c r="S56" s="291"/>
    </row>
    <row r="57" spans="6:33" x14ac:dyDescent="0.2">
      <c r="F57" s="78"/>
      <c r="S57" s="291"/>
    </row>
    <row r="58" spans="6:33" x14ac:dyDescent="0.2">
      <c r="F58" s="78"/>
      <c r="S58" s="291"/>
    </row>
    <row r="59" spans="6:33" x14ac:dyDescent="0.2">
      <c r="S59" s="291"/>
    </row>
    <row r="60" spans="6:33" x14ac:dyDescent="0.2">
      <c r="S60" s="291"/>
    </row>
    <row r="61" spans="6:33" x14ac:dyDescent="0.2">
      <c r="S61" s="291"/>
    </row>
    <row r="62" spans="6:33" x14ac:dyDescent="0.2">
      <c r="S62" s="291"/>
    </row>
    <row r="63" spans="6:33" x14ac:dyDescent="0.2">
      <c r="S63" s="291"/>
    </row>
    <row r="64" spans="6:33" x14ac:dyDescent="0.2">
      <c r="S64" s="291"/>
    </row>
    <row r="65" spans="3:40" x14ac:dyDescent="0.2">
      <c r="S65" s="291"/>
    </row>
    <row r="66" spans="3:40" x14ac:dyDescent="0.2">
      <c r="S66" s="291"/>
    </row>
    <row r="67" spans="3:40" x14ac:dyDescent="0.2">
      <c r="S67" s="291"/>
    </row>
    <row r="68" spans="3:40" x14ac:dyDescent="0.2">
      <c r="S68" s="291"/>
    </row>
    <row r="69" spans="3:40" x14ac:dyDescent="0.2">
      <c r="S69" s="291"/>
    </row>
    <row r="70" spans="3:40" x14ac:dyDescent="0.2">
      <c r="S70" s="291"/>
      <c r="AN70" s="291"/>
    </row>
    <row r="71" spans="3:40" x14ac:dyDescent="0.2">
      <c r="S71" s="291"/>
    </row>
    <row r="72" spans="3:40" ht="19" customHeight="1" x14ac:dyDescent="0.25">
      <c r="C72" s="381"/>
      <c r="D72" s="381"/>
      <c r="E72" s="381"/>
      <c r="F72" s="381"/>
      <c r="S72" s="291"/>
    </row>
    <row r="73" spans="3:40" ht="18" x14ac:dyDescent="0.2">
      <c r="C73" s="382"/>
      <c r="D73" s="382"/>
      <c r="E73" s="382"/>
      <c r="F73" s="382"/>
      <c r="S73" s="291"/>
    </row>
    <row r="74" spans="3:40" ht="18" x14ac:dyDescent="0.2">
      <c r="C74" s="383"/>
      <c r="D74" s="383"/>
      <c r="E74" s="383"/>
      <c r="F74" s="384"/>
      <c r="S74" s="291"/>
    </row>
    <row r="75" spans="3:40" ht="18" x14ac:dyDescent="0.2">
      <c r="C75" s="385"/>
      <c r="D75" s="385"/>
      <c r="E75" s="385"/>
      <c r="F75" s="386"/>
      <c r="S75" s="291"/>
    </row>
    <row r="76" spans="3:40" ht="18" x14ac:dyDescent="0.2">
      <c r="C76" s="383"/>
      <c r="D76" s="383"/>
      <c r="E76" s="383"/>
      <c r="F76" s="384"/>
      <c r="S76" s="291"/>
    </row>
    <row r="77" spans="3:40" ht="18" x14ac:dyDescent="0.2">
      <c r="C77" s="385"/>
      <c r="D77" s="385"/>
      <c r="E77" s="385"/>
      <c r="F77" s="386"/>
      <c r="S77" s="291"/>
    </row>
    <row r="78" spans="3:40" ht="18" x14ac:dyDescent="0.2">
      <c r="C78" s="385"/>
      <c r="D78" s="385"/>
      <c r="E78" s="385"/>
      <c r="F78" s="386"/>
      <c r="S78" s="291"/>
    </row>
    <row r="79" spans="3:40" ht="18" x14ac:dyDescent="0.2">
      <c r="C79" s="385"/>
      <c r="D79" s="385"/>
      <c r="E79" s="385"/>
      <c r="F79" s="386"/>
    </row>
    <row r="80" spans="3:40" ht="18" x14ac:dyDescent="0.2">
      <c r="C80" s="383"/>
      <c r="D80" s="383"/>
      <c r="E80" s="383"/>
      <c r="F80" s="384"/>
    </row>
    <row r="81" spans="3:6" ht="18" x14ac:dyDescent="0.2">
      <c r="C81" s="385"/>
      <c r="D81" s="385"/>
      <c r="E81" s="385"/>
      <c r="F81" s="386"/>
    </row>
    <row r="82" spans="3:6" ht="18" x14ac:dyDescent="0.2">
      <c r="C82" s="383"/>
      <c r="D82" s="383"/>
      <c r="E82" s="383"/>
      <c r="F82" s="384"/>
    </row>
    <row r="83" spans="3:6" ht="18" x14ac:dyDescent="0.2">
      <c r="C83" s="385"/>
      <c r="D83" s="385"/>
      <c r="E83" s="385"/>
      <c r="F83" s="387"/>
    </row>
    <row r="84" spans="3:6" ht="18" x14ac:dyDescent="0.2">
      <c r="C84" s="383"/>
      <c r="D84" s="383"/>
      <c r="E84" s="383"/>
      <c r="F84" s="384"/>
    </row>
    <row r="85" spans="3:6" ht="18" x14ac:dyDescent="0.2">
      <c r="C85" s="385"/>
      <c r="D85" s="385"/>
      <c r="E85" s="385"/>
      <c r="F85" s="386"/>
    </row>
    <row r="86" spans="3:6" ht="18" x14ac:dyDescent="0.2">
      <c r="C86" s="385"/>
      <c r="D86" s="385"/>
      <c r="E86" s="385"/>
      <c r="F86" s="387"/>
    </row>
    <row r="87" spans="3:6" ht="18" x14ac:dyDescent="0.2">
      <c r="C87" s="383"/>
      <c r="D87" s="383"/>
      <c r="E87" s="383"/>
      <c r="F87" s="384"/>
    </row>
    <row r="88" spans="3:6" ht="18" x14ac:dyDescent="0.2">
      <c r="C88" s="385"/>
      <c r="D88" s="385"/>
      <c r="E88" s="385"/>
      <c r="F88" s="387"/>
    </row>
    <row r="89" spans="3:6" ht="18" x14ac:dyDescent="0.2">
      <c r="C89" s="383"/>
      <c r="D89" s="383"/>
      <c r="E89" s="383"/>
      <c r="F89" s="384"/>
    </row>
  </sheetData>
  <mergeCells count="2">
    <mergeCell ref="A1:B1048576"/>
    <mergeCell ref="M31:AN3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tint="0.39997558519241921"/>
  </sheetPr>
  <dimension ref="A1:BI115"/>
  <sheetViews>
    <sheetView showGridLines="0" topLeftCell="P1" zoomScale="61" workbookViewId="0">
      <selection sqref="A1:D1048576"/>
    </sheetView>
  </sheetViews>
  <sheetFormatPr baseColWidth="10" defaultColWidth="8.83203125" defaultRowHeight="15" x14ac:dyDescent="0.2"/>
  <cols>
    <col min="1" max="1" width="13" style="290" customWidth="1"/>
    <col min="2" max="2" width="31.5" style="290" bestFit="1" customWidth="1"/>
    <col min="3" max="3" width="14.1640625" style="290" customWidth="1"/>
    <col min="4" max="4" width="16.5" style="390" bestFit="1" customWidth="1"/>
    <col min="5" max="6" width="15.83203125" style="4" customWidth="1"/>
    <col min="7" max="7" width="15.1640625" style="56" customWidth="1"/>
    <col min="8" max="8" width="12" customWidth="1"/>
    <col min="9" max="9" width="15.1640625" customWidth="1"/>
    <col min="10" max="10" width="20.5" style="56" customWidth="1"/>
    <col min="11" max="11" width="12.6640625" customWidth="1"/>
    <col min="12" max="12" width="15.6640625" customWidth="1"/>
    <col min="13" max="13" width="19.33203125" style="56" customWidth="1"/>
    <col min="14" max="14" width="31.5" bestFit="1" customWidth="1"/>
    <col min="15" max="15" width="11.6640625" customWidth="1"/>
    <col min="16" max="16" width="11.83203125" style="56" bestFit="1" customWidth="1"/>
    <col min="17" max="29" width="12.33203125" customWidth="1"/>
    <col min="30" max="30" width="20.5" style="4" customWidth="1"/>
    <col min="31" max="31" width="18.33203125" customWidth="1"/>
    <col min="32" max="32" width="11.5" style="4" customWidth="1"/>
    <col min="33" max="33" width="17.5" bestFit="1" customWidth="1"/>
    <col min="34" max="34" width="4.6640625" style="4" bestFit="1" customWidth="1"/>
    <col min="35" max="35" width="16.5" customWidth="1"/>
    <col min="36" max="36" width="11.83203125" bestFit="1" customWidth="1"/>
    <col min="37" max="37" width="8.6640625" bestFit="1" customWidth="1"/>
    <col min="38" max="38" width="11.83203125" bestFit="1" customWidth="1"/>
    <col min="39" max="39" width="8.6640625" bestFit="1" customWidth="1"/>
    <col min="40" max="40" width="11.83203125" style="5" bestFit="1" customWidth="1"/>
    <col min="41" max="41" width="8.33203125" bestFit="1" customWidth="1"/>
    <col min="42" max="42" width="11.83203125" style="5" bestFit="1" customWidth="1"/>
    <col min="43" max="43" width="9.5" bestFit="1" customWidth="1"/>
    <col min="44" max="44" width="11.83203125" style="5" bestFit="1" customWidth="1"/>
    <col min="45" max="45" width="15.83203125" bestFit="1" customWidth="1"/>
    <col min="46" max="46" width="9.83203125" style="5" customWidth="1"/>
    <col min="47" max="47" width="42.5" bestFit="1" customWidth="1"/>
    <col min="48" max="48" width="11.83203125" bestFit="1" customWidth="1"/>
    <col min="49" max="49" width="8.6640625" bestFit="1" customWidth="1"/>
    <col min="50" max="50" width="11.83203125" bestFit="1" customWidth="1"/>
    <col min="51" max="51" width="8.6640625" bestFit="1" customWidth="1"/>
    <col min="52" max="52" width="11.83203125" bestFit="1" customWidth="1"/>
    <col min="53" max="53" width="8.6640625" bestFit="1" customWidth="1"/>
    <col min="54" max="54" width="11.83203125" bestFit="1" customWidth="1"/>
    <col min="55" max="55" width="9.33203125" bestFit="1" customWidth="1"/>
    <col min="56" max="56" width="11.83203125" bestFit="1" customWidth="1"/>
  </cols>
  <sheetData>
    <row r="1" spans="1:61" ht="47" x14ac:dyDescent="0.55000000000000004">
      <c r="A1" s="411"/>
      <c r="B1" s="411"/>
      <c r="G1" s="413"/>
      <c r="N1" s="167" t="s">
        <v>51</v>
      </c>
      <c r="O1" s="167" t="s">
        <v>52</v>
      </c>
      <c r="P1" s="168">
        <v>2025</v>
      </c>
      <c r="Q1" s="168"/>
      <c r="R1" s="169"/>
      <c r="S1" s="282">
        <v>2024</v>
      </c>
      <c r="T1" s="283"/>
      <c r="U1" s="284"/>
      <c r="V1" s="285">
        <v>2023</v>
      </c>
      <c r="W1" s="168"/>
      <c r="X1" s="168"/>
      <c r="Y1" s="168">
        <v>2022</v>
      </c>
      <c r="Z1" s="168"/>
      <c r="AA1" s="168"/>
      <c r="AB1" s="168">
        <v>2021</v>
      </c>
      <c r="AC1" s="168"/>
      <c r="AE1" s="412" t="s">
        <v>49</v>
      </c>
      <c r="AF1" s="412"/>
      <c r="AG1" s="412"/>
      <c r="AH1" s="412"/>
      <c r="AI1" s="412"/>
      <c r="AJ1" s="412"/>
      <c r="AK1" s="412"/>
      <c r="AL1" s="412"/>
      <c r="AM1" s="412"/>
      <c r="AN1" s="412"/>
      <c r="AO1" s="391"/>
      <c r="AP1" s="391"/>
      <c r="AQ1" s="392"/>
      <c r="AR1" s="392"/>
      <c r="AS1" s="392"/>
      <c r="AT1" s="392"/>
      <c r="AU1" s="392"/>
      <c r="AV1" s="392"/>
      <c r="AW1" s="392"/>
      <c r="AX1" s="392"/>
      <c r="AY1" s="392"/>
      <c r="AZ1" s="392"/>
      <c r="BA1" s="392"/>
      <c r="BB1" s="392"/>
      <c r="BC1" s="392"/>
      <c r="BD1" s="392"/>
      <c r="BE1" s="392"/>
      <c r="BF1" s="392"/>
      <c r="BG1" s="392"/>
      <c r="BH1" s="392"/>
      <c r="BI1" s="392"/>
    </row>
    <row r="2" spans="1:61" ht="47" x14ac:dyDescent="0.55000000000000004">
      <c r="A2" s="411"/>
      <c r="B2" s="411"/>
      <c r="G2" s="413"/>
      <c r="N2" s="167"/>
      <c r="O2" s="167"/>
      <c r="P2" s="170" t="s">
        <v>53</v>
      </c>
      <c r="Q2" s="168" t="s">
        <v>7</v>
      </c>
      <c r="R2" s="168" t="s">
        <v>8</v>
      </c>
      <c r="S2" s="170" t="s">
        <v>53</v>
      </c>
      <c r="T2" s="171" t="s">
        <v>7</v>
      </c>
      <c r="U2" s="169" t="s">
        <v>8</v>
      </c>
      <c r="V2" s="170" t="s">
        <v>53</v>
      </c>
      <c r="W2" s="171" t="s">
        <v>7</v>
      </c>
      <c r="X2" s="169" t="s">
        <v>8</v>
      </c>
      <c r="Y2" s="172" t="s">
        <v>53</v>
      </c>
      <c r="Z2" s="171" t="s">
        <v>7</v>
      </c>
      <c r="AA2" s="169" t="s">
        <v>8</v>
      </c>
      <c r="AB2" s="170" t="s">
        <v>53</v>
      </c>
      <c r="AC2" s="173" t="s">
        <v>8</v>
      </c>
      <c r="AE2" s="391"/>
      <c r="AF2" s="391"/>
      <c r="AG2" s="391"/>
      <c r="AH2" s="391"/>
      <c r="AI2" s="391"/>
      <c r="AJ2" s="391"/>
      <c r="AK2" s="391"/>
      <c r="AL2" s="391"/>
      <c r="AM2" s="391"/>
      <c r="AN2" s="391"/>
      <c r="AO2" s="391"/>
      <c r="AP2" s="391"/>
      <c r="AQ2" s="392"/>
      <c r="AR2" s="392"/>
      <c r="AS2" s="392"/>
      <c r="AT2" s="392"/>
      <c r="AU2" s="392"/>
      <c r="AV2" s="392"/>
      <c r="AW2" s="392"/>
      <c r="AX2" s="392"/>
      <c r="AY2" s="392"/>
      <c r="AZ2" s="392"/>
      <c r="BA2" s="392"/>
      <c r="BB2" s="392"/>
      <c r="BC2" s="392"/>
      <c r="BD2" s="392"/>
      <c r="BE2" s="392"/>
      <c r="BF2" s="392"/>
      <c r="BG2" s="392"/>
      <c r="BH2" s="392"/>
      <c r="BI2" s="392"/>
    </row>
    <row r="3" spans="1:61" ht="47" x14ac:dyDescent="0.55000000000000004">
      <c r="A3" s="411"/>
      <c r="B3" s="411"/>
      <c r="G3" s="413"/>
      <c r="N3" s="39" t="s">
        <v>54</v>
      </c>
      <c r="O3" s="30"/>
      <c r="P3" s="57">
        <v>31080</v>
      </c>
      <c r="Q3" s="25">
        <f t="shared" ref="Q3:Q8" si="0">(P3-AB3)/AB3</f>
        <v>-4.1334230510429682E-3</v>
      </c>
      <c r="R3" s="26">
        <f>P3/$P$6</f>
        <v>0.76805219196362373</v>
      </c>
      <c r="S3" s="53">
        <v>32561</v>
      </c>
      <c r="T3" s="25">
        <f t="shared" ref="T3:T8" si="1">S3/AB3-1</f>
        <v>4.3320836938062657E-2</v>
      </c>
      <c r="U3" s="29">
        <f t="shared" ref="U3:U14" si="2">S3/$S$12</f>
        <v>0.49377492683074775</v>
      </c>
      <c r="V3" s="53">
        <v>30501</v>
      </c>
      <c r="W3" s="25">
        <f t="shared" ref="W3:W8" si="3">V3/AB3-1</f>
        <v>-2.268576372200326E-2</v>
      </c>
      <c r="X3" s="29">
        <f t="shared" ref="X3:X21" si="4">V3/$V$12</f>
        <v>0.51785259512046045</v>
      </c>
      <c r="Y3" s="53">
        <v>31509</v>
      </c>
      <c r="Z3" s="25">
        <f>Y3/AB3-1</f>
        <v>9.6126117466115435E-3</v>
      </c>
      <c r="AA3" s="29">
        <f t="shared" ref="AA3:AA14" si="5">Y3/$Y$12</f>
        <v>0.53983347039473684</v>
      </c>
      <c r="AB3" s="53">
        <v>31209</v>
      </c>
      <c r="AC3" s="26">
        <f t="shared" ref="AC3:AC26" si="6">AB3/$AB$12</f>
        <v>0.57214878911764167</v>
      </c>
      <c r="AE3" s="391"/>
      <c r="AF3" s="391"/>
      <c r="AG3" s="391"/>
      <c r="AH3" s="391"/>
      <c r="AI3" s="391"/>
      <c r="AJ3" s="391"/>
      <c r="AK3" s="391"/>
      <c r="AL3" s="391"/>
      <c r="AM3" s="391"/>
      <c r="AN3" s="391"/>
      <c r="AO3" s="391"/>
      <c r="AP3" s="391"/>
      <c r="AQ3" s="392"/>
      <c r="AR3" s="392"/>
      <c r="AS3" s="392"/>
      <c r="AT3" s="392"/>
      <c r="AU3" s="392"/>
      <c r="AV3" s="392"/>
      <c r="AW3" s="392"/>
      <c r="AX3" s="392"/>
      <c r="AY3" s="392"/>
      <c r="AZ3" s="392"/>
      <c r="BA3" s="392"/>
      <c r="BB3" s="392"/>
      <c r="BC3" s="392"/>
      <c r="BD3" s="392"/>
      <c r="BE3" s="392"/>
      <c r="BF3" s="392"/>
      <c r="BG3" s="392"/>
      <c r="BH3" s="392"/>
      <c r="BI3" s="392"/>
    </row>
    <row r="4" spans="1:61" ht="16" customHeight="1" x14ac:dyDescent="0.2">
      <c r="A4" s="411"/>
      <c r="B4" s="411"/>
      <c r="G4" s="413"/>
      <c r="N4" s="39" t="s">
        <v>55</v>
      </c>
      <c r="O4" s="30"/>
      <c r="P4" s="53">
        <v>5481</v>
      </c>
      <c r="Q4" s="25">
        <f t="shared" si="0"/>
        <v>0.4325666492420282</v>
      </c>
      <c r="R4" s="26">
        <f>P4/$P$6</f>
        <v>0.13544704196115256</v>
      </c>
      <c r="S4" s="53">
        <v>4884</v>
      </c>
      <c r="T4" s="25">
        <f t="shared" si="1"/>
        <v>0.27652901202300062</v>
      </c>
      <c r="U4" s="26">
        <f t="shared" si="2"/>
        <v>7.4063964332832896E-2</v>
      </c>
      <c r="V4" s="53">
        <v>4209</v>
      </c>
      <c r="W4" s="25">
        <f t="shared" si="3"/>
        <v>0.10010454783063261</v>
      </c>
      <c r="X4" s="26">
        <f t="shared" si="4"/>
        <v>7.1461315132684763E-2</v>
      </c>
      <c r="Y4" s="53">
        <v>3935</v>
      </c>
      <c r="Z4" s="25">
        <f t="shared" ref="Z4:Z26" si="7">Y4/AB4-1</f>
        <v>2.8489283847360269E-2</v>
      </c>
      <c r="AA4" s="26">
        <f t="shared" si="5"/>
        <v>6.7417077850877194E-2</v>
      </c>
      <c r="AB4" s="53">
        <v>3826</v>
      </c>
      <c r="AC4" s="26">
        <f t="shared" si="6"/>
        <v>7.0141345995196808E-2</v>
      </c>
      <c r="AT4"/>
    </row>
    <row r="5" spans="1:61" x14ac:dyDescent="0.2">
      <c r="A5" s="411"/>
      <c r="B5" s="411"/>
      <c r="G5" s="413"/>
      <c r="N5" s="39" t="s">
        <v>56</v>
      </c>
      <c r="O5" s="30"/>
      <c r="P5" s="53">
        <v>3905</v>
      </c>
      <c r="Q5" s="25">
        <f t="shared" si="0"/>
        <v>-4.4765166340508804E-2</v>
      </c>
      <c r="R5" s="26">
        <f>P5/$P$6</f>
        <v>9.6500766075223648E-2</v>
      </c>
      <c r="S5" s="53">
        <v>4506</v>
      </c>
      <c r="T5" s="25">
        <f t="shared" si="1"/>
        <v>0.10225048923679059</v>
      </c>
      <c r="U5" s="26">
        <f t="shared" si="2"/>
        <v>6.8331741049087846E-2</v>
      </c>
      <c r="V5" s="53">
        <v>4087</v>
      </c>
      <c r="W5" s="25">
        <f t="shared" si="3"/>
        <v>-2.4461839530331986E-4</v>
      </c>
      <c r="X5" s="26">
        <f t="shared" si="4"/>
        <v>6.9389972665070715E-2</v>
      </c>
      <c r="Y5" s="53">
        <v>3982</v>
      </c>
      <c r="Z5" s="25">
        <f t="shared" si="7"/>
        <v>-2.5929549902152682E-2</v>
      </c>
      <c r="AA5" s="26">
        <f t="shared" si="5"/>
        <v>6.8222313596491224E-2</v>
      </c>
      <c r="AB5" s="53">
        <v>4088</v>
      </c>
      <c r="AC5" s="26">
        <f t="shared" si="6"/>
        <v>7.4944543237941585E-2</v>
      </c>
      <c r="AT5"/>
    </row>
    <row r="6" spans="1:61" x14ac:dyDescent="0.2">
      <c r="A6" s="411"/>
      <c r="B6" s="411"/>
      <c r="G6" s="413"/>
      <c r="N6" s="40" t="s">
        <v>57</v>
      </c>
      <c r="O6" s="31"/>
      <c r="P6" s="54">
        <f>P3+P4+P5</f>
        <v>40466</v>
      </c>
      <c r="Q6" s="59">
        <f t="shared" si="0"/>
        <v>3.432763336144979E-2</v>
      </c>
      <c r="R6" s="60">
        <f>P6/$P$12</f>
        <v>0.64741456546781007</v>
      </c>
      <c r="S6" s="53">
        <f>S3+S4+S5</f>
        <v>41951</v>
      </c>
      <c r="T6" s="25">
        <f t="shared" si="1"/>
        <v>7.2284845231705086E-2</v>
      </c>
      <c r="U6" s="26">
        <f t="shared" si="2"/>
        <v>0.63617063221266856</v>
      </c>
      <c r="V6" s="95">
        <f t="shared" ref="V6:AB6" si="8">V3+V4+V5</f>
        <v>38797</v>
      </c>
      <c r="W6" s="25">
        <f t="shared" si="3"/>
        <v>-8.332694323032519E-3</v>
      </c>
      <c r="X6" s="26">
        <f t="shared" si="4"/>
        <v>0.65870388291821591</v>
      </c>
      <c r="Y6" s="54">
        <f t="shared" si="8"/>
        <v>39426</v>
      </c>
      <c r="Z6" s="25">
        <f t="shared" si="7"/>
        <v>7.7448048462540608E-3</v>
      </c>
      <c r="AA6" s="26">
        <f t="shared" si="5"/>
        <v>0.67547286184210531</v>
      </c>
      <c r="AB6" s="54">
        <f t="shared" si="8"/>
        <v>39123</v>
      </c>
      <c r="AC6" s="26">
        <f t="shared" si="6"/>
        <v>0.71723467835078003</v>
      </c>
      <c r="AT6"/>
    </row>
    <row r="7" spans="1:61" x14ac:dyDescent="0.2">
      <c r="A7" s="411"/>
      <c r="B7" s="411"/>
      <c r="G7" s="413"/>
      <c r="N7" s="39" t="s">
        <v>58</v>
      </c>
      <c r="O7" s="30"/>
      <c r="P7" s="53">
        <v>5368</v>
      </c>
      <c r="Q7" s="25">
        <f t="shared" si="0"/>
        <v>0.35180055401662053</v>
      </c>
      <c r="R7" s="26">
        <f>P7/$P$11</f>
        <v>0.24357927216625827</v>
      </c>
      <c r="S7" s="53">
        <v>5411</v>
      </c>
      <c r="T7" s="25">
        <f t="shared" si="1"/>
        <v>0.36262906069000245</v>
      </c>
      <c r="U7" s="26">
        <f t="shared" si="2"/>
        <v>8.2055714783980105E-2</v>
      </c>
      <c r="V7" s="53">
        <v>4519</v>
      </c>
      <c r="W7" s="25">
        <f t="shared" si="3"/>
        <v>0.13800050365147309</v>
      </c>
      <c r="X7" s="26">
        <f t="shared" si="4"/>
        <v>7.6724562386458181E-2</v>
      </c>
      <c r="Y7" s="53">
        <v>4346</v>
      </c>
      <c r="Z7" s="25">
        <f t="shared" si="7"/>
        <v>9.4434651221354748E-2</v>
      </c>
      <c r="AA7" s="26">
        <f t="shared" si="5"/>
        <v>7.4458607456140358E-2</v>
      </c>
      <c r="AB7" s="53">
        <v>3971</v>
      </c>
      <c r="AC7" s="26">
        <f t="shared" si="6"/>
        <v>7.2799604011219682E-2</v>
      </c>
      <c r="AT7"/>
    </row>
    <row r="8" spans="1:61" ht="16" customHeight="1" x14ac:dyDescent="0.2">
      <c r="A8" s="411"/>
      <c r="B8" s="411"/>
      <c r="G8" s="413"/>
      <c r="N8" s="39" t="s">
        <v>59</v>
      </c>
      <c r="O8" s="30"/>
      <c r="P8" s="53">
        <v>9836</v>
      </c>
      <c r="Q8" s="25">
        <f t="shared" si="0"/>
        <v>0.44032801288622053</v>
      </c>
      <c r="R8" s="26">
        <f>P8/$P$11</f>
        <v>0.44631999273981304</v>
      </c>
      <c r="S8" s="53">
        <v>9364</v>
      </c>
      <c r="T8" s="25">
        <f t="shared" si="1"/>
        <v>0.37121101186118022</v>
      </c>
      <c r="U8" s="26">
        <f t="shared" si="2"/>
        <v>0.14200142547351499</v>
      </c>
      <c r="V8" s="96">
        <v>8388</v>
      </c>
      <c r="W8" s="25">
        <f t="shared" si="3"/>
        <v>0.2282911114365207</v>
      </c>
      <c r="X8" s="26">
        <f t="shared" si="4"/>
        <v>0.14241328375693985</v>
      </c>
      <c r="Y8" s="53">
        <v>7514</v>
      </c>
      <c r="Z8" s="25">
        <f t="shared" si="7"/>
        <v>0.10030751208083166</v>
      </c>
      <c r="AA8" s="26">
        <f t="shared" si="5"/>
        <v>0.12873492324561403</v>
      </c>
      <c r="AB8" s="53">
        <v>6829</v>
      </c>
      <c r="AC8" s="26">
        <f t="shared" si="6"/>
        <v>0.12519478614772581</v>
      </c>
      <c r="AT8"/>
    </row>
    <row r="9" spans="1:61" ht="16" customHeight="1" x14ac:dyDescent="0.2">
      <c r="A9" s="411"/>
      <c r="B9" s="411"/>
      <c r="G9" s="413"/>
      <c r="N9" s="39" t="s">
        <v>60</v>
      </c>
      <c r="O9" s="30"/>
      <c r="P9" s="53">
        <v>2200</v>
      </c>
      <c r="Q9" s="25">
        <f t="shared" ref="Q9:Q16" si="9">(P9-AB9)/AB9</f>
        <v>9.8901098901098897E-2</v>
      </c>
      <c r="R9" s="26">
        <f>P9/$P$11</f>
        <v>9.9827570559941917E-2</v>
      </c>
      <c r="S9" s="53">
        <v>2330</v>
      </c>
      <c r="T9" s="25">
        <f t="shared" ref="T9:T14" si="10">S9/AB9-1</f>
        <v>0.16383616383616384</v>
      </c>
      <c r="U9" s="26">
        <f t="shared" si="2"/>
        <v>3.5333545637899401E-2</v>
      </c>
      <c r="V9" s="96">
        <v>2290</v>
      </c>
      <c r="W9" s="25">
        <f t="shared" ref="W9:W16" si="11">V9/AB9-1</f>
        <v>0.14385614385614387</v>
      </c>
      <c r="X9" s="26">
        <f t="shared" si="4"/>
        <v>3.8880116810132599E-2</v>
      </c>
      <c r="Y9" s="53">
        <v>2155</v>
      </c>
      <c r="Z9" s="25">
        <f t="shared" si="7"/>
        <v>7.6423576423576334E-2</v>
      </c>
      <c r="AA9" s="26">
        <f t="shared" si="5"/>
        <v>3.692091557017544E-2</v>
      </c>
      <c r="AB9" s="53">
        <v>2002</v>
      </c>
      <c r="AC9" s="26">
        <f t="shared" si="6"/>
        <v>3.6702293435019344E-2</v>
      </c>
      <c r="AT9"/>
    </row>
    <row r="10" spans="1:61" ht="16" customHeight="1" x14ac:dyDescent="0.2">
      <c r="A10" s="411"/>
      <c r="B10" s="411"/>
      <c r="G10" s="413"/>
      <c r="N10" s="39" t="s">
        <v>61</v>
      </c>
      <c r="O10" s="30"/>
      <c r="P10" s="53">
        <v>4634</v>
      </c>
      <c r="Q10" s="25">
        <f t="shared" si="9"/>
        <v>0.76735316552250188</v>
      </c>
      <c r="R10" s="26">
        <f>P10/$P$11</f>
        <v>0.21027316453398676</v>
      </c>
      <c r="S10" s="53">
        <v>6887</v>
      </c>
      <c r="T10" s="25">
        <f t="shared" si="10"/>
        <v>1.6266209000762775</v>
      </c>
      <c r="U10" s="26">
        <f t="shared" si="2"/>
        <v>0.10443868189193697</v>
      </c>
      <c r="V10" s="53">
        <v>4696</v>
      </c>
      <c r="W10" s="25">
        <f t="shared" si="11"/>
        <v>0.79099923722349352</v>
      </c>
      <c r="X10" s="26">
        <f t="shared" si="4"/>
        <v>7.9729706786193316E-2</v>
      </c>
      <c r="Y10" s="53">
        <v>4927</v>
      </c>
      <c r="Z10" s="25">
        <f t="shared" si="7"/>
        <v>0.87909992372234935</v>
      </c>
      <c r="AA10" s="26">
        <f t="shared" si="5"/>
        <v>8.4412691885964911E-2</v>
      </c>
      <c r="AB10" s="53">
        <v>2622</v>
      </c>
      <c r="AC10" s="26">
        <f t="shared" si="6"/>
        <v>4.8068638055255103E-2</v>
      </c>
      <c r="AT10"/>
    </row>
    <row r="11" spans="1:61" x14ac:dyDescent="0.2">
      <c r="A11" s="411"/>
      <c r="B11" s="411"/>
      <c r="G11" s="413"/>
      <c r="N11" s="40" t="s">
        <v>62</v>
      </c>
      <c r="O11" s="31"/>
      <c r="P11" s="54">
        <f>P7+P8+P9+P10</f>
        <v>22038</v>
      </c>
      <c r="Q11" s="25">
        <f t="shared" si="9"/>
        <v>0.42881224066390039</v>
      </c>
      <c r="R11" s="60">
        <f>P11/$P$12</f>
        <v>0.35258543453218993</v>
      </c>
      <c r="S11" s="53">
        <f>S7+S8+S9+S10</f>
        <v>23992</v>
      </c>
      <c r="T11" s="25">
        <f t="shared" si="10"/>
        <v>0.55549792531120334</v>
      </c>
      <c r="U11" s="26">
        <f t="shared" si="2"/>
        <v>0.36382936778733149</v>
      </c>
      <c r="V11" s="53">
        <f t="shared" ref="V11:AB11" si="12">V7+V8+V9+V10</f>
        <v>19893</v>
      </c>
      <c r="W11" s="25">
        <f t="shared" si="11"/>
        <v>0.2897432572614107</v>
      </c>
      <c r="X11" s="26">
        <f t="shared" si="4"/>
        <v>0.33774766973972392</v>
      </c>
      <c r="Y11" s="54">
        <f t="shared" si="12"/>
        <v>18942</v>
      </c>
      <c r="Z11" s="25">
        <f t="shared" si="7"/>
        <v>0.22808609958506221</v>
      </c>
      <c r="AA11" s="26">
        <f t="shared" si="5"/>
        <v>0.32452713815789475</v>
      </c>
      <c r="AB11" s="54">
        <f t="shared" si="12"/>
        <v>15424</v>
      </c>
      <c r="AC11" s="26">
        <f t="shared" si="6"/>
        <v>0.28276532164921991</v>
      </c>
      <c r="AT11"/>
    </row>
    <row r="12" spans="1:61" ht="15" customHeight="1" x14ac:dyDescent="0.2">
      <c r="A12" s="411"/>
      <c r="B12" s="411"/>
      <c r="G12" s="413"/>
      <c r="N12" s="40" t="s">
        <v>63</v>
      </c>
      <c r="O12" s="32"/>
      <c r="P12" s="55">
        <f>P11+P6</f>
        <v>62504</v>
      </c>
      <c r="Q12" s="61">
        <f t="shared" si="9"/>
        <v>0.14587420023099346</v>
      </c>
      <c r="R12" s="62">
        <f>R11+R6</f>
        <v>1</v>
      </c>
      <c r="S12" s="94">
        <f>S11+S6</f>
        <v>65943</v>
      </c>
      <c r="T12" s="38">
        <f t="shared" si="10"/>
        <v>0.20892074724549481</v>
      </c>
      <c r="U12" s="27">
        <f t="shared" si="2"/>
        <v>1</v>
      </c>
      <c r="V12" s="55">
        <f>V11+V6+209</f>
        <v>58899</v>
      </c>
      <c r="W12" s="38">
        <f t="shared" si="11"/>
        <v>7.9784406108493577E-2</v>
      </c>
      <c r="X12" s="28">
        <f t="shared" si="4"/>
        <v>1</v>
      </c>
      <c r="Y12" s="55">
        <f t="shared" ref="Y12:AB12" si="13">Y11+Y6</f>
        <v>58368</v>
      </c>
      <c r="Z12" s="27">
        <f t="shared" si="7"/>
        <v>7.0049681925678842E-2</v>
      </c>
      <c r="AA12" s="28">
        <f t="shared" si="5"/>
        <v>1</v>
      </c>
      <c r="AB12" s="55">
        <f t="shared" si="13"/>
        <v>54547</v>
      </c>
      <c r="AC12" s="28">
        <f t="shared" si="6"/>
        <v>1</v>
      </c>
      <c r="AT12"/>
    </row>
    <row r="13" spans="1:61" ht="15" customHeight="1" x14ac:dyDescent="0.2">
      <c r="A13" s="411"/>
      <c r="B13" s="411"/>
      <c r="G13" s="413"/>
      <c r="N13" s="39" t="s">
        <v>64</v>
      </c>
      <c r="O13" s="30"/>
      <c r="P13" s="53">
        <v>2308</v>
      </c>
      <c r="Q13" s="25">
        <f t="shared" si="9"/>
        <v>1.4059753954305799E-2</v>
      </c>
      <c r="R13" s="26">
        <f>P13/$P$17</f>
        <v>9.43774279288489E-2</v>
      </c>
      <c r="S13" s="53">
        <v>2303</v>
      </c>
      <c r="T13" s="25">
        <f t="shared" si="10"/>
        <v>1.1862917398945516E-2</v>
      </c>
      <c r="U13" s="26">
        <f t="shared" si="2"/>
        <v>3.4924101117631896E-2</v>
      </c>
      <c r="V13" s="53">
        <v>2291</v>
      </c>
      <c r="W13" s="25">
        <f t="shared" si="11"/>
        <v>6.5905096660807683E-3</v>
      </c>
      <c r="X13" s="26">
        <f t="shared" si="4"/>
        <v>3.8897095027080254E-2</v>
      </c>
      <c r="Y13" s="53">
        <v>2284</v>
      </c>
      <c r="Z13" s="25">
        <f t="shared" si="7"/>
        <v>3.5149384885764245E-3</v>
      </c>
      <c r="AA13" s="26">
        <f t="shared" si="5"/>
        <v>3.9131030701754388E-2</v>
      </c>
      <c r="AB13" s="53">
        <v>2276</v>
      </c>
      <c r="AC13" s="26">
        <f t="shared" si="6"/>
        <v>4.17254844446074E-2</v>
      </c>
      <c r="AT13"/>
    </row>
    <row r="14" spans="1:61" x14ac:dyDescent="0.2">
      <c r="A14" s="411"/>
      <c r="B14" s="411"/>
      <c r="G14" s="413"/>
      <c r="N14" s="41" t="s">
        <v>65</v>
      </c>
      <c r="O14" s="30"/>
      <c r="P14" s="58">
        <f>(24159000+256000)/1000</f>
        <v>24415</v>
      </c>
      <c r="Q14" s="25">
        <f t="shared" si="9"/>
        <v>2.9770320899169245</v>
      </c>
      <c r="R14" s="26">
        <f>P14/$P$17</f>
        <v>0.99836434267021057</v>
      </c>
      <c r="S14" s="53">
        <v>5300</v>
      </c>
      <c r="T14" s="25">
        <f t="shared" si="10"/>
        <v>-0.1366672096432644</v>
      </c>
      <c r="U14" s="26">
        <f t="shared" si="2"/>
        <v>8.0372442867324811E-2</v>
      </c>
      <c r="V14" s="53">
        <v>3284</v>
      </c>
      <c r="W14" s="25">
        <f t="shared" si="11"/>
        <v>-0.46505945593744913</v>
      </c>
      <c r="X14" s="26">
        <f t="shared" si="4"/>
        <v>5.5756464456102821E-2</v>
      </c>
      <c r="Y14" s="53">
        <v>3998</v>
      </c>
      <c r="Z14" s="25">
        <f t="shared" si="7"/>
        <v>-0.34875386870825864</v>
      </c>
      <c r="AA14" s="26">
        <f t="shared" si="5"/>
        <v>6.8496436403508776E-2</v>
      </c>
      <c r="AB14" s="53">
        <v>6139</v>
      </c>
      <c r="AC14" s="26">
        <f t="shared" si="6"/>
        <v>0.11254514455423763</v>
      </c>
      <c r="AT14"/>
    </row>
    <row r="15" spans="1:61" ht="16" customHeight="1" x14ac:dyDescent="0.2">
      <c r="A15" s="411"/>
      <c r="B15" s="411"/>
      <c r="G15" s="413"/>
      <c r="N15" s="41" t="s">
        <v>66</v>
      </c>
      <c r="O15" s="30"/>
      <c r="P15" s="53">
        <v>0</v>
      </c>
      <c r="Q15" s="25"/>
      <c r="R15" s="26"/>
      <c r="S15" s="53">
        <v>0</v>
      </c>
      <c r="T15" s="25"/>
      <c r="U15" s="26"/>
      <c r="V15" s="53">
        <v>0</v>
      </c>
      <c r="W15" s="25"/>
      <c r="X15" s="26">
        <f t="shared" si="4"/>
        <v>0</v>
      </c>
      <c r="Y15" s="53">
        <v>0</v>
      </c>
      <c r="Z15" s="25"/>
      <c r="AA15" s="26"/>
      <c r="AB15" s="53">
        <v>0</v>
      </c>
      <c r="AC15" s="26">
        <f t="shared" si="6"/>
        <v>0</v>
      </c>
      <c r="AT15"/>
    </row>
    <row r="16" spans="1:61" x14ac:dyDescent="0.2">
      <c r="A16" s="411"/>
      <c r="B16" s="411"/>
      <c r="G16" s="413"/>
      <c r="N16" s="39" t="s">
        <v>67</v>
      </c>
      <c r="O16" s="30"/>
      <c r="P16" s="53">
        <v>-2268</v>
      </c>
      <c r="Q16" s="25">
        <f t="shared" si="9"/>
        <v>-1.1151619782674926</v>
      </c>
      <c r="R16" s="26">
        <f>P16/$P$17</f>
        <v>-9.2741770599059498E-2</v>
      </c>
      <c r="S16" s="53">
        <v>23677</v>
      </c>
      <c r="T16" s="25">
        <f>S16/AB16-1</f>
        <v>0.20224433837717082</v>
      </c>
      <c r="U16" s="26">
        <f t="shared" ref="U16:U21" si="14">S16/$S$12</f>
        <v>0.35905251505087726</v>
      </c>
      <c r="V16" s="53">
        <v>21593</v>
      </c>
      <c r="W16" s="25">
        <f t="shared" si="11"/>
        <v>9.6425307200162402E-2</v>
      </c>
      <c r="X16" s="26">
        <f t="shared" si="4"/>
        <v>0.36661063855073939</v>
      </c>
      <c r="Y16" s="53">
        <v>19812</v>
      </c>
      <c r="Z16" s="25">
        <f t="shared" si="7"/>
        <v>5.9916725906368207E-3</v>
      </c>
      <c r="AA16" s="26">
        <f t="shared" ref="AA16:AA21" si="15">Y16/$Y$12</f>
        <v>0.33943256578947367</v>
      </c>
      <c r="AB16" s="53">
        <v>19694</v>
      </c>
      <c r="AC16" s="26">
        <f t="shared" si="6"/>
        <v>0.36104643701761785</v>
      </c>
      <c r="AT16"/>
    </row>
    <row r="17" spans="1:55" x14ac:dyDescent="0.2">
      <c r="A17" s="411"/>
      <c r="B17" s="411"/>
      <c r="G17" s="413"/>
      <c r="N17" s="40" t="s">
        <v>68</v>
      </c>
      <c r="O17" s="31"/>
      <c r="P17" s="54">
        <f>SUM(P13:P16)</f>
        <v>24455</v>
      </c>
      <c r="Q17" s="59">
        <f>(P17-AB17)/AB17</f>
        <v>-0.12999395211498097</v>
      </c>
      <c r="R17" s="60">
        <f>P17/$P$26</f>
        <v>0.39125495968258034</v>
      </c>
      <c r="S17" s="53">
        <f>SUM(S13:S16)</f>
        <v>31280</v>
      </c>
      <c r="T17" s="25">
        <f>S17/AB17-1</f>
        <v>0.11281084350208115</v>
      </c>
      <c r="U17" s="26">
        <f t="shared" si="14"/>
        <v>0.47434905903583396</v>
      </c>
      <c r="V17" s="53">
        <f t="shared" ref="V17:AB17" si="16">SUM(V13:V16)</f>
        <v>27168</v>
      </c>
      <c r="W17" s="25">
        <f>V17/AB17-1</f>
        <v>-3.3476822370059445E-2</v>
      </c>
      <c r="X17" s="26">
        <f t="shared" si="4"/>
        <v>0.46126419803392249</v>
      </c>
      <c r="Y17" s="54">
        <f t="shared" si="16"/>
        <v>26094</v>
      </c>
      <c r="Z17" s="25">
        <f t="shared" si="7"/>
        <v>-7.1685225372656425E-2</v>
      </c>
      <c r="AA17" s="26">
        <f t="shared" si="15"/>
        <v>0.44706003289473684</v>
      </c>
      <c r="AB17" s="54">
        <f t="shared" si="16"/>
        <v>28109</v>
      </c>
      <c r="AC17" s="26">
        <f t="shared" si="6"/>
        <v>0.51531706601646288</v>
      </c>
      <c r="AT17"/>
    </row>
    <row r="18" spans="1:55" x14ac:dyDescent="0.2">
      <c r="A18" s="411"/>
      <c r="B18" s="411"/>
      <c r="G18" s="413"/>
      <c r="N18" s="39" t="s">
        <v>69</v>
      </c>
      <c r="O18" s="30"/>
      <c r="P18" s="53">
        <v>15021</v>
      </c>
      <c r="Q18" s="25">
        <f>(P18-AB18)/AB18</f>
        <v>0.98848292295472595</v>
      </c>
      <c r="R18" s="26">
        <f>P18/$P$20</f>
        <v>0.76861280253799313</v>
      </c>
      <c r="S18" s="53">
        <v>10910</v>
      </c>
      <c r="T18" s="25">
        <f>S18/AB18-1</f>
        <v>0.44426793751654747</v>
      </c>
      <c r="U18" s="26">
        <f t="shared" si="14"/>
        <v>0.16544591541179504</v>
      </c>
      <c r="V18" s="53">
        <v>11592</v>
      </c>
      <c r="W18" s="25">
        <f>V18/AB18-1</f>
        <v>0.53455123113582204</v>
      </c>
      <c r="X18" s="26">
        <f t="shared" si="4"/>
        <v>0.19681149085723018</v>
      </c>
      <c r="Y18" s="53">
        <v>7330</v>
      </c>
      <c r="Z18" s="25">
        <f t="shared" si="7"/>
        <v>-2.9653163886682599E-2</v>
      </c>
      <c r="AA18" s="26">
        <f t="shared" si="15"/>
        <v>0.12558251096491227</v>
      </c>
      <c r="AB18" s="53">
        <v>7554</v>
      </c>
      <c r="AC18" s="26">
        <f t="shared" si="6"/>
        <v>0.1384860762278402</v>
      </c>
      <c r="AT18"/>
    </row>
    <row r="19" spans="1:55" ht="16" customHeight="1" x14ac:dyDescent="0.2">
      <c r="A19" s="411"/>
      <c r="B19" s="411"/>
      <c r="G19" s="413"/>
      <c r="N19" s="39" t="s">
        <v>70</v>
      </c>
      <c r="O19" s="30"/>
      <c r="P19" s="53">
        <v>4522</v>
      </c>
      <c r="Q19" s="25">
        <f>(P19-AB19)/AB19</f>
        <v>-3.003003003003003E-2</v>
      </c>
      <c r="R19" s="26">
        <f>P19/$P$20</f>
        <v>0.23138719746200687</v>
      </c>
      <c r="S19" s="53">
        <v>4184</v>
      </c>
      <c r="T19" s="25">
        <f>S19/AB19-1</f>
        <v>-0.10253110253110254</v>
      </c>
      <c r="U19" s="26">
        <f t="shared" si="14"/>
        <v>6.3448736029601327E-2</v>
      </c>
      <c r="V19" s="53">
        <v>3629</v>
      </c>
      <c r="W19" s="25">
        <f>V19/AB19-1</f>
        <v>-0.2215787215787216</v>
      </c>
      <c r="X19" s="26">
        <f t="shared" si="4"/>
        <v>6.1613949303044195E-2</v>
      </c>
      <c r="Y19" s="53">
        <v>4124</v>
      </c>
      <c r="Z19" s="25">
        <f t="shared" si="7"/>
        <v>-0.11540111540111542</v>
      </c>
      <c r="AA19" s="26">
        <f t="shared" si="15"/>
        <v>7.0655153508771926E-2</v>
      </c>
      <c r="AB19" s="53">
        <v>4662</v>
      </c>
      <c r="AC19" s="26">
        <f t="shared" si="6"/>
        <v>8.5467578418611467E-2</v>
      </c>
      <c r="AT19"/>
    </row>
    <row r="20" spans="1:55" x14ac:dyDescent="0.2">
      <c r="A20" s="411"/>
      <c r="B20" s="411"/>
      <c r="G20" s="413"/>
      <c r="N20" s="40" t="s">
        <v>71</v>
      </c>
      <c r="O20" s="31"/>
      <c r="P20" s="54">
        <f>SUM(P18:P19)</f>
        <v>19543</v>
      </c>
      <c r="Q20" s="59">
        <f>(P20-AB20)/AB20</f>
        <v>0.59978716437459068</v>
      </c>
      <c r="R20" s="60">
        <f>P20/$P$26</f>
        <v>0.31266798924868811</v>
      </c>
      <c r="S20" s="53">
        <f>S18+S19</f>
        <v>15094</v>
      </c>
      <c r="T20" s="25">
        <f>S20/AB20-1</f>
        <v>0.23559266535690893</v>
      </c>
      <c r="U20" s="26">
        <f t="shared" si="14"/>
        <v>0.22889465144139637</v>
      </c>
      <c r="V20" s="53">
        <f t="shared" ref="V20:AB20" si="17">V18+V19</f>
        <v>15221</v>
      </c>
      <c r="W20" s="25">
        <f>V20/AB20-1</f>
        <v>0.245988867059594</v>
      </c>
      <c r="X20" s="26">
        <f t="shared" si="4"/>
        <v>0.25842544016027436</v>
      </c>
      <c r="Y20" s="54">
        <f t="shared" si="17"/>
        <v>11454</v>
      </c>
      <c r="Z20" s="25">
        <f t="shared" si="7"/>
        <v>-6.237721021610998E-2</v>
      </c>
      <c r="AA20" s="26">
        <f t="shared" si="15"/>
        <v>0.19623766447368421</v>
      </c>
      <c r="AB20" s="54">
        <f t="shared" si="17"/>
        <v>12216</v>
      </c>
      <c r="AC20" s="26">
        <f t="shared" si="6"/>
        <v>0.22395365464645167</v>
      </c>
      <c r="AT20"/>
    </row>
    <row r="21" spans="1:55" x14ac:dyDescent="0.2">
      <c r="A21" s="411"/>
      <c r="B21" s="411"/>
      <c r="G21" s="413"/>
      <c r="N21" s="39" t="s">
        <v>72</v>
      </c>
      <c r="O21" s="30"/>
      <c r="P21" s="53">
        <v>9327</v>
      </c>
      <c r="Q21" s="25">
        <f>(P21-AB21)/AB21</f>
        <v>0.63202099737532813</v>
      </c>
      <c r="R21" s="26">
        <f>P21/$P$25</f>
        <v>0.50399870312331141</v>
      </c>
      <c r="S21" s="53">
        <v>8893</v>
      </c>
      <c r="T21" s="25">
        <f t="shared" ref="T21" si="18">S21/AB21-1</f>
        <v>0.55608048993875769</v>
      </c>
      <c r="U21" s="26">
        <f t="shared" si="14"/>
        <v>0.13485889328662634</v>
      </c>
      <c r="V21" s="53">
        <v>7596</v>
      </c>
      <c r="W21" s="25">
        <f>V21/AB21-1</f>
        <v>0.32913385826771657</v>
      </c>
      <c r="X21" s="26">
        <f t="shared" si="4"/>
        <v>0.12896653593439616</v>
      </c>
      <c r="Y21" s="53">
        <v>6254</v>
      </c>
      <c r="Z21" s="25">
        <f t="shared" si="7"/>
        <v>9.4313210848643969E-2</v>
      </c>
      <c r="AA21" s="26">
        <f t="shared" si="15"/>
        <v>0.10714775219298246</v>
      </c>
      <c r="AB21" s="53">
        <v>5715</v>
      </c>
      <c r="AC21" s="26">
        <f t="shared" si="6"/>
        <v>0.10477203145910866</v>
      </c>
      <c r="AT21"/>
      <c r="AW21" s="5"/>
      <c r="AY21" s="5"/>
      <c r="BA21" s="5"/>
      <c r="BC21" s="5"/>
    </row>
    <row r="22" spans="1:55" x14ac:dyDescent="0.2">
      <c r="A22" s="411"/>
      <c r="B22" s="411"/>
      <c r="G22" s="413"/>
      <c r="N22" s="42" t="s">
        <v>73</v>
      </c>
      <c r="O22" s="33"/>
      <c r="P22" s="53">
        <v>0</v>
      </c>
      <c r="Q22" s="25"/>
      <c r="R22" s="26"/>
      <c r="S22" s="53">
        <v>0</v>
      </c>
      <c r="T22" s="25"/>
      <c r="U22" s="26"/>
      <c r="V22" s="53">
        <v>0</v>
      </c>
      <c r="W22" s="25"/>
      <c r="X22" s="26"/>
      <c r="Y22" s="53">
        <v>0</v>
      </c>
      <c r="Z22" s="25"/>
      <c r="AA22" s="26"/>
      <c r="AB22" s="53">
        <v>0</v>
      </c>
      <c r="AC22" s="26">
        <f t="shared" si="6"/>
        <v>0</v>
      </c>
      <c r="AT22"/>
      <c r="AW22" s="5"/>
      <c r="AY22" s="5"/>
      <c r="BA22" s="5"/>
      <c r="BC22" s="5"/>
    </row>
    <row r="23" spans="1:55" x14ac:dyDescent="0.2">
      <c r="A23" s="411"/>
      <c r="B23" s="411"/>
      <c r="G23" s="413"/>
      <c r="N23" s="39" t="s">
        <v>69</v>
      </c>
      <c r="O23" s="30"/>
      <c r="P23" s="53">
        <v>2859</v>
      </c>
      <c r="Q23" s="25">
        <f>(P23-AB23)/AB23</f>
        <v>0.30250569476082007</v>
      </c>
      <c r="R23" s="26">
        <f>P23/$P$25</f>
        <v>0.15449043553442127</v>
      </c>
      <c r="S23" s="53">
        <v>3921</v>
      </c>
      <c r="T23" s="25">
        <f>S23/AB23-1</f>
        <v>0.78633257403189072</v>
      </c>
      <c r="U23" s="26">
        <f>S23/$S$12</f>
        <v>5.9460443109958599E-2</v>
      </c>
      <c r="V23" s="53">
        <v>2341</v>
      </c>
      <c r="W23" s="25">
        <f>V23/AB23-1</f>
        <v>6.6514806378132008E-2</v>
      </c>
      <c r="X23" s="26">
        <f>V23/$V$12</f>
        <v>3.9746005874463065E-2</v>
      </c>
      <c r="Y23" s="53">
        <v>3133</v>
      </c>
      <c r="Z23" s="25">
        <f t="shared" si="7"/>
        <v>0.42733485193621878</v>
      </c>
      <c r="AA23" s="26">
        <f>Y23/$Y$12</f>
        <v>5.3676672149122806E-2</v>
      </c>
      <c r="AB23" s="53">
        <v>2195</v>
      </c>
      <c r="AC23" s="26">
        <f t="shared" si="6"/>
        <v>4.0240526518415309E-2</v>
      </c>
      <c r="AT23"/>
      <c r="AW23" s="5"/>
      <c r="AY23" s="5"/>
      <c r="BA23" s="5"/>
      <c r="BC23" s="5"/>
    </row>
    <row r="24" spans="1:55" x14ac:dyDescent="0.2">
      <c r="A24" s="411"/>
      <c r="B24" s="411"/>
      <c r="G24" s="413"/>
      <c r="N24" s="39" t="s">
        <v>74</v>
      </c>
      <c r="O24" s="30"/>
      <c r="P24" s="53">
        <v>6320</v>
      </c>
      <c r="Q24" s="25">
        <f>(P24-AB24)/AB24</f>
        <v>1.2674271229404308E-3</v>
      </c>
      <c r="R24" s="26">
        <f>P24/$P$25</f>
        <v>0.34151086134226738</v>
      </c>
      <c r="S24" s="53">
        <v>6755</v>
      </c>
      <c r="T24" s="25">
        <f>S24/AB24-1</f>
        <v>7.0183776932826403E-2</v>
      </c>
      <c r="U24" s="26">
        <f>S24/$S$12</f>
        <v>0.10243695312618474</v>
      </c>
      <c r="V24" s="53">
        <v>6573</v>
      </c>
      <c r="W24" s="25">
        <f>V24/AB24-1</f>
        <v>4.134980988593151E-2</v>
      </c>
      <c r="X24" s="26">
        <f>V24/$V$12</f>
        <v>0.11159781999694392</v>
      </c>
      <c r="Y24" s="53">
        <v>11433</v>
      </c>
      <c r="Z24" s="25">
        <f t="shared" si="7"/>
        <v>0.81131178707224327</v>
      </c>
      <c r="AA24" s="26">
        <f>Y24/$Y$12</f>
        <v>0.19587787828947367</v>
      </c>
      <c r="AB24" s="53">
        <v>6312</v>
      </c>
      <c r="AC24" s="26">
        <f t="shared" si="6"/>
        <v>0.11571672135956147</v>
      </c>
      <c r="AT24"/>
      <c r="AW24" s="5"/>
      <c r="AY24" s="5"/>
      <c r="BA24" s="5"/>
      <c r="BC24" s="5"/>
    </row>
    <row r="25" spans="1:55" x14ac:dyDescent="0.2">
      <c r="A25" s="411"/>
      <c r="B25" s="411"/>
      <c r="G25" s="413"/>
      <c r="N25" s="40" t="s">
        <v>75</v>
      </c>
      <c r="O25" s="31"/>
      <c r="P25" s="54">
        <f>SUM(P21:P24)</f>
        <v>18506</v>
      </c>
      <c r="Q25" s="25">
        <f>(P25-AB25)/AB25</f>
        <v>0.30122345661650962</v>
      </c>
      <c r="R25" s="60">
        <f>P25/$P$26</f>
        <v>0.29607705106873161</v>
      </c>
      <c r="S25" s="53">
        <f>SUM(S21:S24)</f>
        <v>19569</v>
      </c>
      <c r="T25" s="25">
        <f>S25/AB25-1</f>
        <v>0.37596681198143722</v>
      </c>
      <c r="U25" s="26">
        <f>S25/$S$12</f>
        <v>0.29675628952276967</v>
      </c>
      <c r="V25" s="53">
        <f t="shared" ref="V25:AB25" si="19">SUM(V21:V24)</f>
        <v>16510</v>
      </c>
      <c r="W25" s="25">
        <f>V25/AB25-1</f>
        <v>0.16087751371115178</v>
      </c>
      <c r="X25" s="26">
        <f>V25/$V$12</f>
        <v>0.28031036180580315</v>
      </c>
      <c r="Y25" s="54">
        <f t="shared" si="19"/>
        <v>20820</v>
      </c>
      <c r="Z25" s="25">
        <f t="shared" si="7"/>
        <v>0.46392912389256091</v>
      </c>
      <c r="AA25" s="26">
        <f>Y25/$Y$12</f>
        <v>0.35670230263157893</v>
      </c>
      <c r="AB25" s="54">
        <f t="shared" si="19"/>
        <v>14222</v>
      </c>
      <c r="AC25" s="26">
        <f t="shared" si="6"/>
        <v>0.26072927933708545</v>
      </c>
      <c r="AT25"/>
      <c r="AW25" s="5"/>
      <c r="AY25" s="5"/>
      <c r="BA25" s="5"/>
      <c r="BC25" s="5"/>
    </row>
    <row r="26" spans="1:55" ht="15" customHeight="1" x14ac:dyDescent="0.2">
      <c r="A26" s="411"/>
      <c r="B26" s="411"/>
      <c r="G26" s="413"/>
      <c r="N26" s="43" t="s">
        <v>76</v>
      </c>
      <c r="O26" s="32"/>
      <c r="P26" s="55">
        <f>P25+P20+P17</f>
        <v>62504</v>
      </c>
      <c r="Q26" s="63">
        <f>(P26-AB26)/AB26</f>
        <v>0.14587420023099346</v>
      </c>
      <c r="R26" s="27">
        <f>SUM(R17+R20+R25)</f>
        <v>1</v>
      </c>
      <c r="S26" s="55">
        <f>S25+S20+S17</f>
        <v>65943</v>
      </c>
      <c r="T26" s="38">
        <f>S26/AB26-1</f>
        <v>0.20892074724549481</v>
      </c>
      <c r="U26" s="27">
        <f>S26/$S$12</f>
        <v>1</v>
      </c>
      <c r="V26" s="55">
        <f t="shared" ref="V26:AB26" si="20">V25+V20+V17</f>
        <v>58899</v>
      </c>
      <c r="W26" s="38">
        <f>V26/AB26-1</f>
        <v>7.9784406108493577E-2</v>
      </c>
      <c r="X26" s="28">
        <f>V26/$V$12</f>
        <v>1</v>
      </c>
      <c r="Y26" s="55">
        <f t="shared" si="20"/>
        <v>58368</v>
      </c>
      <c r="Z26" s="27">
        <f t="shared" si="7"/>
        <v>7.0049681925678842E-2</v>
      </c>
      <c r="AA26" s="28">
        <f>Y26/$Y$12</f>
        <v>1</v>
      </c>
      <c r="AB26" s="55">
        <f t="shared" si="20"/>
        <v>54547</v>
      </c>
      <c r="AC26" s="28">
        <f t="shared" si="6"/>
        <v>1</v>
      </c>
      <c r="AQ26" s="4"/>
      <c r="AR26"/>
    </row>
    <row r="27" spans="1:55" x14ac:dyDescent="0.2">
      <c r="A27" s="411"/>
      <c r="B27" s="411"/>
      <c r="G27"/>
      <c r="P27"/>
      <c r="U27" s="4"/>
      <c r="W27" s="4"/>
      <c r="Y27" s="4"/>
      <c r="AA27" s="4"/>
      <c r="AB27" s="56"/>
      <c r="AD27"/>
      <c r="AE27" s="56"/>
      <c r="AF27"/>
      <c r="AH27" s="56"/>
      <c r="AK27" s="56"/>
      <c r="AN27"/>
      <c r="AP27"/>
      <c r="AR27"/>
    </row>
    <row r="28" spans="1:55" x14ac:dyDescent="0.2">
      <c r="A28" s="411"/>
      <c r="B28" s="411"/>
      <c r="G28"/>
      <c r="AB28" s="56"/>
      <c r="AD28"/>
      <c r="AE28" s="56"/>
      <c r="AF28"/>
      <c r="AH28" s="56"/>
      <c r="AK28" s="56"/>
      <c r="AN28"/>
      <c r="AP28"/>
      <c r="AR28"/>
    </row>
    <row r="29" spans="1:55" ht="15" customHeight="1" x14ac:dyDescent="0.2">
      <c r="A29" s="411"/>
      <c r="B29" s="411"/>
      <c r="G29"/>
      <c r="H29">
        <v>1000</v>
      </c>
      <c r="K29" s="4"/>
      <c r="L29" s="4"/>
      <c r="O29" s="185"/>
      <c r="P29" s="185"/>
      <c r="Q29" s="185"/>
      <c r="R29" s="174">
        <v>2025</v>
      </c>
      <c r="S29" s="168" t="s">
        <v>7</v>
      </c>
      <c r="T29" s="174">
        <v>2024</v>
      </c>
      <c r="U29" s="168" t="s">
        <v>7</v>
      </c>
      <c r="V29" s="174">
        <v>2023</v>
      </c>
      <c r="W29" s="168" t="s">
        <v>7</v>
      </c>
      <c r="X29" s="174">
        <v>2022</v>
      </c>
      <c r="Y29" s="168" t="s">
        <v>7</v>
      </c>
      <c r="Z29" s="174">
        <v>2021</v>
      </c>
      <c r="AA29" s="4"/>
      <c r="AV29" s="5"/>
      <c r="AX29" s="5"/>
      <c r="AZ29" s="5"/>
    </row>
    <row r="30" spans="1:55" ht="15" customHeight="1" x14ac:dyDescent="0.2">
      <c r="A30" s="411"/>
      <c r="B30" s="411"/>
      <c r="G30"/>
      <c r="K30" s="4"/>
      <c r="L30" s="4"/>
      <c r="O30" s="185"/>
      <c r="P30" s="185"/>
      <c r="Q30" s="185"/>
      <c r="R30" s="186">
        <f>P4</f>
        <v>5481</v>
      </c>
      <c r="S30" s="187">
        <f>R30/Z30-1</f>
        <v>0.43256664924202815</v>
      </c>
      <c r="T30" s="186">
        <f>S4</f>
        <v>4884</v>
      </c>
      <c r="U30" s="187">
        <f>T30/Z30-1</f>
        <v>0.27652901202300062</v>
      </c>
      <c r="V30" s="186">
        <f>V4</f>
        <v>4209</v>
      </c>
      <c r="W30" s="187">
        <f>V30/Z30-1</f>
        <v>0.10010454783063261</v>
      </c>
      <c r="X30" s="186">
        <f>Y4</f>
        <v>3935</v>
      </c>
      <c r="Y30" s="187">
        <f>X30/Z30-1</f>
        <v>2.8489283847360269E-2</v>
      </c>
      <c r="Z30" s="186">
        <f>AB4</f>
        <v>3826</v>
      </c>
      <c r="AV30" s="5"/>
      <c r="AX30" s="5"/>
      <c r="AZ30" s="5"/>
    </row>
    <row r="31" spans="1:55" ht="15" customHeight="1" x14ac:dyDescent="0.2">
      <c r="A31" s="411"/>
      <c r="B31" s="411"/>
      <c r="G31"/>
      <c r="H31" s="56"/>
      <c r="K31" s="4"/>
      <c r="L31" s="4"/>
      <c r="O31" s="185"/>
      <c r="P31" s="185"/>
      <c r="Q31" s="185"/>
      <c r="R31" s="186">
        <f>P3</f>
        <v>31080</v>
      </c>
      <c r="S31" s="187">
        <f t="shared" ref="S31:S51" si="21">R31/Z31-1</f>
        <v>-4.1334230510429171E-3</v>
      </c>
      <c r="T31" s="186">
        <f>S3</f>
        <v>32561</v>
      </c>
      <c r="U31" s="187">
        <f t="shared" ref="U31:U46" si="22">T31/Z31-1</f>
        <v>4.3320836938062657E-2</v>
      </c>
      <c r="V31" s="186">
        <f>V3</f>
        <v>30501</v>
      </c>
      <c r="W31" s="187">
        <f t="shared" ref="W31:W46" si="23">V31/Z31-1</f>
        <v>-2.268576372200326E-2</v>
      </c>
      <c r="X31" s="186">
        <f>Y3</f>
        <v>31509</v>
      </c>
      <c r="Y31" s="187">
        <f t="shared" ref="Y31:Y46" si="24">X31/Z31-1</f>
        <v>9.6126117466115435E-3</v>
      </c>
      <c r="Z31" s="186">
        <f>AB3</f>
        <v>31209</v>
      </c>
    </row>
    <row r="32" spans="1:55" x14ac:dyDescent="0.2">
      <c r="A32" s="411"/>
      <c r="B32" s="411"/>
      <c r="G32"/>
      <c r="H32" s="119"/>
      <c r="K32" s="4"/>
      <c r="L32" s="4"/>
      <c r="O32" s="185"/>
      <c r="P32" s="185"/>
      <c r="Q32" s="185"/>
      <c r="R32" s="186">
        <f>P5</f>
        <v>3905</v>
      </c>
      <c r="S32" s="187">
        <f t="shared" si="21"/>
        <v>-4.4765166340508755E-2</v>
      </c>
      <c r="T32" s="186">
        <f>S5</f>
        <v>4506</v>
      </c>
      <c r="U32" s="187">
        <f t="shared" si="22"/>
        <v>0.10225048923679059</v>
      </c>
      <c r="V32" s="186">
        <f>V5</f>
        <v>4087</v>
      </c>
      <c r="W32" s="187">
        <f t="shared" si="23"/>
        <v>-2.4461839530331986E-4</v>
      </c>
      <c r="X32" s="186">
        <f>Y5</f>
        <v>3982</v>
      </c>
      <c r="Y32" s="187">
        <f t="shared" si="24"/>
        <v>-2.5929549902152682E-2</v>
      </c>
      <c r="Z32" s="186">
        <f>AB5</f>
        <v>4088</v>
      </c>
      <c r="AD32" s="3"/>
      <c r="AF32"/>
      <c r="AH32"/>
      <c r="AJ32" s="4"/>
    </row>
    <row r="33" spans="1:52" x14ac:dyDescent="0.2">
      <c r="A33" s="411"/>
      <c r="B33" s="411"/>
      <c r="G33"/>
      <c r="K33" s="4"/>
      <c r="L33" s="4"/>
      <c r="O33" s="175" t="s">
        <v>77</v>
      </c>
      <c r="P33" s="175" t="s">
        <v>78</v>
      </c>
      <c r="Q33" s="175"/>
      <c r="R33" s="176">
        <f>SUM(R30:R32)</f>
        <v>40466</v>
      </c>
      <c r="S33" s="177">
        <f t="shared" si="21"/>
        <v>3.4327633361449728E-2</v>
      </c>
      <c r="T33" s="176">
        <f>SUM(T30:T32)</f>
        <v>41951</v>
      </c>
      <c r="U33" s="177">
        <f t="shared" si="22"/>
        <v>7.2284845231705086E-2</v>
      </c>
      <c r="V33" s="176">
        <f>SUM(V30:V32)</f>
        <v>38797</v>
      </c>
      <c r="W33" s="177">
        <f t="shared" si="23"/>
        <v>-8.332694323032519E-3</v>
      </c>
      <c r="X33" s="176">
        <f>SUM(X30:X32)</f>
        <v>39426</v>
      </c>
      <c r="Y33" s="177">
        <f t="shared" si="24"/>
        <v>7.7448048462540608E-3</v>
      </c>
      <c r="Z33" s="176">
        <f>SUM(Z30:Z32)</f>
        <v>39123</v>
      </c>
      <c r="AD33"/>
      <c r="AF33"/>
      <c r="AH33"/>
      <c r="AJ33" s="4"/>
    </row>
    <row r="34" spans="1:52" x14ac:dyDescent="0.2">
      <c r="A34" s="411"/>
      <c r="B34" s="411"/>
      <c r="G34"/>
      <c r="K34" s="4"/>
      <c r="L34" s="4"/>
      <c r="O34" s="185" t="s">
        <v>79</v>
      </c>
      <c r="P34" s="185"/>
      <c r="Q34" s="185"/>
      <c r="R34" s="186">
        <f>P7</f>
        <v>5368</v>
      </c>
      <c r="S34" s="187">
        <f t="shared" si="21"/>
        <v>0.35180055401662047</v>
      </c>
      <c r="T34" s="186">
        <f>S7</f>
        <v>5411</v>
      </c>
      <c r="U34" s="187">
        <f t="shared" si="22"/>
        <v>0.36262906069000245</v>
      </c>
      <c r="V34" s="186">
        <f>V7</f>
        <v>4519</v>
      </c>
      <c r="W34" s="187">
        <f t="shared" si="23"/>
        <v>0.13800050365147309</v>
      </c>
      <c r="X34" s="186">
        <f>Y7</f>
        <v>4346</v>
      </c>
      <c r="Y34" s="187">
        <f t="shared" si="24"/>
        <v>9.4434651221354748E-2</v>
      </c>
      <c r="Z34" s="186">
        <f>AB7</f>
        <v>3971</v>
      </c>
      <c r="AD34"/>
      <c r="AF34"/>
      <c r="AH34"/>
      <c r="AJ34" s="4"/>
      <c r="AL34" s="4"/>
      <c r="AN34" s="4"/>
      <c r="AP34"/>
      <c r="AR34"/>
      <c r="AV34" s="5"/>
      <c r="AX34" s="5"/>
      <c r="AZ34" s="5"/>
    </row>
    <row r="35" spans="1:52" x14ac:dyDescent="0.2">
      <c r="A35" s="411"/>
      <c r="B35" s="411"/>
      <c r="G35"/>
      <c r="K35" s="4"/>
      <c r="L35" s="4"/>
      <c r="O35" s="185" t="s">
        <v>80</v>
      </c>
      <c r="P35" s="185"/>
      <c r="Q35" s="185"/>
      <c r="R35" s="188">
        <f>P8+P9</f>
        <v>12036</v>
      </c>
      <c r="S35" s="187">
        <f t="shared" si="21"/>
        <v>0.36292605593930483</v>
      </c>
      <c r="T35" s="188">
        <f>S8+S9</f>
        <v>11694</v>
      </c>
      <c r="U35" s="187">
        <f t="shared" si="22"/>
        <v>0.32419884497791873</v>
      </c>
      <c r="V35" s="188">
        <f>V8+V9</f>
        <v>10678</v>
      </c>
      <c r="W35" s="187">
        <f t="shared" si="23"/>
        <v>0.20914958668327488</v>
      </c>
      <c r="X35" s="188">
        <f>Y8+Y9</f>
        <v>9669</v>
      </c>
      <c r="Y35" s="187">
        <f t="shared" si="24"/>
        <v>9.4892990601290972E-2</v>
      </c>
      <c r="Z35" s="188">
        <f>AB8+AB9</f>
        <v>8831</v>
      </c>
      <c r="AD35"/>
      <c r="AF35"/>
      <c r="AH35"/>
      <c r="AJ35" s="4"/>
      <c r="AL35" s="4"/>
      <c r="AN35" s="4"/>
      <c r="AP35"/>
      <c r="AR35"/>
      <c r="AV35" s="5"/>
      <c r="AX35" s="5"/>
      <c r="AZ35" s="5"/>
    </row>
    <row r="36" spans="1:52" x14ac:dyDescent="0.2">
      <c r="A36" s="411"/>
      <c r="B36" s="411"/>
      <c r="G36"/>
      <c r="K36" s="4"/>
      <c r="L36" s="4"/>
      <c r="O36" s="185" t="s">
        <v>81</v>
      </c>
      <c r="P36" s="185"/>
      <c r="Q36" s="185"/>
      <c r="R36" s="188">
        <f>P21+P24</f>
        <v>15647</v>
      </c>
      <c r="S36" s="187">
        <f t="shared" si="21"/>
        <v>0.30098944042570874</v>
      </c>
      <c r="T36" s="188">
        <f>S21+S24</f>
        <v>15648</v>
      </c>
      <c r="U36" s="187">
        <f t="shared" si="22"/>
        <v>0.30107258667997017</v>
      </c>
      <c r="V36" s="188">
        <f>V21+V24</f>
        <v>14169</v>
      </c>
      <c r="W36" s="187">
        <f t="shared" si="23"/>
        <v>0.17809927662758795</v>
      </c>
      <c r="X36" s="188">
        <f>Y21+Y24</f>
        <v>17687</v>
      </c>
      <c r="Y36" s="187">
        <f t="shared" si="24"/>
        <v>0.47060779911864969</v>
      </c>
      <c r="Z36" s="188">
        <f>AB21+AB24</f>
        <v>12027</v>
      </c>
      <c r="AD36"/>
      <c r="AF36"/>
      <c r="AH36"/>
      <c r="AJ36" s="4"/>
      <c r="AL36" s="4"/>
      <c r="AN36" s="4"/>
      <c r="AP36"/>
      <c r="AR36"/>
      <c r="AV36" s="5"/>
      <c r="AX36" s="5"/>
      <c r="AZ36" s="5"/>
    </row>
    <row r="37" spans="1:52" x14ac:dyDescent="0.2">
      <c r="A37" s="411"/>
      <c r="B37" s="411"/>
      <c r="G37"/>
      <c r="K37" s="4"/>
      <c r="L37" s="4"/>
      <c r="O37" s="185"/>
      <c r="P37" s="185"/>
      <c r="Q37" s="185"/>
      <c r="R37" s="185"/>
      <c r="S37" s="187"/>
      <c r="T37" s="185"/>
      <c r="U37" s="187"/>
      <c r="V37" s="185"/>
      <c r="W37" s="187"/>
      <c r="X37" s="185"/>
      <c r="Y37" s="187"/>
      <c r="Z37" s="185"/>
      <c r="AD37"/>
      <c r="AF37"/>
      <c r="AH37"/>
      <c r="AJ37" s="4"/>
      <c r="AL37" s="4"/>
      <c r="AN37" s="4"/>
      <c r="AP37"/>
      <c r="AR37"/>
      <c r="AV37" s="5"/>
      <c r="AX37" s="5"/>
      <c r="AZ37" s="5"/>
    </row>
    <row r="38" spans="1:52" x14ac:dyDescent="0.2">
      <c r="A38" s="411"/>
      <c r="B38" s="411"/>
      <c r="G38"/>
      <c r="I38" s="4"/>
      <c r="K38" s="4"/>
      <c r="L38" s="4"/>
      <c r="M38" s="4"/>
      <c r="O38" s="175" t="s">
        <v>82</v>
      </c>
      <c r="P38" s="175" t="s">
        <v>83</v>
      </c>
      <c r="Q38" s="175"/>
      <c r="R38" s="178">
        <f>R34+R35-R36</f>
        <v>1757</v>
      </c>
      <c r="S38" s="177">
        <f t="shared" si="21"/>
        <v>1.2670967741935484</v>
      </c>
      <c r="T38" s="178">
        <f>T34+T35-T36</f>
        <v>1457</v>
      </c>
      <c r="U38" s="177">
        <f t="shared" si="22"/>
        <v>0.87999999999999989</v>
      </c>
      <c r="V38" s="178">
        <f>V34+V35-V36</f>
        <v>1028</v>
      </c>
      <c r="W38" s="177">
        <f t="shared" si="23"/>
        <v>0.32645161290322577</v>
      </c>
      <c r="X38" s="178">
        <f>X34+X35-X36</f>
        <v>-3672</v>
      </c>
      <c r="Y38" s="177">
        <f t="shared" si="24"/>
        <v>-5.7380645161290325</v>
      </c>
      <c r="Z38" s="178">
        <f>Z34+Z35-Z36</f>
        <v>775</v>
      </c>
      <c r="AD38"/>
      <c r="AF38"/>
      <c r="AH38"/>
      <c r="AJ38" s="4"/>
      <c r="AL38" s="4"/>
      <c r="AN38" s="4"/>
      <c r="AP38"/>
      <c r="AR38"/>
      <c r="AV38" s="5"/>
      <c r="AX38" s="5"/>
      <c r="AZ38" s="5"/>
    </row>
    <row r="39" spans="1:52" x14ac:dyDescent="0.2">
      <c r="A39" s="411"/>
      <c r="B39" s="411"/>
      <c r="G39"/>
      <c r="K39" s="4"/>
      <c r="L39" s="4"/>
      <c r="O39" s="185"/>
      <c r="P39" s="185"/>
      <c r="Q39" s="185"/>
      <c r="R39" s="185"/>
      <c r="S39" s="187"/>
      <c r="T39" s="185"/>
      <c r="U39" s="187"/>
      <c r="V39" s="185"/>
      <c r="W39" s="187"/>
      <c r="X39" s="185"/>
      <c r="Y39" s="187"/>
      <c r="Z39" s="185"/>
      <c r="AD39"/>
      <c r="AF39"/>
      <c r="AH39"/>
      <c r="AJ39" s="4"/>
      <c r="AL39" s="4"/>
      <c r="AN39" s="4"/>
      <c r="AP39"/>
      <c r="AR39"/>
      <c r="AV39" s="5"/>
      <c r="AX39" s="5"/>
      <c r="AZ39" s="5"/>
    </row>
    <row r="40" spans="1:52" x14ac:dyDescent="0.2">
      <c r="A40" s="411"/>
      <c r="B40" s="411"/>
      <c r="G40"/>
      <c r="K40" s="4"/>
      <c r="L40" s="4"/>
      <c r="O40" s="175" t="s">
        <v>84</v>
      </c>
      <c r="P40" s="175" t="s">
        <v>85</v>
      </c>
      <c r="Q40" s="175"/>
      <c r="R40" s="178">
        <f>R33+R38</f>
        <v>42223</v>
      </c>
      <c r="S40" s="177">
        <f t="shared" si="21"/>
        <v>5.8273597674068922E-2</v>
      </c>
      <c r="T40" s="178">
        <f>T33+T38</f>
        <v>43408</v>
      </c>
      <c r="U40" s="177">
        <f t="shared" si="22"/>
        <v>8.7974334553110323E-2</v>
      </c>
      <c r="V40" s="178">
        <f>V33+V38</f>
        <v>39825</v>
      </c>
      <c r="W40" s="177">
        <f t="shared" si="23"/>
        <v>-1.8296656474008355E-3</v>
      </c>
      <c r="X40" s="178">
        <f>X33+X38</f>
        <v>35754</v>
      </c>
      <c r="Y40" s="177">
        <f t="shared" si="24"/>
        <v>-0.10386485538122214</v>
      </c>
      <c r="Z40" s="178">
        <f>Z33+Z38</f>
        <v>39898</v>
      </c>
      <c r="AD40"/>
      <c r="AF40"/>
      <c r="AH40"/>
      <c r="AJ40" s="4"/>
      <c r="AL40" s="4"/>
      <c r="AN40" s="4"/>
      <c r="AP40"/>
      <c r="AR40"/>
      <c r="AV40" s="5"/>
      <c r="AX40" s="5"/>
      <c r="AZ40" s="5"/>
    </row>
    <row r="41" spans="1:52" x14ac:dyDescent="0.2">
      <c r="A41" s="411"/>
      <c r="B41" s="411"/>
      <c r="G41"/>
      <c r="K41" s="4"/>
      <c r="L41" s="4"/>
      <c r="O41" s="185" t="s">
        <v>86</v>
      </c>
      <c r="P41" s="185"/>
      <c r="Q41" s="185"/>
      <c r="R41" s="186">
        <f>P13</f>
        <v>2308</v>
      </c>
      <c r="S41" s="187">
        <f t="shared" si="21"/>
        <v>1.4059753954305698E-2</v>
      </c>
      <c r="T41" s="186">
        <f>S13</f>
        <v>2303</v>
      </c>
      <c r="U41" s="187">
        <f t="shared" si="22"/>
        <v>1.1862917398945516E-2</v>
      </c>
      <c r="V41" s="186">
        <f>V13</f>
        <v>2291</v>
      </c>
      <c r="W41" s="187">
        <f t="shared" si="23"/>
        <v>6.5905096660807683E-3</v>
      </c>
      <c r="X41" s="186">
        <f>Y13</f>
        <v>2284</v>
      </c>
      <c r="Y41" s="187">
        <f t="shared" si="24"/>
        <v>3.5149384885764245E-3</v>
      </c>
      <c r="Z41" s="186">
        <f>AB13</f>
        <v>2276</v>
      </c>
      <c r="AD41"/>
      <c r="AF41"/>
      <c r="AH41"/>
      <c r="AJ41" s="4"/>
      <c r="AL41" s="4"/>
      <c r="AN41" s="4"/>
      <c r="AP41"/>
      <c r="AR41"/>
      <c r="AV41" s="5"/>
      <c r="AX41" s="5"/>
      <c r="AZ41" s="5"/>
    </row>
    <row r="42" spans="1:52" x14ac:dyDescent="0.2">
      <c r="A42" s="411"/>
      <c r="B42" s="411"/>
      <c r="G42"/>
      <c r="K42" s="4"/>
      <c r="L42" s="4"/>
      <c r="O42" s="185" t="s">
        <v>87</v>
      </c>
      <c r="P42" s="185"/>
      <c r="Q42" s="185"/>
      <c r="R42" s="186">
        <f>P14</f>
        <v>24415</v>
      </c>
      <c r="S42" s="187">
        <f t="shared" si="21"/>
        <v>2.9770320899169245</v>
      </c>
      <c r="T42" s="186">
        <f>S14</f>
        <v>5300</v>
      </c>
      <c r="U42" s="187">
        <f t="shared" si="22"/>
        <v>-0.1366672096432644</v>
      </c>
      <c r="V42" s="186">
        <f>V14</f>
        <v>3284</v>
      </c>
      <c r="W42" s="187">
        <f t="shared" si="23"/>
        <v>-0.46505945593744913</v>
      </c>
      <c r="X42" s="186">
        <f>Y14</f>
        <v>3998</v>
      </c>
      <c r="Y42" s="187">
        <f t="shared" si="24"/>
        <v>-0.34875386870825864</v>
      </c>
      <c r="Z42" s="186">
        <f>AB14</f>
        <v>6139</v>
      </c>
      <c r="AD42"/>
      <c r="AF42"/>
      <c r="AH42"/>
      <c r="AJ42" s="4"/>
      <c r="AL42" s="4"/>
      <c r="AN42" s="4"/>
      <c r="AP42"/>
      <c r="AR42"/>
      <c r="AV42" s="5"/>
      <c r="AX42" s="5"/>
      <c r="AZ42" s="5"/>
    </row>
    <row r="43" spans="1:52" x14ac:dyDescent="0.2">
      <c r="A43" s="411"/>
      <c r="B43" s="411"/>
      <c r="G43"/>
      <c r="K43" s="4"/>
      <c r="L43" s="4"/>
      <c r="O43" s="185" t="s">
        <v>88</v>
      </c>
      <c r="P43" s="185"/>
      <c r="Q43" s="185"/>
      <c r="R43" s="186">
        <f>P16</f>
        <v>-2268</v>
      </c>
      <c r="S43" s="187"/>
      <c r="T43" s="186">
        <f>S16</f>
        <v>23677</v>
      </c>
      <c r="U43" s="187"/>
      <c r="V43" s="186">
        <f>V16</f>
        <v>21593</v>
      </c>
      <c r="W43" s="187"/>
      <c r="X43" s="186">
        <f>Y16</f>
        <v>19812</v>
      </c>
      <c r="Y43" s="187"/>
      <c r="Z43" s="186">
        <f>AB16</f>
        <v>19694</v>
      </c>
      <c r="AD43"/>
      <c r="AF43"/>
      <c r="AH43"/>
      <c r="AJ43" s="4"/>
      <c r="AL43" s="4"/>
      <c r="AN43" s="4"/>
      <c r="AP43"/>
      <c r="AR43"/>
      <c r="AV43" s="5"/>
      <c r="AX43" s="5"/>
      <c r="AZ43" s="5"/>
    </row>
    <row r="44" spans="1:52" x14ac:dyDescent="0.2">
      <c r="A44" s="411"/>
      <c r="B44" s="411"/>
      <c r="G44"/>
      <c r="K44" s="4"/>
      <c r="L44" s="4"/>
      <c r="O44" s="175" t="s">
        <v>89</v>
      </c>
      <c r="P44" s="175" t="s">
        <v>90</v>
      </c>
      <c r="Q44" s="175"/>
      <c r="R44" s="178">
        <f>R41+R42+R43</f>
        <v>24455</v>
      </c>
      <c r="S44" s="177">
        <f t="shared" si="21"/>
        <v>-0.12999395211498099</v>
      </c>
      <c r="T44" s="178">
        <f>T41+T42+T43</f>
        <v>31280</v>
      </c>
      <c r="U44" s="177">
        <f t="shared" si="22"/>
        <v>0.11281084350208115</v>
      </c>
      <c r="V44" s="178">
        <f>V41+V42+V43</f>
        <v>27168</v>
      </c>
      <c r="W44" s="177">
        <f t="shared" si="23"/>
        <v>-3.3476822370059445E-2</v>
      </c>
      <c r="X44" s="178">
        <f>X41+X42+X43</f>
        <v>26094</v>
      </c>
      <c r="Y44" s="177">
        <f t="shared" si="24"/>
        <v>-7.1685225372656425E-2</v>
      </c>
      <c r="Z44" s="178">
        <f>Z41+Z42+Z43</f>
        <v>28109</v>
      </c>
      <c r="AD44"/>
      <c r="AF44"/>
      <c r="AH44"/>
      <c r="AJ44" s="4"/>
      <c r="AL44" s="4"/>
      <c r="AN44" s="4"/>
      <c r="AP44"/>
      <c r="AR44"/>
      <c r="AV44" s="5"/>
      <c r="AX44" s="5"/>
      <c r="AZ44" s="5"/>
    </row>
    <row r="45" spans="1:52" x14ac:dyDescent="0.2">
      <c r="A45" s="411"/>
      <c r="B45" s="411"/>
      <c r="G45"/>
      <c r="K45" s="4"/>
      <c r="L45" s="4"/>
      <c r="O45" s="185" t="s">
        <v>91</v>
      </c>
      <c r="P45" s="185"/>
      <c r="Q45" s="185"/>
      <c r="R45" s="186">
        <f>P20</f>
        <v>19543</v>
      </c>
      <c r="S45" s="187">
        <f t="shared" si="21"/>
        <v>0.59978716437459068</v>
      </c>
      <c r="T45" s="186">
        <f>S20</f>
        <v>15094</v>
      </c>
      <c r="U45" s="187">
        <f t="shared" si="22"/>
        <v>0.23559266535690893</v>
      </c>
      <c r="V45" s="186">
        <f>V20</f>
        <v>15221</v>
      </c>
      <c r="W45" s="187">
        <f t="shared" si="23"/>
        <v>0.245988867059594</v>
      </c>
      <c r="X45" s="186">
        <f>Y20</f>
        <v>11454</v>
      </c>
      <c r="Y45" s="187">
        <f t="shared" si="24"/>
        <v>-6.237721021610998E-2</v>
      </c>
      <c r="Z45" s="186">
        <f>AB20</f>
        <v>12216</v>
      </c>
      <c r="AD45"/>
      <c r="AF45"/>
      <c r="AH45"/>
      <c r="AJ45" s="4"/>
      <c r="AL45" s="4"/>
      <c r="AN45" s="4"/>
      <c r="AP45"/>
      <c r="AR45"/>
      <c r="AV45" s="5"/>
      <c r="AX45" s="5"/>
      <c r="AZ45" s="5"/>
    </row>
    <row r="46" spans="1:52" x14ac:dyDescent="0.2">
      <c r="A46" s="411"/>
      <c r="B46" s="411"/>
      <c r="G46"/>
      <c r="K46" s="4"/>
      <c r="L46" s="4"/>
      <c r="O46" s="185" t="s">
        <v>92</v>
      </c>
      <c r="P46" s="185"/>
      <c r="Q46" s="185"/>
      <c r="R46" s="186">
        <f>P23+P22</f>
        <v>2859</v>
      </c>
      <c r="S46" s="187">
        <f t="shared" si="21"/>
        <v>0.30250569476082001</v>
      </c>
      <c r="T46" s="186">
        <f>S23+S22</f>
        <v>3921</v>
      </c>
      <c r="U46" s="187">
        <f t="shared" si="22"/>
        <v>0.78633257403189072</v>
      </c>
      <c r="V46" s="186">
        <f>V23+V22</f>
        <v>2341</v>
      </c>
      <c r="W46" s="187">
        <f t="shared" si="23"/>
        <v>6.6514806378132008E-2</v>
      </c>
      <c r="X46" s="186">
        <f>Y23+Y22</f>
        <v>3133</v>
      </c>
      <c r="Y46" s="187">
        <f t="shared" si="24"/>
        <v>0.42733485193621878</v>
      </c>
      <c r="Z46" s="186">
        <f>AB23+AB22</f>
        <v>2195</v>
      </c>
      <c r="AD46"/>
      <c r="AF46"/>
      <c r="AH46"/>
      <c r="AJ46" s="4"/>
      <c r="AL46" s="4"/>
      <c r="AN46" s="4"/>
      <c r="AP46"/>
      <c r="AR46"/>
      <c r="AV46" s="5"/>
      <c r="AX46" s="5"/>
      <c r="AZ46" s="5"/>
    </row>
    <row r="47" spans="1:52" x14ac:dyDescent="0.2">
      <c r="A47" s="411"/>
      <c r="B47" s="411"/>
      <c r="G47"/>
      <c r="K47" s="4"/>
      <c r="L47" s="4"/>
      <c r="O47" s="185" t="s">
        <v>93</v>
      </c>
      <c r="P47" s="185"/>
      <c r="Q47" s="185"/>
      <c r="R47" s="185"/>
      <c r="S47" s="187"/>
      <c r="T47" s="185"/>
      <c r="U47" s="187"/>
      <c r="V47" s="185"/>
      <c r="W47" s="187"/>
      <c r="X47" s="185"/>
      <c r="Y47" s="187"/>
      <c r="Z47" s="185"/>
      <c r="AD47"/>
      <c r="AF47"/>
      <c r="AH47"/>
      <c r="AJ47" s="4"/>
      <c r="AL47" s="4"/>
      <c r="AN47" s="4"/>
      <c r="AP47"/>
      <c r="AR47"/>
      <c r="AV47" s="5"/>
      <c r="AX47" s="5"/>
      <c r="AZ47" s="5"/>
    </row>
    <row r="48" spans="1:52" x14ac:dyDescent="0.2">
      <c r="A48" s="411"/>
      <c r="B48" s="411"/>
      <c r="G48"/>
      <c r="K48" s="4"/>
      <c r="L48" s="4"/>
      <c r="O48" s="185" t="s">
        <v>94</v>
      </c>
      <c r="P48" s="185"/>
      <c r="Q48" s="185"/>
      <c r="R48" s="186">
        <f>+P10</f>
        <v>4634</v>
      </c>
      <c r="S48" s="187">
        <f t="shared" si="21"/>
        <v>0.76735316552250188</v>
      </c>
      <c r="T48" s="186">
        <f>+S10</f>
        <v>6887</v>
      </c>
      <c r="U48" s="187">
        <f>T48/Z48-1</f>
        <v>1.6266209000762775</v>
      </c>
      <c r="V48" s="186">
        <f>+V10</f>
        <v>4696</v>
      </c>
      <c r="W48" s="187">
        <f>V48/Z48-1</f>
        <v>0.79099923722349352</v>
      </c>
      <c r="X48" s="186">
        <f>+Y10</f>
        <v>4927</v>
      </c>
      <c r="Y48" s="187">
        <f>X48/Z48-1</f>
        <v>0.87909992372234935</v>
      </c>
      <c r="Z48" s="186">
        <f>+AB10</f>
        <v>2622</v>
      </c>
      <c r="AD48"/>
      <c r="AF48"/>
      <c r="AH48"/>
      <c r="AJ48" s="4"/>
      <c r="AL48" s="4"/>
      <c r="AN48" s="4"/>
      <c r="AO48" s="4"/>
      <c r="AP48"/>
      <c r="AR48"/>
      <c r="AV48" s="5"/>
      <c r="AX48" s="5"/>
      <c r="AZ48" s="5"/>
    </row>
    <row r="49" spans="1:52" x14ac:dyDescent="0.2">
      <c r="A49" s="411"/>
      <c r="B49" s="411"/>
      <c r="G49"/>
      <c r="K49" s="4"/>
      <c r="L49" s="4"/>
      <c r="O49" s="175" t="s">
        <v>95</v>
      </c>
      <c r="P49" s="175" t="s">
        <v>96</v>
      </c>
      <c r="Q49" s="175"/>
      <c r="R49" s="178">
        <f>R45+R46-R48</f>
        <v>17768</v>
      </c>
      <c r="S49" s="177">
        <f t="shared" si="21"/>
        <v>0.50716769870218004</v>
      </c>
      <c r="T49" s="178">
        <f>T45+T46-T48</f>
        <v>12128</v>
      </c>
      <c r="U49" s="177">
        <f>T49/Z49-1</f>
        <v>2.8755619645432162E-2</v>
      </c>
      <c r="V49" s="178">
        <f>V45+V46-V48</f>
        <v>12866</v>
      </c>
      <c r="W49" s="177">
        <f>V49/Z49-1</f>
        <v>9.1356349139027904E-2</v>
      </c>
      <c r="X49" s="178">
        <f>X45+X46-X48</f>
        <v>9660</v>
      </c>
      <c r="Y49" s="177">
        <f>X49/Z49-1</f>
        <v>-0.18059207736025107</v>
      </c>
      <c r="Z49" s="178">
        <f>Z45+Z46-Z48</f>
        <v>11789</v>
      </c>
      <c r="AD49"/>
      <c r="AF49"/>
      <c r="AH49"/>
      <c r="AJ49" s="4"/>
      <c r="AL49" s="4"/>
      <c r="AN49" s="4"/>
      <c r="AP49"/>
      <c r="AR49"/>
      <c r="AV49" s="5"/>
      <c r="AX49" s="5"/>
      <c r="AZ49" s="5"/>
    </row>
    <row r="50" spans="1:52" x14ac:dyDescent="0.2">
      <c r="A50" s="411"/>
      <c r="B50" s="411"/>
      <c r="G50"/>
      <c r="K50" s="4"/>
      <c r="L50" s="4"/>
      <c r="O50" s="185"/>
      <c r="P50" s="185"/>
      <c r="Q50" s="185"/>
      <c r="R50" s="185"/>
      <c r="S50" s="187"/>
      <c r="T50" s="185"/>
      <c r="U50" s="187"/>
      <c r="V50" s="185"/>
      <c r="W50" s="187"/>
      <c r="X50" s="185"/>
      <c r="Y50" s="187"/>
      <c r="Z50" s="185"/>
      <c r="AD50"/>
      <c r="AF50"/>
      <c r="AH50"/>
      <c r="AJ50" s="4"/>
      <c r="AL50" s="4"/>
      <c r="AN50" s="4"/>
      <c r="AP50"/>
      <c r="AR50"/>
      <c r="AV50" s="5"/>
      <c r="AX50" s="5"/>
      <c r="AZ50" s="5"/>
    </row>
    <row r="51" spans="1:52" x14ac:dyDescent="0.2">
      <c r="A51" s="411"/>
      <c r="B51" s="411"/>
      <c r="G51"/>
      <c r="K51" s="4"/>
      <c r="L51" s="4"/>
      <c r="O51" s="175" t="s">
        <v>97</v>
      </c>
      <c r="P51" s="175" t="s">
        <v>98</v>
      </c>
      <c r="Q51" s="175"/>
      <c r="R51" s="178">
        <f>R44+R49</f>
        <v>42223</v>
      </c>
      <c r="S51" s="177">
        <f t="shared" si="21"/>
        <v>5.8273597674068922E-2</v>
      </c>
      <c r="T51" s="178">
        <f>T44+T49</f>
        <v>43408</v>
      </c>
      <c r="U51" s="177">
        <f>T51/Z51-1</f>
        <v>8.7974334553110323E-2</v>
      </c>
      <c r="V51" s="178">
        <f>V44+V49</f>
        <v>40034</v>
      </c>
      <c r="W51" s="177">
        <f>V51/Z51-1</f>
        <v>3.4086921650207103E-3</v>
      </c>
      <c r="X51" s="178">
        <f>X44+X49</f>
        <v>35754</v>
      </c>
      <c r="Y51" s="177">
        <f>X51/Z51-1</f>
        <v>-0.10386485538122214</v>
      </c>
      <c r="Z51" s="178">
        <f>Z44+Z49</f>
        <v>39898</v>
      </c>
      <c r="AD51"/>
      <c r="AF51"/>
      <c r="AH51"/>
      <c r="AJ51" s="4"/>
      <c r="AL51" s="4"/>
      <c r="AN51" s="4"/>
      <c r="AP51"/>
      <c r="AR51"/>
      <c r="AV51" s="5"/>
      <c r="AX51" s="5"/>
      <c r="AZ51" s="5"/>
    </row>
    <row r="52" spans="1:52" x14ac:dyDescent="0.2">
      <c r="A52" s="411"/>
      <c r="B52" s="411"/>
      <c r="G52"/>
      <c r="K52" s="4"/>
      <c r="L52" s="56"/>
      <c r="P52" s="5"/>
      <c r="R52" s="5"/>
      <c r="T52" s="5"/>
      <c r="V52" s="5"/>
      <c r="Y52" s="4"/>
      <c r="AD52"/>
      <c r="AF52"/>
      <c r="AH52"/>
      <c r="AJ52" s="4"/>
      <c r="AL52" s="4"/>
      <c r="AN52" s="4"/>
      <c r="AP52"/>
      <c r="AR52"/>
      <c r="AV52" s="5"/>
      <c r="AX52" s="5"/>
      <c r="AZ52" s="5"/>
    </row>
    <row r="53" spans="1:52" x14ac:dyDescent="0.2">
      <c r="A53" s="411"/>
      <c r="B53" s="411"/>
      <c r="G53"/>
      <c r="K53" s="4"/>
      <c r="L53" s="56"/>
      <c r="AD53"/>
      <c r="AF53"/>
      <c r="AH53"/>
      <c r="AJ53" s="4"/>
      <c r="AL53" s="4"/>
      <c r="AN53" s="4"/>
      <c r="AP53"/>
      <c r="AR53"/>
      <c r="AV53" s="5"/>
      <c r="AX53" s="5"/>
      <c r="AZ53" s="5"/>
    </row>
    <row r="54" spans="1:52" x14ac:dyDescent="0.2">
      <c r="A54" s="411"/>
      <c r="B54" s="411"/>
      <c r="G54"/>
      <c r="K54" s="4"/>
      <c r="L54" s="56"/>
      <c r="AD54"/>
      <c r="AF54"/>
      <c r="AH54"/>
      <c r="AJ54" s="4"/>
      <c r="AL54" s="4"/>
      <c r="AN54" s="4"/>
      <c r="AP54"/>
      <c r="AR54"/>
      <c r="AV54" s="5"/>
      <c r="AX54" s="5"/>
      <c r="AZ54" s="5"/>
    </row>
    <row r="55" spans="1:52" ht="16" x14ac:dyDescent="0.2">
      <c r="A55" s="411"/>
      <c r="B55" s="411"/>
      <c r="G55"/>
      <c r="K55" s="4"/>
      <c r="L55" s="56"/>
      <c r="N55" s="280" t="s">
        <v>99</v>
      </c>
      <c r="O55" s="281"/>
      <c r="P55" s="281"/>
      <c r="Q55" s="281"/>
      <c r="R55" s="281"/>
      <c r="S55" s="281"/>
      <c r="T55" s="281"/>
      <c r="U55" s="281"/>
      <c r="V55" s="281"/>
      <c r="W55" s="281"/>
      <c r="AD55"/>
      <c r="AF55"/>
      <c r="AH55"/>
      <c r="AJ55" s="4"/>
      <c r="AL55" s="4"/>
      <c r="AN55" s="4"/>
      <c r="AP55"/>
      <c r="AR55"/>
      <c r="AV55" s="5"/>
      <c r="AX55" s="5"/>
      <c r="AZ55" s="5"/>
    </row>
    <row r="56" spans="1:52" x14ac:dyDescent="0.2">
      <c r="A56" s="411"/>
      <c r="B56" s="411"/>
      <c r="G56"/>
      <c r="K56" s="4"/>
      <c r="L56" s="56"/>
      <c r="N56" s="2"/>
      <c r="O56" s="2"/>
      <c r="P56" s="6"/>
      <c r="Q56" s="2"/>
      <c r="R56" s="6"/>
      <c r="S56" s="1"/>
      <c r="T56" s="7"/>
      <c r="U56" s="1"/>
      <c r="V56" s="7"/>
      <c r="AD56"/>
      <c r="AF56"/>
      <c r="AH56"/>
      <c r="AJ56" s="4"/>
      <c r="AL56" s="4"/>
      <c r="AN56" s="4"/>
      <c r="AP56"/>
      <c r="AR56"/>
      <c r="AV56" s="5"/>
      <c r="AX56" s="5"/>
      <c r="AZ56" s="5"/>
    </row>
    <row r="57" spans="1:52" x14ac:dyDescent="0.2">
      <c r="A57" s="411"/>
      <c r="B57" s="411"/>
      <c r="G57"/>
      <c r="K57" s="4"/>
      <c r="L57" s="56"/>
      <c r="N57" s="179" t="s">
        <v>100</v>
      </c>
      <c r="O57" s="180">
        <v>2025</v>
      </c>
      <c r="P57" s="181" t="s">
        <v>4</v>
      </c>
      <c r="Q57" s="182">
        <v>2024</v>
      </c>
      <c r="R57" s="181" t="s">
        <v>4</v>
      </c>
      <c r="S57" s="183">
        <v>2023</v>
      </c>
      <c r="T57" s="181" t="s">
        <v>4</v>
      </c>
      <c r="U57" s="184">
        <v>2022</v>
      </c>
      <c r="V57" s="181" t="s">
        <v>4</v>
      </c>
      <c r="W57" s="184">
        <v>2021</v>
      </c>
      <c r="AD57"/>
      <c r="AF57"/>
      <c r="AH57"/>
      <c r="AJ57" s="4"/>
      <c r="AL57" s="4"/>
      <c r="AN57" s="4"/>
      <c r="AP57"/>
      <c r="AR57"/>
      <c r="AV57" s="5"/>
      <c r="AX57" s="5"/>
      <c r="AZ57" s="5"/>
    </row>
    <row r="58" spans="1:52" x14ac:dyDescent="0.2">
      <c r="A58" s="411"/>
      <c r="B58" s="411"/>
      <c r="G58"/>
      <c r="K58" s="4"/>
      <c r="L58" s="56"/>
      <c r="N58" s="189" t="s">
        <v>101</v>
      </c>
      <c r="O58" s="190">
        <f>SUM(P3:P5)</f>
        <v>40466</v>
      </c>
      <c r="P58" s="191">
        <f>O58/W58-1</f>
        <v>3.4327633361449728E-2</v>
      </c>
      <c r="Q58" s="190">
        <f>SUM(S3:S5)</f>
        <v>41951</v>
      </c>
      <c r="R58" s="191">
        <f>Q58/W58-1</f>
        <v>7.2284845231705086E-2</v>
      </c>
      <c r="S58" s="190">
        <f>SUM(V3:V5)</f>
        <v>38797</v>
      </c>
      <c r="T58" s="191">
        <f>S58/W58-1</f>
        <v>-8.332694323032519E-3</v>
      </c>
      <c r="U58" s="190">
        <f>SUM(Y3:Y5)</f>
        <v>39426</v>
      </c>
      <c r="V58" s="191">
        <f>U58/W58-1</f>
        <v>7.7448048462540608E-3</v>
      </c>
      <c r="W58" s="190">
        <f>SUM(AB3:AB5)</f>
        <v>39123</v>
      </c>
      <c r="AD58"/>
      <c r="AF58"/>
      <c r="AH58"/>
      <c r="AJ58" s="4"/>
      <c r="AL58" s="4"/>
      <c r="AN58" s="4"/>
      <c r="AP58"/>
      <c r="AR58"/>
      <c r="AV58" s="5"/>
      <c r="AX58" s="5"/>
      <c r="AZ58" s="5"/>
    </row>
    <row r="59" spans="1:52" x14ac:dyDescent="0.2">
      <c r="A59" s="411"/>
      <c r="B59" s="411"/>
      <c r="G59"/>
      <c r="K59" s="4"/>
      <c r="L59" s="56"/>
      <c r="N59" s="189" t="s">
        <v>102</v>
      </c>
      <c r="O59" s="192">
        <f>SUM(P7:P10)-P10</f>
        <v>17404</v>
      </c>
      <c r="P59" s="193">
        <f t="shared" ref="P59:P71" si="25">O59/W59-1</f>
        <v>0.3594750820184347</v>
      </c>
      <c r="Q59" s="192">
        <f>SUM(S7:S10)-S10</f>
        <v>17105</v>
      </c>
      <c r="R59" s="193">
        <f t="shared" ref="R59:R71" si="26">Q59/W59-1</f>
        <v>0.33611935635057022</v>
      </c>
      <c r="S59" s="192">
        <f>SUM(V7:V10)-V10</f>
        <v>15197</v>
      </c>
      <c r="T59" s="193">
        <f t="shared" ref="T59:T71" si="27">S59/W59-1</f>
        <v>0.18708014372754267</v>
      </c>
      <c r="U59" s="192">
        <f>SUM(Y7:Y10)-Y10</f>
        <v>14015</v>
      </c>
      <c r="V59" s="193">
        <f t="shared" ref="V59:V71" si="28">U59/W59-1</f>
        <v>9.4750820184346107E-2</v>
      </c>
      <c r="W59" s="192">
        <f>SUM(AB7:AB10)-AB10</f>
        <v>12802</v>
      </c>
      <c r="AD59"/>
      <c r="AF59"/>
      <c r="AH59"/>
      <c r="AJ59" s="4"/>
      <c r="AL59" s="4"/>
      <c r="AN59" s="4"/>
      <c r="AP59"/>
      <c r="AR59"/>
      <c r="AV59" s="5"/>
      <c r="AX59" s="5"/>
      <c r="AZ59" s="5"/>
    </row>
    <row r="60" spans="1:52" x14ac:dyDescent="0.2">
      <c r="A60" s="411"/>
      <c r="B60" s="411"/>
      <c r="G60"/>
      <c r="K60" s="4"/>
      <c r="L60" s="56"/>
      <c r="N60" s="189" t="s">
        <v>103</v>
      </c>
      <c r="O60" s="194">
        <f>P10</f>
        <v>4634</v>
      </c>
      <c r="P60" s="195">
        <f t="shared" si="25"/>
        <v>0.76735316552250188</v>
      </c>
      <c r="Q60" s="194">
        <f>S10</f>
        <v>6887</v>
      </c>
      <c r="R60" s="195">
        <f t="shared" si="26"/>
        <v>1.6266209000762775</v>
      </c>
      <c r="S60" s="194">
        <f>V10</f>
        <v>4696</v>
      </c>
      <c r="T60" s="195">
        <f t="shared" si="27"/>
        <v>0.79099923722349352</v>
      </c>
      <c r="U60" s="194">
        <f>Y10</f>
        <v>4927</v>
      </c>
      <c r="V60" s="195">
        <f t="shared" si="28"/>
        <v>0.87909992372234935</v>
      </c>
      <c r="W60" s="194">
        <f>AB10</f>
        <v>2622</v>
      </c>
      <c r="AD60"/>
      <c r="AF60"/>
      <c r="AH60"/>
      <c r="AJ60" s="4"/>
      <c r="AL60" s="4"/>
      <c r="AN60" s="4"/>
      <c r="AP60"/>
      <c r="AR60"/>
      <c r="AV60" s="5"/>
      <c r="AX60" s="5"/>
      <c r="AZ60" s="5"/>
    </row>
    <row r="61" spans="1:52" x14ac:dyDescent="0.2">
      <c r="A61" s="411"/>
      <c r="B61" s="411"/>
      <c r="G61"/>
      <c r="K61" s="4"/>
      <c r="L61" s="56"/>
      <c r="N61" s="196" t="s">
        <v>63</v>
      </c>
      <c r="O61" s="197">
        <f>SUM(O58:O60)</f>
        <v>62504</v>
      </c>
      <c r="P61" s="198">
        <f t="shared" si="25"/>
        <v>0.1458742002309934</v>
      </c>
      <c r="Q61" s="197">
        <f>SUM(Q58:Q60)</f>
        <v>65943</v>
      </c>
      <c r="R61" s="198">
        <f t="shared" si="26"/>
        <v>0.20892074724549481</v>
      </c>
      <c r="S61" s="197">
        <f>SUM(S58:S60)</f>
        <v>58690</v>
      </c>
      <c r="T61" s="198">
        <f t="shared" si="27"/>
        <v>7.5952848002639906E-2</v>
      </c>
      <c r="U61" s="197">
        <f>SUM(U58:U60)</f>
        <v>58368</v>
      </c>
      <c r="V61" s="198">
        <f t="shared" si="28"/>
        <v>7.0049681925678842E-2</v>
      </c>
      <c r="W61" s="197">
        <f>SUM(W58:W60)</f>
        <v>54547</v>
      </c>
      <c r="AD61"/>
      <c r="AF61"/>
      <c r="AH61"/>
      <c r="AJ61" s="4"/>
      <c r="AL61" s="4"/>
      <c r="AN61" s="4"/>
      <c r="AP61"/>
      <c r="AR61"/>
      <c r="AV61" s="5"/>
      <c r="AX61" s="5"/>
      <c r="AZ61" s="5"/>
    </row>
    <row r="62" spans="1:52" x14ac:dyDescent="0.2">
      <c r="A62" s="411"/>
      <c r="B62" s="411"/>
      <c r="G62"/>
      <c r="K62" s="4"/>
      <c r="L62" s="56"/>
      <c r="N62" s="189" t="s">
        <v>104</v>
      </c>
      <c r="O62" s="192">
        <f>P17+P20</f>
        <v>43998</v>
      </c>
      <c r="P62" s="193">
        <f t="shared" si="25"/>
        <v>9.108493490390579E-2</v>
      </c>
      <c r="Q62" s="192">
        <f>S17+S20</f>
        <v>46374</v>
      </c>
      <c r="R62" s="193">
        <f t="shared" si="26"/>
        <v>0.15000619962802242</v>
      </c>
      <c r="S62" s="192">
        <f>V17+V20</f>
        <v>42389</v>
      </c>
      <c r="T62" s="193">
        <f t="shared" si="27"/>
        <v>5.1184128952262764E-2</v>
      </c>
      <c r="U62" s="192">
        <f>Y17+Y20</f>
        <v>37548</v>
      </c>
      <c r="V62" s="193">
        <f t="shared" si="28"/>
        <v>-6.8865468071915736E-2</v>
      </c>
      <c r="W62" s="192">
        <f>AB17+AB20</f>
        <v>40325</v>
      </c>
      <c r="AD62"/>
      <c r="AF62"/>
      <c r="AH62"/>
      <c r="AJ62" s="4"/>
      <c r="AL62" s="4"/>
      <c r="AN62" s="4"/>
      <c r="AP62"/>
      <c r="AR62"/>
      <c r="AV62" s="5"/>
      <c r="AX62" s="5"/>
      <c r="AZ62" s="5"/>
    </row>
    <row r="63" spans="1:52" x14ac:dyDescent="0.2">
      <c r="A63" s="411"/>
      <c r="B63" s="411"/>
      <c r="G63"/>
      <c r="K63" s="4"/>
      <c r="L63" s="56"/>
      <c r="N63" s="189" t="s">
        <v>105</v>
      </c>
      <c r="O63" s="192">
        <f>P25-(P22+P23)</f>
        <v>15647</v>
      </c>
      <c r="P63" s="193">
        <f t="shared" si="25"/>
        <v>0.30098944042570874</v>
      </c>
      <c r="Q63" s="192">
        <f>S25-(S22+S23)</f>
        <v>15648</v>
      </c>
      <c r="R63" s="193">
        <f t="shared" si="26"/>
        <v>0.30107258667997017</v>
      </c>
      <c r="S63" s="192">
        <f>V25-(V22+V23)</f>
        <v>14169</v>
      </c>
      <c r="T63" s="193">
        <f t="shared" si="27"/>
        <v>0.17809927662758795</v>
      </c>
      <c r="U63" s="192">
        <f>Y25-(Y22+Y23)</f>
        <v>17687</v>
      </c>
      <c r="V63" s="193">
        <f t="shared" si="28"/>
        <v>0.47060779911864969</v>
      </c>
      <c r="W63" s="192">
        <f>AB25-(AB22+AB23)</f>
        <v>12027</v>
      </c>
      <c r="AD63"/>
      <c r="AF63"/>
      <c r="AH63"/>
      <c r="AJ63" s="4"/>
      <c r="AL63" s="4"/>
      <c r="AN63" s="4"/>
      <c r="AP63"/>
      <c r="AR63"/>
      <c r="AV63" s="5"/>
      <c r="AX63" s="5"/>
      <c r="AZ63" s="5"/>
    </row>
    <row r="64" spans="1:52" x14ac:dyDescent="0.2">
      <c r="A64" s="411"/>
      <c r="B64" s="411"/>
      <c r="G64"/>
      <c r="K64" s="4"/>
      <c r="L64" s="56"/>
      <c r="N64" s="199" t="s">
        <v>106</v>
      </c>
      <c r="O64" s="194">
        <f>SUM(P22:P23)</f>
        <v>2859</v>
      </c>
      <c r="P64" s="195">
        <f t="shared" si="25"/>
        <v>0.30250569476082001</v>
      </c>
      <c r="Q64" s="194">
        <f>SUM(S22:S23)</f>
        <v>3921</v>
      </c>
      <c r="R64" s="195">
        <f t="shared" si="26"/>
        <v>0.78633257403189072</v>
      </c>
      <c r="S64" s="194">
        <f>SUM(V22:V23)</f>
        <v>2341</v>
      </c>
      <c r="T64" s="195">
        <f t="shared" si="27"/>
        <v>6.6514806378132008E-2</v>
      </c>
      <c r="U64" s="194">
        <f>SUM(Y22:Y23)</f>
        <v>3133</v>
      </c>
      <c r="V64" s="195">
        <f t="shared" si="28"/>
        <v>0.42733485193621878</v>
      </c>
      <c r="W64" s="194">
        <f>SUM(AB22:AB23)</f>
        <v>2195</v>
      </c>
      <c r="AD64"/>
      <c r="AF64"/>
      <c r="AH64"/>
      <c r="AJ64" s="4"/>
      <c r="AL64" s="4"/>
      <c r="AN64" s="4"/>
      <c r="AP64"/>
      <c r="AR64"/>
      <c r="AV64" s="5"/>
      <c r="AX64" s="5"/>
      <c r="AZ64" s="5"/>
    </row>
    <row r="65" spans="1:52" x14ac:dyDescent="0.2">
      <c r="A65" s="411"/>
      <c r="B65" s="411"/>
      <c r="G65"/>
      <c r="K65" s="4"/>
      <c r="L65" s="56"/>
      <c r="N65" s="200" t="s">
        <v>107</v>
      </c>
      <c r="O65" s="201">
        <f>SUM(O62:O64)</f>
        <v>62504</v>
      </c>
      <c r="P65" s="198">
        <f t="shared" si="25"/>
        <v>0.1458742002309934</v>
      </c>
      <c r="Q65" s="201">
        <f>SUM(Q62:Q64)</f>
        <v>65943</v>
      </c>
      <c r="R65" s="198">
        <f t="shared" si="26"/>
        <v>0.20892074724549481</v>
      </c>
      <c r="S65" s="201">
        <f>SUM(S62:S64)</f>
        <v>58899</v>
      </c>
      <c r="T65" s="198">
        <f t="shared" si="27"/>
        <v>7.9784406108493577E-2</v>
      </c>
      <c r="U65" s="201">
        <f>SUM(U62:U64)</f>
        <v>58368</v>
      </c>
      <c r="V65" s="198">
        <f t="shared" si="28"/>
        <v>7.0049681925678842E-2</v>
      </c>
      <c r="W65" s="201">
        <f>SUM(W62:W64)</f>
        <v>54547</v>
      </c>
      <c r="AD65"/>
      <c r="AF65"/>
      <c r="AH65"/>
      <c r="AJ65" s="4"/>
      <c r="AL65" s="4"/>
      <c r="AN65" s="4"/>
      <c r="AP65"/>
      <c r="AR65"/>
      <c r="AV65" s="5"/>
      <c r="AX65" s="5"/>
      <c r="AZ65" s="5"/>
    </row>
    <row r="66" spans="1:52" x14ac:dyDescent="0.2">
      <c r="A66" s="411"/>
      <c r="B66" s="411"/>
      <c r="G66"/>
      <c r="K66" s="4"/>
      <c r="L66" s="56"/>
      <c r="N66" s="185"/>
      <c r="O66" s="185"/>
      <c r="P66" s="202"/>
      <c r="Q66" s="185"/>
      <c r="R66" s="202"/>
      <c r="S66" s="185"/>
      <c r="T66" s="202"/>
      <c r="U66" s="185"/>
      <c r="V66" s="202"/>
      <c r="W66" s="185"/>
      <c r="AD66"/>
      <c r="AF66"/>
      <c r="AH66"/>
      <c r="AJ66" s="4"/>
      <c r="AL66" s="4"/>
      <c r="AN66" s="4"/>
      <c r="AP66"/>
      <c r="AR66"/>
      <c r="AV66" s="5"/>
      <c r="AX66" s="5"/>
      <c r="AZ66" s="5"/>
    </row>
    <row r="67" spans="1:52" x14ac:dyDescent="0.2">
      <c r="A67" s="411"/>
      <c r="B67" s="411"/>
      <c r="G67"/>
      <c r="K67" s="4"/>
      <c r="L67" s="56"/>
      <c r="N67" s="185"/>
      <c r="O67" s="185"/>
      <c r="P67" s="202"/>
      <c r="Q67" s="185"/>
      <c r="R67" s="202"/>
      <c r="S67" s="185"/>
      <c r="T67" s="202"/>
      <c r="U67" s="185"/>
      <c r="V67" s="202"/>
      <c r="W67" s="185"/>
      <c r="AD67"/>
      <c r="AF67"/>
      <c r="AH67"/>
      <c r="AJ67" s="4"/>
      <c r="AL67" s="4"/>
      <c r="AN67" s="4"/>
      <c r="AP67"/>
      <c r="AR67"/>
      <c r="AV67" s="5"/>
      <c r="AX67" s="5"/>
      <c r="AZ67" s="5"/>
    </row>
    <row r="68" spans="1:52" x14ac:dyDescent="0.2">
      <c r="A68" s="411"/>
      <c r="B68" s="411"/>
      <c r="G68"/>
      <c r="K68" s="4"/>
      <c r="L68" s="56"/>
      <c r="N68" s="179" t="s">
        <v>108</v>
      </c>
      <c r="O68" s="180">
        <v>2025</v>
      </c>
      <c r="P68" s="181" t="s">
        <v>4</v>
      </c>
      <c r="Q68" s="182">
        <v>2024</v>
      </c>
      <c r="R68" s="181" t="s">
        <v>4</v>
      </c>
      <c r="S68" s="183">
        <v>2023</v>
      </c>
      <c r="T68" s="181" t="s">
        <v>4</v>
      </c>
      <c r="U68" s="184">
        <v>2022</v>
      </c>
      <c r="V68" s="181" t="s">
        <v>4</v>
      </c>
      <c r="W68" s="184">
        <v>2021</v>
      </c>
      <c r="AD68"/>
      <c r="AF68"/>
      <c r="AH68"/>
      <c r="AJ68" s="4"/>
      <c r="AL68" s="4"/>
      <c r="AN68" s="4"/>
      <c r="AP68"/>
      <c r="AR68"/>
      <c r="AV68" s="5"/>
      <c r="AX68" s="5"/>
      <c r="AZ68" s="5"/>
    </row>
    <row r="69" spans="1:52" x14ac:dyDescent="0.2">
      <c r="A69" s="411"/>
      <c r="B69" s="411"/>
      <c r="G69"/>
      <c r="K69" s="4"/>
      <c r="L69" s="56"/>
      <c r="M69"/>
      <c r="N69" s="189" t="s">
        <v>109</v>
      </c>
      <c r="O69" s="203">
        <f>O62-O58</f>
        <v>3532</v>
      </c>
      <c r="P69" s="191">
        <f t="shared" si="25"/>
        <v>1.9384359400998337</v>
      </c>
      <c r="Q69" s="203">
        <f>Q62-Q58</f>
        <v>4423</v>
      </c>
      <c r="R69" s="191">
        <f t="shared" si="26"/>
        <v>2.6797004991680531</v>
      </c>
      <c r="S69" s="203">
        <f>S62-S58</f>
        <v>3592</v>
      </c>
      <c r="T69" s="191">
        <f t="shared" si="27"/>
        <v>1.9883527454242929</v>
      </c>
      <c r="U69" s="203">
        <f>U62-U58</f>
        <v>-1878</v>
      </c>
      <c r="V69" s="191">
        <f t="shared" si="28"/>
        <v>-2.562396006655574</v>
      </c>
      <c r="W69" s="203">
        <f>W62-W58</f>
        <v>1202</v>
      </c>
      <c r="AD69"/>
      <c r="AF69"/>
      <c r="AH69"/>
      <c r="AJ69" s="4"/>
      <c r="AL69" s="4"/>
      <c r="AN69" s="4"/>
      <c r="AP69"/>
      <c r="AR69"/>
      <c r="AV69" s="5"/>
      <c r="AX69" s="5"/>
      <c r="AZ69" s="5"/>
    </row>
    <row r="70" spans="1:52" x14ac:dyDescent="0.2">
      <c r="A70" s="411"/>
      <c r="B70" s="411"/>
      <c r="G70"/>
      <c r="K70" s="4"/>
      <c r="L70" s="4"/>
      <c r="N70" s="189" t="s">
        <v>110</v>
      </c>
      <c r="O70" s="192">
        <f>O59-O63</f>
        <v>1757</v>
      </c>
      <c r="P70" s="193">
        <f t="shared" si="25"/>
        <v>1.2670967741935484</v>
      </c>
      <c r="Q70" s="192">
        <f>Q59-Q63</f>
        <v>1457</v>
      </c>
      <c r="R70" s="193">
        <f t="shared" si="26"/>
        <v>0.87999999999999989</v>
      </c>
      <c r="S70" s="192">
        <f>S59-S63</f>
        <v>1028</v>
      </c>
      <c r="T70" s="193">
        <f t="shared" si="27"/>
        <v>0.32645161290322577</v>
      </c>
      <c r="U70" s="192">
        <f>U59-U63</f>
        <v>-3672</v>
      </c>
      <c r="V70" s="193">
        <f t="shared" si="28"/>
        <v>-5.7380645161290325</v>
      </c>
      <c r="W70" s="192">
        <f>W59-W63</f>
        <v>775</v>
      </c>
      <c r="AD70"/>
      <c r="AF70"/>
      <c r="AH70"/>
      <c r="AJ70" s="4"/>
      <c r="AL70" s="4"/>
      <c r="AN70" s="4"/>
      <c r="AP70"/>
      <c r="AR70"/>
      <c r="AV70" s="5"/>
      <c r="AX70" s="5"/>
      <c r="AZ70" s="5"/>
    </row>
    <row r="71" spans="1:52" x14ac:dyDescent="0.2">
      <c r="A71" s="411"/>
      <c r="B71" s="411"/>
      <c r="G71"/>
      <c r="K71" s="4"/>
      <c r="L71" s="4"/>
      <c r="N71" s="204" t="s">
        <v>111</v>
      </c>
      <c r="O71" s="205">
        <f>+O69+O70</f>
        <v>5289</v>
      </c>
      <c r="P71" s="195">
        <f t="shared" si="25"/>
        <v>1.6752655538694992</v>
      </c>
      <c r="Q71" s="205">
        <f>+Q69+Q70</f>
        <v>5880</v>
      </c>
      <c r="R71" s="195">
        <f t="shared" si="26"/>
        <v>1.9742033383915021</v>
      </c>
      <c r="S71" s="205">
        <f>+S69+S70</f>
        <v>4620</v>
      </c>
      <c r="T71" s="195">
        <f t="shared" si="27"/>
        <v>1.3368740515933233</v>
      </c>
      <c r="U71" s="205">
        <f>+U69+U70</f>
        <v>-5550</v>
      </c>
      <c r="V71" s="195">
        <f t="shared" si="28"/>
        <v>-3.8072837632776935</v>
      </c>
      <c r="W71" s="205">
        <f>+W69+W70</f>
        <v>1977</v>
      </c>
      <c r="AD71"/>
      <c r="AF71"/>
      <c r="AH71"/>
      <c r="AJ71" s="4"/>
      <c r="AL71" s="4"/>
      <c r="AN71" s="4"/>
      <c r="AP71"/>
      <c r="AR71"/>
      <c r="AV71" s="5"/>
      <c r="AX71" s="5"/>
      <c r="AZ71" s="5"/>
    </row>
    <row r="72" spans="1:52" x14ac:dyDescent="0.2">
      <c r="A72" s="411"/>
      <c r="B72" s="411"/>
      <c r="G72"/>
      <c r="K72" s="4"/>
      <c r="L72" s="4"/>
      <c r="S72" s="56"/>
      <c r="V72" s="56"/>
      <c r="AD72"/>
      <c r="AF72"/>
      <c r="AH72"/>
      <c r="AJ72" s="4"/>
      <c r="AL72" s="4"/>
      <c r="AN72" s="4"/>
      <c r="AP72"/>
      <c r="AR72"/>
      <c r="AV72" s="5"/>
      <c r="AX72" s="5"/>
      <c r="AZ72" s="5"/>
    </row>
    <row r="73" spans="1:52" x14ac:dyDescent="0.2">
      <c r="A73" s="411"/>
      <c r="B73" s="411"/>
      <c r="G73"/>
      <c r="K73" s="4"/>
      <c r="L73" s="4"/>
      <c r="S73" s="56"/>
      <c r="V73" s="56"/>
      <c r="AD73"/>
      <c r="AF73"/>
      <c r="AH73"/>
      <c r="AJ73" s="4"/>
      <c r="AL73" s="4"/>
      <c r="AN73" s="4"/>
      <c r="AP73"/>
      <c r="AR73"/>
      <c r="AV73" s="5"/>
      <c r="AX73" s="5"/>
      <c r="AZ73" s="5"/>
    </row>
    <row r="74" spans="1:52" x14ac:dyDescent="0.2">
      <c r="A74" s="411"/>
      <c r="B74" s="411"/>
      <c r="G74"/>
      <c r="K74" s="4"/>
      <c r="L74" s="4"/>
      <c r="S74" s="56"/>
      <c r="V74" s="56"/>
      <c r="AD74"/>
      <c r="AF74"/>
      <c r="AH74"/>
      <c r="AJ74" s="4"/>
      <c r="AL74" s="4"/>
      <c r="AN74" s="4"/>
      <c r="AP74"/>
      <c r="AR74"/>
      <c r="AV74" s="5"/>
      <c r="AX74" s="5"/>
      <c r="AZ74" s="5"/>
    </row>
    <row r="75" spans="1:52" x14ac:dyDescent="0.2">
      <c r="A75" s="411"/>
      <c r="B75" s="411"/>
      <c r="G75"/>
      <c r="K75" s="4"/>
      <c r="L75" s="4"/>
      <c r="S75" s="56"/>
      <c r="V75" s="56"/>
      <c r="AD75"/>
      <c r="AF75"/>
      <c r="AH75"/>
      <c r="AJ75" s="4"/>
      <c r="AL75" s="4"/>
      <c r="AN75" s="4"/>
      <c r="AP75"/>
      <c r="AR75"/>
      <c r="AV75" s="5"/>
      <c r="AX75" s="5"/>
      <c r="AZ75" s="5"/>
    </row>
    <row r="76" spans="1:52" x14ac:dyDescent="0.2">
      <c r="A76" s="411"/>
      <c r="B76" s="411"/>
      <c r="G76"/>
      <c r="K76" s="4"/>
      <c r="L76" s="4"/>
      <c r="S76" s="56"/>
      <c r="V76" s="56"/>
      <c r="AD76"/>
      <c r="AF76"/>
      <c r="AH76"/>
      <c r="AJ76" s="4"/>
      <c r="AL76" s="4"/>
      <c r="AN76" s="4"/>
      <c r="AP76"/>
      <c r="AR76"/>
      <c r="AV76" s="5"/>
      <c r="AX76" s="5"/>
      <c r="AZ76" s="5"/>
    </row>
    <row r="77" spans="1:52" x14ac:dyDescent="0.2">
      <c r="A77" s="411"/>
      <c r="B77" s="411"/>
      <c r="G77"/>
      <c r="K77" s="4"/>
      <c r="L77" s="4"/>
      <c r="S77" s="56"/>
      <c r="V77" s="56"/>
      <c r="AD77"/>
      <c r="AF77"/>
      <c r="AH77"/>
      <c r="AJ77" s="4"/>
      <c r="AL77" s="4"/>
      <c r="AN77" s="4"/>
      <c r="AP77"/>
      <c r="AR77"/>
      <c r="AV77" s="5"/>
      <c r="AX77" s="5"/>
      <c r="AZ77" s="5"/>
    </row>
    <row r="78" spans="1:52" x14ac:dyDescent="0.2">
      <c r="A78" s="411"/>
      <c r="B78" s="411"/>
      <c r="G78"/>
      <c r="K78" s="4"/>
      <c r="L78" s="4"/>
      <c r="S78" s="56"/>
      <c r="V78" s="56"/>
      <c r="AD78"/>
      <c r="AF78"/>
      <c r="AH78"/>
      <c r="AJ78" s="4"/>
      <c r="AL78" s="4"/>
      <c r="AN78" s="4"/>
      <c r="AP78"/>
      <c r="AR78"/>
      <c r="AV78" s="5"/>
      <c r="AX78" s="5"/>
      <c r="AZ78" s="5"/>
    </row>
    <row r="79" spans="1:52" x14ac:dyDescent="0.2">
      <c r="A79" s="411"/>
      <c r="B79" s="411"/>
      <c r="G79"/>
      <c r="K79" s="4"/>
      <c r="L79" s="4"/>
      <c r="S79" s="56"/>
      <c r="V79" s="56"/>
      <c r="AD79"/>
      <c r="AF79"/>
      <c r="AH79"/>
      <c r="AJ79" s="4"/>
      <c r="AL79" s="4"/>
      <c r="AN79" s="4"/>
      <c r="AP79"/>
      <c r="AR79"/>
      <c r="AV79" s="5"/>
      <c r="AX79" s="5"/>
      <c r="AZ79" s="5"/>
    </row>
    <row r="80" spans="1:52" x14ac:dyDescent="0.2">
      <c r="A80" s="411"/>
      <c r="B80" s="411"/>
      <c r="G80"/>
      <c r="K80" s="4"/>
      <c r="L80" s="4"/>
      <c r="S80" s="56"/>
      <c r="V80" s="56"/>
      <c r="AD80"/>
      <c r="AF80"/>
      <c r="AH80"/>
      <c r="AJ80" s="4"/>
      <c r="AL80" s="4"/>
      <c r="AN80" s="4"/>
      <c r="AP80"/>
      <c r="AR80"/>
      <c r="AV80" s="5"/>
      <c r="AX80" s="5"/>
      <c r="AZ80" s="5"/>
    </row>
    <row r="81" spans="1:52" x14ac:dyDescent="0.2">
      <c r="A81" s="411"/>
      <c r="B81" s="411"/>
      <c r="G81"/>
      <c r="K81" s="4"/>
      <c r="L81" s="4"/>
      <c r="S81" s="56"/>
      <c r="V81" s="56"/>
      <c r="AD81"/>
      <c r="AF81"/>
      <c r="AH81"/>
      <c r="AJ81" s="4"/>
      <c r="AL81" s="4"/>
      <c r="AN81" s="4"/>
      <c r="AP81"/>
      <c r="AR81"/>
      <c r="AV81" s="5"/>
      <c r="AX81" s="5"/>
      <c r="AZ81" s="5"/>
    </row>
    <row r="82" spans="1:52" x14ac:dyDescent="0.2">
      <c r="A82" s="411"/>
      <c r="B82" s="411"/>
      <c r="G82"/>
      <c r="K82" s="4"/>
      <c r="L82" s="4"/>
      <c r="S82" s="56"/>
      <c r="V82" s="56"/>
      <c r="AD82"/>
      <c r="AF82"/>
      <c r="AH82"/>
      <c r="AJ82" s="4"/>
      <c r="AL82" s="4"/>
      <c r="AN82" s="4"/>
      <c r="AP82"/>
      <c r="AR82"/>
      <c r="AV82" s="5"/>
      <c r="AX82" s="5"/>
      <c r="AZ82" s="5"/>
    </row>
    <row r="83" spans="1:52" x14ac:dyDescent="0.2">
      <c r="A83" s="411"/>
      <c r="B83" s="411"/>
      <c r="G83"/>
      <c r="K83" s="4"/>
      <c r="L83" s="4"/>
      <c r="S83" s="56"/>
      <c r="V83" s="56"/>
      <c r="AD83"/>
      <c r="AF83"/>
      <c r="AH83"/>
      <c r="AJ83" s="4"/>
      <c r="AL83" s="4"/>
      <c r="AN83" s="4"/>
      <c r="AP83"/>
      <c r="AR83"/>
      <c r="AV83" s="5"/>
      <c r="AX83" s="5"/>
      <c r="AZ83" s="5"/>
    </row>
    <row r="84" spans="1:52" x14ac:dyDescent="0.2">
      <c r="A84" s="411"/>
      <c r="B84" s="411"/>
      <c r="G84"/>
      <c r="K84" s="4"/>
      <c r="L84" s="4"/>
      <c r="S84" s="56"/>
      <c r="V84" s="56"/>
      <c r="AD84"/>
      <c r="AF84"/>
      <c r="AH84"/>
      <c r="AJ84" s="4"/>
      <c r="AL84" s="4"/>
      <c r="AN84" s="4"/>
      <c r="AP84"/>
      <c r="AR84"/>
      <c r="AV84" s="5"/>
      <c r="AX84" s="5"/>
      <c r="AZ84" s="5"/>
    </row>
    <row r="85" spans="1:52" x14ac:dyDescent="0.2">
      <c r="A85" s="411"/>
      <c r="B85" s="411"/>
      <c r="G85"/>
      <c r="K85" s="4"/>
      <c r="L85" s="4"/>
      <c r="S85" s="56"/>
      <c r="V85" s="56"/>
      <c r="AD85"/>
      <c r="AF85"/>
      <c r="AH85"/>
      <c r="AJ85" s="4"/>
      <c r="AL85" s="4"/>
      <c r="AN85" s="4"/>
      <c r="AP85"/>
      <c r="AR85"/>
      <c r="AV85" s="5"/>
      <c r="AX85" s="5"/>
      <c r="AZ85" s="5"/>
    </row>
    <row r="86" spans="1:52" x14ac:dyDescent="0.2">
      <c r="A86" s="411"/>
      <c r="B86" s="411"/>
      <c r="G86"/>
      <c r="K86" s="4"/>
      <c r="L86" s="4"/>
      <c r="S86" s="56"/>
      <c r="V86" s="56"/>
      <c r="AD86"/>
      <c r="AF86"/>
      <c r="AH86"/>
      <c r="AJ86" s="4"/>
      <c r="AL86" s="4"/>
      <c r="AN86" s="4"/>
      <c r="AP86"/>
      <c r="AR86"/>
      <c r="AV86" s="5"/>
      <c r="AX86" s="5"/>
      <c r="AZ86" s="5"/>
    </row>
    <row r="87" spans="1:52" x14ac:dyDescent="0.2">
      <c r="A87" s="411"/>
      <c r="B87" s="411"/>
      <c r="G87"/>
      <c r="K87" s="4"/>
      <c r="L87" s="4"/>
      <c r="S87" s="56"/>
      <c r="V87" s="56"/>
      <c r="AD87"/>
      <c r="AF87"/>
      <c r="AH87"/>
      <c r="AJ87" s="4"/>
      <c r="AL87" s="4"/>
      <c r="AN87" s="4"/>
      <c r="AP87"/>
      <c r="AR87"/>
      <c r="AV87" s="5"/>
      <c r="AX87" s="5"/>
      <c r="AZ87" s="5"/>
    </row>
    <row r="88" spans="1:52" x14ac:dyDescent="0.2">
      <c r="A88" s="411"/>
      <c r="B88" s="411"/>
      <c r="G88"/>
      <c r="K88" s="4"/>
      <c r="L88" s="4"/>
      <c r="S88" s="56"/>
      <c r="V88" s="56"/>
      <c r="AD88"/>
      <c r="AF88"/>
      <c r="AH88"/>
      <c r="AJ88" s="4"/>
      <c r="AL88" s="4"/>
      <c r="AN88" s="4"/>
      <c r="AP88"/>
      <c r="AR88"/>
      <c r="AV88" s="5"/>
      <c r="AX88" s="5"/>
      <c r="AZ88" s="5"/>
    </row>
    <row r="89" spans="1:52" x14ac:dyDescent="0.2">
      <c r="A89" s="411"/>
      <c r="B89" s="411"/>
      <c r="G89"/>
      <c r="K89" s="4"/>
      <c r="L89" s="4"/>
      <c r="S89" s="56"/>
      <c r="V89" s="56"/>
      <c r="AD89"/>
      <c r="AF89"/>
      <c r="AH89"/>
      <c r="AJ89" s="4"/>
      <c r="AL89" s="4"/>
      <c r="AN89" s="4"/>
      <c r="AP89"/>
      <c r="AR89"/>
      <c r="AV89" s="5"/>
      <c r="AX89" s="5"/>
      <c r="AZ89" s="5"/>
    </row>
    <row r="90" spans="1:52" x14ac:dyDescent="0.2">
      <c r="A90" s="411"/>
      <c r="B90" s="411"/>
      <c r="G90"/>
      <c r="K90" s="4"/>
      <c r="L90" s="4"/>
      <c r="S90" s="56"/>
      <c r="V90" s="56"/>
      <c r="AD90"/>
      <c r="AF90"/>
      <c r="AH90"/>
      <c r="AJ90" s="4"/>
      <c r="AL90" s="4"/>
      <c r="AN90" s="4"/>
      <c r="AP90"/>
      <c r="AR90"/>
      <c r="AV90" s="5"/>
      <c r="AX90" s="5"/>
      <c r="AZ90" s="5"/>
    </row>
    <row r="91" spans="1:52" x14ac:dyDescent="0.2">
      <c r="A91" s="411"/>
      <c r="B91" s="411"/>
      <c r="G91"/>
      <c r="K91" s="4"/>
      <c r="L91" s="4"/>
      <c r="S91" s="56"/>
      <c r="V91" s="56"/>
      <c r="AD91"/>
      <c r="AF91"/>
      <c r="AH91"/>
      <c r="AJ91" s="4"/>
      <c r="AL91" s="4"/>
      <c r="AN91" s="4"/>
      <c r="AP91"/>
      <c r="AR91"/>
      <c r="AV91" s="5"/>
      <c r="AX91" s="5"/>
      <c r="AZ91" s="5"/>
    </row>
    <row r="92" spans="1:52" x14ac:dyDescent="0.2">
      <c r="A92" s="411"/>
      <c r="B92" s="411"/>
      <c r="G92"/>
      <c r="K92" s="4"/>
      <c r="L92" s="4"/>
      <c r="S92" s="56"/>
      <c r="V92" s="56"/>
      <c r="AD92"/>
      <c r="AF92"/>
      <c r="AH92"/>
      <c r="AJ92" s="4"/>
      <c r="AL92" s="4"/>
      <c r="AN92" s="4"/>
      <c r="AP92"/>
      <c r="AR92"/>
      <c r="AV92" s="5"/>
      <c r="AX92" s="5"/>
      <c r="AZ92" s="5"/>
    </row>
    <row r="93" spans="1:52" x14ac:dyDescent="0.2">
      <c r="A93" s="411"/>
      <c r="B93" s="411"/>
      <c r="G93"/>
      <c r="K93" s="4"/>
      <c r="L93" s="4"/>
      <c r="S93" s="56"/>
      <c r="V93" s="56"/>
      <c r="AD93"/>
      <c r="AF93"/>
      <c r="AH93"/>
      <c r="AJ93" s="4"/>
      <c r="AL93" s="4"/>
      <c r="AN93" s="4"/>
      <c r="AP93"/>
      <c r="AR93"/>
      <c r="AV93" s="5"/>
      <c r="AX93" s="5"/>
      <c r="AZ93" s="5"/>
    </row>
    <row r="94" spans="1:52" x14ac:dyDescent="0.2">
      <c r="A94" s="411"/>
      <c r="B94" s="411"/>
      <c r="G94"/>
      <c r="K94" s="4"/>
      <c r="L94" s="4"/>
      <c r="S94" s="56"/>
      <c r="V94" s="56"/>
      <c r="AD94"/>
      <c r="AF94"/>
      <c r="AH94"/>
      <c r="AJ94" s="4"/>
      <c r="AL94" s="4"/>
      <c r="AN94" s="4"/>
      <c r="AP94"/>
      <c r="AR94"/>
      <c r="AV94" s="5"/>
      <c r="AX94" s="5"/>
      <c r="AZ94" s="5"/>
    </row>
    <row r="95" spans="1:52" x14ac:dyDescent="0.2">
      <c r="A95" s="411"/>
      <c r="B95" s="411"/>
      <c r="G95"/>
      <c r="K95" s="4"/>
      <c r="L95" s="4"/>
      <c r="S95" s="56"/>
      <c r="V95" s="56"/>
      <c r="AD95"/>
      <c r="AF95"/>
      <c r="AH95"/>
      <c r="AJ95" s="4"/>
      <c r="AL95" s="4"/>
      <c r="AN95" s="4"/>
      <c r="AP95"/>
      <c r="AR95"/>
      <c r="AV95" s="5"/>
      <c r="AX95" s="5"/>
      <c r="AZ95" s="5"/>
    </row>
    <row r="96" spans="1:52" x14ac:dyDescent="0.2">
      <c r="A96" s="411"/>
      <c r="B96" s="411"/>
      <c r="G96"/>
      <c r="K96" s="4"/>
      <c r="L96" s="4"/>
      <c r="S96" s="56"/>
      <c r="V96" s="56"/>
      <c r="AD96"/>
      <c r="AF96"/>
      <c r="AH96"/>
      <c r="AJ96" s="4"/>
      <c r="AL96" s="4"/>
      <c r="AN96" s="4"/>
      <c r="AP96"/>
      <c r="AR96"/>
      <c r="AV96" s="5"/>
      <c r="AX96" s="5"/>
      <c r="AZ96" s="5"/>
    </row>
    <row r="97" spans="1:52" x14ac:dyDescent="0.2">
      <c r="A97" s="411"/>
      <c r="B97" s="411"/>
      <c r="G97"/>
      <c r="K97" s="4"/>
      <c r="L97" s="4"/>
      <c r="S97" s="56"/>
      <c r="V97" s="56"/>
      <c r="AD97"/>
      <c r="AF97"/>
      <c r="AH97"/>
      <c r="AJ97" s="4"/>
      <c r="AL97" s="4"/>
      <c r="AN97" s="4"/>
      <c r="AP97"/>
      <c r="AR97"/>
      <c r="AV97" s="5"/>
      <c r="AX97" s="5"/>
      <c r="AZ97" s="5"/>
    </row>
    <row r="98" spans="1:52" x14ac:dyDescent="0.2">
      <c r="A98" s="411"/>
      <c r="B98" s="411"/>
      <c r="G98"/>
      <c r="K98" s="4"/>
      <c r="L98" s="4"/>
      <c r="S98" s="56"/>
      <c r="V98" s="56"/>
      <c r="AD98"/>
      <c r="AF98"/>
      <c r="AH98"/>
      <c r="AJ98" s="4"/>
      <c r="AL98" s="4"/>
      <c r="AN98" s="4"/>
      <c r="AP98"/>
      <c r="AR98"/>
      <c r="AV98" s="5"/>
      <c r="AX98" s="5"/>
      <c r="AZ98" s="5"/>
    </row>
    <row r="99" spans="1:52" x14ac:dyDescent="0.2">
      <c r="A99" s="411"/>
      <c r="B99" s="411"/>
      <c r="G99"/>
      <c r="K99" s="4"/>
      <c r="L99" s="4"/>
      <c r="S99" s="56"/>
      <c r="V99" s="56"/>
      <c r="AD99"/>
      <c r="AF99"/>
      <c r="AH99"/>
      <c r="AJ99" s="4"/>
      <c r="AL99" s="4"/>
      <c r="AN99" s="4"/>
      <c r="AP99"/>
      <c r="AR99"/>
      <c r="AV99" s="5"/>
      <c r="AX99" s="5"/>
      <c r="AZ99" s="5"/>
    </row>
    <row r="100" spans="1:52" x14ac:dyDescent="0.2">
      <c r="A100" s="411"/>
      <c r="B100" s="411"/>
      <c r="G100"/>
      <c r="K100" s="4"/>
      <c r="L100" s="4"/>
      <c r="S100" s="56"/>
      <c r="V100" s="56"/>
      <c r="AD100"/>
      <c r="AF100"/>
      <c r="AH100"/>
      <c r="AJ100" s="4"/>
      <c r="AL100" s="4"/>
      <c r="AN100" s="4"/>
      <c r="AP100"/>
      <c r="AR100"/>
      <c r="AV100" s="5"/>
      <c r="AX100" s="5"/>
      <c r="AZ100" s="5"/>
    </row>
    <row r="101" spans="1:52" x14ac:dyDescent="0.2">
      <c r="A101" s="411"/>
      <c r="B101" s="411"/>
      <c r="G101"/>
      <c r="K101" s="4"/>
      <c r="L101" s="4"/>
      <c r="S101" s="56"/>
      <c r="V101" s="56"/>
      <c r="AD101"/>
      <c r="AF101"/>
      <c r="AH101"/>
      <c r="AJ101" s="4"/>
      <c r="AL101" s="4"/>
      <c r="AN101" s="4"/>
      <c r="AP101"/>
      <c r="AR101"/>
      <c r="AV101" s="5"/>
      <c r="AX101" s="5"/>
      <c r="AZ101" s="5"/>
    </row>
    <row r="102" spans="1:52" x14ac:dyDescent="0.2">
      <c r="A102" s="411"/>
      <c r="B102" s="411"/>
      <c r="G102"/>
      <c r="K102" s="4"/>
      <c r="L102" s="4"/>
      <c r="S102" s="56"/>
      <c r="V102" s="56"/>
      <c r="AD102"/>
      <c r="AF102"/>
      <c r="AH102"/>
      <c r="AJ102" s="4"/>
      <c r="AL102" s="4"/>
      <c r="AN102" s="4"/>
      <c r="AP102"/>
      <c r="AR102"/>
      <c r="AV102" s="5"/>
      <c r="AX102" s="5"/>
      <c r="AZ102" s="5"/>
    </row>
    <row r="103" spans="1:52" x14ac:dyDescent="0.2">
      <c r="A103" s="411"/>
      <c r="B103" s="411"/>
      <c r="G103"/>
      <c r="K103" s="4"/>
      <c r="L103" s="4"/>
      <c r="S103" s="56"/>
      <c r="V103" s="56"/>
      <c r="AD103"/>
      <c r="AF103"/>
      <c r="AH103"/>
      <c r="AJ103" s="4"/>
      <c r="AL103" s="4"/>
      <c r="AN103" s="4"/>
      <c r="AP103"/>
      <c r="AR103"/>
      <c r="AV103" s="5"/>
      <c r="AX103" s="5"/>
      <c r="AZ103" s="5"/>
    </row>
    <row r="104" spans="1:52" x14ac:dyDescent="0.2">
      <c r="A104" s="411"/>
      <c r="B104" s="411"/>
      <c r="G104"/>
      <c r="K104" s="4"/>
      <c r="L104" s="4"/>
      <c r="S104" s="56"/>
      <c r="V104" s="56"/>
      <c r="AD104"/>
      <c r="AF104"/>
      <c r="AH104"/>
      <c r="AJ104" s="4"/>
      <c r="AL104" s="4"/>
      <c r="AN104" s="4"/>
      <c r="AP104"/>
      <c r="AR104"/>
      <c r="AV104" s="5"/>
      <c r="AX104" s="5"/>
      <c r="AZ104" s="5"/>
    </row>
    <row r="105" spans="1:52" x14ac:dyDescent="0.2">
      <c r="A105" s="411"/>
      <c r="B105" s="411"/>
      <c r="G105"/>
      <c r="K105" s="4"/>
      <c r="L105" s="4"/>
      <c r="S105" s="56"/>
      <c r="V105" s="56"/>
      <c r="AD105"/>
      <c r="AF105"/>
      <c r="AH105"/>
      <c r="AJ105" s="4"/>
      <c r="AL105" s="4"/>
      <c r="AN105" s="4"/>
      <c r="AP105"/>
      <c r="AR105"/>
      <c r="AV105" s="5"/>
      <c r="AX105" s="5"/>
      <c r="AZ105" s="5"/>
    </row>
    <row r="106" spans="1:52" x14ac:dyDescent="0.2">
      <c r="A106" s="411"/>
      <c r="B106" s="411"/>
      <c r="G106"/>
      <c r="K106" s="4"/>
      <c r="L106" s="4"/>
      <c r="S106" s="56"/>
      <c r="V106" s="56"/>
      <c r="AD106"/>
      <c r="AF106"/>
      <c r="AH106"/>
      <c r="AJ106" s="4"/>
      <c r="AL106" s="4"/>
      <c r="AN106" s="4"/>
      <c r="AP106"/>
      <c r="AR106"/>
      <c r="AV106" s="5"/>
      <c r="AX106" s="5"/>
      <c r="AZ106" s="5"/>
    </row>
    <row r="107" spans="1:52" x14ac:dyDescent="0.2">
      <c r="A107" s="411"/>
      <c r="B107" s="411"/>
      <c r="G107"/>
      <c r="K107" s="4"/>
      <c r="L107" s="4"/>
      <c r="S107" s="56"/>
      <c r="V107" s="56"/>
      <c r="AD107"/>
      <c r="AF107"/>
      <c r="AH107"/>
      <c r="AJ107" s="4"/>
      <c r="AL107" s="4"/>
      <c r="AN107" s="4"/>
      <c r="AP107"/>
      <c r="AR107"/>
      <c r="AV107" s="5"/>
      <c r="AX107" s="5"/>
      <c r="AZ107" s="5"/>
    </row>
    <row r="108" spans="1:52" x14ac:dyDescent="0.2">
      <c r="A108" s="411"/>
      <c r="B108" s="411"/>
      <c r="G108"/>
      <c r="K108" s="4"/>
      <c r="L108" s="4"/>
      <c r="S108" s="56"/>
      <c r="V108" s="56"/>
      <c r="AD108"/>
      <c r="AF108"/>
      <c r="AH108"/>
      <c r="AJ108" s="4"/>
      <c r="AL108" s="4"/>
      <c r="AN108" s="4"/>
      <c r="AP108"/>
      <c r="AR108"/>
      <c r="AV108" s="5"/>
      <c r="AX108" s="5"/>
      <c r="AZ108" s="5"/>
    </row>
    <row r="109" spans="1:52" x14ac:dyDescent="0.2">
      <c r="A109" s="411"/>
      <c r="B109" s="411"/>
      <c r="G109"/>
      <c r="K109" s="4"/>
      <c r="L109" s="4"/>
      <c r="S109" s="56"/>
      <c r="V109" s="56"/>
      <c r="AD109"/>
      <c r="AF109"/>
      <c r="AH109"/>
      <c r="AJ109" s="4"/>
      <c r="AL109" s="4"/>
      <c r="AN109" s="4"/>
      <c r="AP109"/>
      <c r="AR109"/>
      <c r="AV109" s="5"/>
      <c r="AX109" s="5"/>
      <c r="AZ109" s="5"/>
    </row>
    <row r="110" spans="1:52" x14ac:dyDescent="0.2">
      <c r="A110" s="411"/>
      <c r="B110" s="411"/>
      <c r="G110"/>
      <c r="K110" s="4"/>
      <c r="L110" s="4"/>
      <c r="S110" s="56"/>
      <c r="V110" s="56"/>
      <c r="AD110"/>
      <c r="AF110"/>
      <c r="AH110"/>
      <c r="AJ110" s="4"/>
      <c r="AL110" s="4"/>
      <c r="AN110" s="4"/>
      <c r="AP110"/>
      <c r="AR110"/>
      <c r="AV110" s="5"/>
      <c r="AX110" s="5"/>
      <c r="AZ110" s="5"/>
    </row>
    <row r="111" spans="1:52" x14ac:dyDescent="0.2">
      <c r="G111"/>
      <c r="K111" s="4"/>
      <c r="L111" s="4"/>
      <c r="S111" s="56"/>
      <c r="V111" s="56"/>
      <c r="AD111"/>
      <c r="AF111"/>
      <c r="AH111"/>
      <c r="AJ111" s="4"/>
      <c r="AL111" s="4"/>
      <c r="AN111" s="4"/>
      <c r="AP111"/>
      <c r="AR111"/>
      <c r="AV111" s="5"/>
      <c r="AX111" s="5"/>
      <c r="AZ111" s="5"/>
    </row>
    <row r="112" spans="1:52" x14ac:dyDescent="0.2">
      <c r="G112"/>
      <c r="K112" s="4"/>
      <c r="L112" s="4"/>
      <c r="S112" s="56"/>
      <c r="V112" s="56"/>
      <c r="AD112"/>
      <c r="AF112"/>
      <c r="AH112"/>
      <c r="AJ112" s="4"/>
      <c r="AL112" s="4"/>
      <c r="AN112" s="4"/>
      <c r="AP112"/>
      <c r="AR112"/>
      <c r="AV112" s="5"/>
      <c r="AX112" s="5"/>
      <c r="AZ112" s="5"/>
    </row>
    <row r="113" spans="7:52" x14ac:dyDescent="0.2">
      <c r="G113"/>
      <c r="K113" s="4"/>
      <c r="L113" s="4"/>
      <c r="S113" s="56"/>
      <c r="V113" s="56"/>
      <c r="AD113"/>
      <c r="AF113"/>
      <c r="AH113"/>
      <c r="AJ113" s="4"/>
      <c r="AL113" s="4"/>
      <c r="AN113" s="4"/>
      <c r="AP113"/>
      <c r="AR113"/>
      <c r="AV113" s="5"/>
      <c r="AX113" s="5"/>
      <c r="AZ113" s="5"/>
    </row>
    <row r="114" spans="7:52" x14ac:dyDescent="0.2">
      <c r="G114"/>
      <c r="K114" s="4"/>
      <c r="L114" s="4"/>
      <c r="S114" s="56"/>
      <c r="V114" s="56"/>
      <c r="AD114"/>
      <c r="AF114"/>
      <c r="AH114"/>
      <c r="AJ114" s="4"/>
      <c r="AL114" s="4"/>
      <c r="AN114" s="4"/>
      <c r="AP114"/>
      <c r="AR114"/>
      <c r="AV114" s="5"/>
      <c r="AX114" s="5"/>
      <c r="AZ114" s="5"/>
    </row>
    <row r="115" spans="7:52" x14ac:dyDescent="0.2">
      <c r="G115"/>
      <c r="K115" s="4"/>
      <c r="L115" s="4"/>
      <c r="S115" s="56"/>
      <c r="V115" s="56"/>
      <c r="AD115"/>
      <c r="AF115"/>
      <c r="AH115"/>
      <c r="AJ115" s="4"/>
      <c r="AL115" s="4"/>
      <c r="AN115" s="4"/>
      <c r="AP115"/>
      <c r="AR115"/>
      <c r="AV115" s="5"/>
      <c r="AX115" s="5"/>
      <c r="AZ115" s="5"/>
    </row>
  </sheetData>
  <mergeCells count="3">
    <mergeCell ref="A1:B110"/>
    <mergeCell ref="AE1:AN1"/>
    <mergeCell ref="G1:G26"/>
  </mergeCells>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0E916-C61C-402B-B96A-C5B9668249E1}">
  <sheetPr codeName="Sheet3">
    <tabColor theme="9" tint="0.59999389629810485"/>
  </sheetPr>
  <dimension ref="A1:BM86"/>
  <sheetViews>
    <sheetView showGridLines="0" zoomScale="50" workbookViewId="0">
      <selection activeCell="AZ57" sqref="AZ57"/>
    </sheetView>
  </sheetViews>
  <sheetFormatPr baseColWidth="10" defaultColWidth="8.83203125" defaultRowHeight="15" x14ac:dyDescent="0.2"/>
  <cols>
    <col min="1" max="1" width="30.1640625" style="290" customWidth="1"/>
    <col min="2" max="2" width="43.83203125" style="290" customWidth="1"/>
    <col min="3" max="4" width="13.5" customWidth="1"/>
    <col min="5" max="5" width="13.83203125" customWidth="1"/>
    <col min="6" max="6" width="14.5" customWidth="1"/>
    <col min="7" max="7" width="12.1640625" customWidth="1"/>
    <col min="8" max="8" width="12.6640625" customWidth="1"/>
    <col min="9" max="9" width="10.6640625" bestFit="1" customWidth="1"/>
    <col min="10" max="10" width="10.6640625" customWidth="1"/>
    <col min="11" max="11" width="10.6640625" bestFit="1" customWidth="1"/>
    <col min="12" max="12" width="10.6640625" customWidth="1"/>
    <col min="13" max="13" width="10.6640625" bestFit="1" customWidth="1"/>
    <col min="14" max="14" width="8.83203125" style="78"/>
    <col min="16" max="16" width="66.5" bestFit="1" customWidth="1"/>
    <col min="17" max="17" width="11.6640625" hidden="1" customWidth="1"/>
    <col min="18" max="18" width="7.33203125" hidden="1" customWidth="1"/>
    <col min="19" max="19" width="12.1640625" bestFit="1" customWidth="1"/>
    <col min="20" max="20" width="9.6640625" bestFit="1" customWidth="1"/>
    <col min="21" max="21" width="12.1640625" bestFit="1" customWidth="1"/>
    <col min="22" max="22" width="9.6640625" bestFit="1" customWidth="1"/>
    <col min="23" max="23" width="12.1640625" bestFit="1" customWidth="1"/>
    <col min="24" max="24" width="9.6640625" style="78" bestFit="1" customWidth="1"/>
    <col min="25" max="25" width="12.1640625" style="78" bestFit="1" customWidth="1"/>
    <col min="26" max="26" width="9.5" bestFit="1" customWidth="1"/>
    <col min="27" max="27" width="12.1640625" bestFit="1" customWidth="1"/>
  </cols>
  <sheetData>
    <row r="1" spans="16:39" ht="19" x14ac:dyDescent="0.2">
      <c r="P1" s="206" t="s">
        <v>112</v>
      </c>
      <c r="Q1" s="207" t="s">
        <v>113</v>
      </c>
      <c r="R1" s="207" t="s">
        <v>114</v>
      </c>
      <c r="S1" s="149" t="s">
        <v>6</v>
      </c>
      <c r="T1" s="208" t="s">
        <v>4</v>
      </c>
      <c r="U1" s="149" t="s">
        <v>9</v>
      </c>
      <c r="V1" s="149" t="s">
        <v>4</v>
      </c>
      <c r="W1" s="149" t="s">
        <v>10</v>
      </c>
      <c r="X1" s="149" t="s">
        <v>4</v>
      </c>
      <c r="Y1" s="149" t="s">
        <v>11</v>
      </c>
      <c r="Z1" s="149" t="s">
        <v>4</v>
      </c>
      <c r="AA1" s="149" t="s">
        <v>12</v>
      </c>
      <c r="AB1" s="78"/>
      <c r="AC1" s="414" t="s">
        <v>49</v>
      </c>
      <c r="AD1" s="414"/>
      <c r="AE1" s="414"/>
      <c r="AF1" s="414"/>
      <c r="AG1" s="414"/>
      <c r="AH1" s="414"/>
      <c r="AI1" s="414"/>
      <c r="AJ1" s="414"/>
      <c r="AK1" s="414"/>
      <c r="AL1" s="414"/>
      <c r="AM1" s="78"/>
    </row>
    <row r="2" spans="16:39" ht="15" customHeight="1" x14ac:dyDescent="0.2">
      <c r="P2" s="44" t="s">
        <v>44</v>
      </c>
      <c r="Q2" s="210"/>
      <c r="R2" s="211"/>
      <c r="S2" s="210">
        <v>4351</v>
      </c>
      <c r="T2" s="211">
        <f>S2/AA2-1</f>
        <v>0.32936144210204699</v>
      </c>
      <c r="U2" s="212">
        <v>4439</v>
      </c>
      <c r="V2" s="213">
        <f>U2/AA2-1</f>
        <v>0.35624809043690808</v>
      </c>
      <c r="W2" s="214">
        <v>4169</v>
      </c>
      <c r="X2" s="213">
        <f>W2/AA2-1</f>
        <v>0.27375496486403916</v>
      </c>
      <c r="Y2" s="214">
        <v>3536</v>
      </c>
      <c r="Z2" s="213">
        <f>Y2/AA2-1</f>
        <v>8.0354414909868721E-2</v>
      </c>
      <c r="AA2" s="215">
        <v>3273</v>
      </c>
      <c r="AB2" s="78"/>
      <c r="AL2" s="78"/>
      <c r="AM2" s="78"/>
    </row>
    <row r="3" spans="16:39" ht="15" customHeight="1" x14ac:dyDescent="0.2">
      <c r="P3" s="44" t="s">
        <v>41</v>
      </c>
      <c r="Q3" s="216"/>
      <c r="R3" s="217"/>
      <c r="S3" s="216">
        <v>-14</v>
      </c>
      <c r="T3" s="217">
        <f t="shared" ref="T3:T45" si="0">S3/AA3-1</f>
        <v>-0.83333333333333337</v>
      </c>
      <c r="U3" s="218">
        <v>-17</v>
      </c>
      <c r="V3" s="219">
        <f t="shared" ref="V3:V45" si="1">U3/AA3-1</f>
        <v>-0.79761904761904767</v>
      </c>
      <c r="W3" s="220">
        <v>-51</v>
      </c>
      <c r="X3" s="219">
        <f t="shared" ref="X3:X45" si="2">W3/AA3-1</f>
        <v>-0.3928571428571429</v>
      </c>
      <c r="Y3" s="220">
        <v>-29</v>
      </c>
      <c r="Z3" s="219">
        <f t="shared" ref="Z3:Z45" si="3">Y3/AA3-1</f>
        <v>-0.65476190476190477</v>
      </c>
      <c r="AA3" s="221">
        <v>-84</v>
      </c>
      <c r="AB3" s="78"/>
      <c r="AL3" s="78"/>
      <c r="AM3" s="78"/>
    </row>
    <row r="4" spans="16:39" ht="15" customHeight="1" x14ac:dyDescent="0.2">
      <c r="P4" s="44" t="s">
        <v>42</v>
      </c>
      <c r="Q4" s="216"/>
      <c r="R4" s="217"/>
      <c r="S4" s="216">
        <v>388</v>
      </c>
      <c r="T4" s="217">
        <f>S4/U4-1</f>
        <v>0.76363636363636367</v>
      </c>
      <c r="U4" s="218">
        <v>220</v>
      </c>
      <c r="V4" s="219"/>
      <c r="W4" s="220"/>
      <c r="X4" s="219"/>
      <c r="Y4" s="220"/>
      <c r="Z4" s="219"/>
      <c r="AA4" s="221"/>
      <c r="AB4" s="78"/>
      <c r="AC4" s="24"/>
      <c r="AL4" s="78"/>
      <c r="AM4" s="78"/>
    </row>
    <row r="5" spans="16:39" ht="15" customHeight="1" x14ac:dyDescent="0.2">
      <c r="P5" s="44" t="s">
        <v>115</v>
      </c>
      <c r="Q5" s="220"/>
      <c r="R5" s="217"/>
      <c r="S5" s="220"/>
      <c r="T5" s="217"/>
      <c r="U5" s="218" t="s">
        <v>43</v>
      </c>
      <c r="V5" s="219"/>
      <c r="W5" s="220">
        <v>743</v>
      </c>
      <c r="X5" s="219">
        <f t="shared" si="2"/>
        <v>2.3415977961432466E-2</v>
      </c>
      <c r="Y5" s="220">
        <v>750</v>
      </c>
      <c r="Z5" s="219">
        <f t="shared" si="3"/>
        <v>3.3057851239669311E-2</v>
      </c>
      <c r="AA5" s="221">
        <v>726</v>
      </c>
      <c r="AB5" s="78"/>
      <c r="AL5" s="78"/>
      <c r="AM5" s="78"/>
    </row>
    <row r="6" spans="16:39" ht="15" customHeight="1" x14ac:dyDescent="0.2">
      <c r="P6" s="44" t="s">
        <v>116</v>
      </c>
      <c r="Q6" s="216"/>
      <c r="R6" s="217"/>
      <c r="S6" s="216">
        <v>871</v>
      </c>
      <c r="T6" s="217">
        <f t="shared" si="0"/>
        <v>0.26598837209302317</v>
      </c>
      <c r="U6" s="218">
        <v>822</v>
      </c>
      <c r="V6" s="219">
        <f t="shared" si="1"/>
        <v>0.19476744186046502</v>
      </c>
      <c r="W6" s="220">
        <v>717</v>
      </c>
      <c r="X6" s="219">
        <f t="shared" si="2"/>
        <v>4.2151162790697638E-2</v>
      </c>
      <c r="Y6" s="220">
        <v>732</v>
      </c>
      <c r="Z6" s="219">
        <f t="shared" si="3"/>
        <v>6.3953488372092915E-2</v>
      </c>
      <c r="AA6" s="221">
        <v>688</v>
      </c>
      <c r="AB6" s="78"/>
      <c r="AL6" s="78"/>
      <c r="AM6" s="78"/>
    </row>
    <row r="7" spans="16:39" ht="15" customHeight="1" x14ac:dyDescent="0.2">
      <c r="P7" s="44" t="s">
        <v>117</v>
      </c>
      <c r="Q7" s="216"/>
      <c r="R7" s="217"/>
      <c r="S7" s="216">
        <v>781</v>
      </c>
      <c r="T7" s="217">
        <f t="shared" si="0"/>
        <v>21.970588235294116</v>
      </c>
      <c r="U7" s="218">
        <v>716</v>
      </c>
      <c r="V7" s="219">
        <f t="shared" si="1"/>
        <v>20.058823529411764</v>
      </c>
      <c r="W7" s="220">
        <v>60</v>
      </c>
      <c r="X7" s="219">
        <f t="shared" si="2"/>
        <v>0.76470588235294112</v>
      </c>
      <c r="Y7" s="220">
        <v>61</v>
      </c>
      <c r="Z7" s="219">
        <f t="shared" si="3"/>
        <v>0.79411764705882359</v>
      </c>
      <c r="AA7" s="221">
        <v>34</v>
      </c>
      <c r="AB7" s="78"/>
      <c r="AL7" s="78"/>
      <c r="AM7" s="78"/>
    </row>
    <row r="8" spans="16:39" ht="15" customHeight="1" x14ac:dyDescent="0.2">
      <c r="P8" s="44" t="s">
        <v>118</v>
      </c>
      <c r="Q8" s="216"/>
      <c r="R8" s="217"/>
      <c r="S8" s="216">
        <v>53</v>
      </c>
      <c r="T8" s="217">
        <f t="shared" si="0"/>
        <v>-1.9814814814814814</v>
      </c>
      <c r="U8" s="218">
        <v>31</v>
      </c>
      <c r="V8" s="219">
        <f t="shared" si="1"/>
        <v>-1.574074074074074</v>
      </c>
      <c r="W8" s="220">
        <v>87</v>
      </c>
      <c r="X8" s="219">
        <f t="shared" si="2"/>
        <v>-2.6111111111111112</v>
      </c>
      <c r="Y8" s="220">
        <v>32</v>
      </c>
      <c r="Z8" s="219">
        <f t="shared" si="3"/>
        <v>-1.5925925925925926</v>
      </c>
      <c r="AA8" s="221">
        <v>-54</v>
      </c>
      <c r="AB8" s="78"/>
      <c r="AL8" s="78"/>
      <c r="AM8" s="78"/>
    </row>
    <row r="9" spans="16:39" ht="15" customHeight="1" x14ac:dyDescent="0.2">
      <c r="P9" s="44" t="s">
        <v>119</v>
      </c>
      <c r="Q9" s="216"/>
      <c r="R9" s="217"/>
      <c r="S9" s="216">
        <v>106</v>
      </c>
      <c r="T9" s="217">
        <f t="shared" si="0"/>
        <v>-1.5760869565217392</v>
      </c>
      <c r="U9" s="218">
        <v>93</v>
      </c>
      <c r="V9" s="219">
        <f t="shared" si="1"/>
        <v>-1.5054347826086958</v>
      </c>
      <c r="W9" s="220">
        <v>-252</v>
      </c>
      <c r="X9" s="219">
        <f t="shared" si="2"/>
        <v>0.36956521739130443</v>
      </c>
      <c r="Y9" s="220">
        <v>70</v>
      </c>
      <c r="Z9" s="219">
        <f t="shared" si="3"/>
        <v>-1.3804347826086958</v>
      </c>
      <c r="AA9" s="221">
        <v>-184</v>
      </c>
      <c r="AB9" s="78"/>
      <c r="AL9" s="78"/>
      <c r="AM9" s="78"/>
    </row>
    <row r="10" spans="16:39" ht="15" customHeight="1" x14ac:dyDescent="0.2">
      <c r="P10" s="44" t="s">
        <v>120</v>
      </c>
      <c r="Q10" s="216"/>
      <c r="R10" s="217"/>
      <c r="S10" s="216">
        <v>-25</v>
      </c>
      <c r="T10" s="217">
        <f t="shared" si="0"/>
        <v>-0.34210526315789469</v>
      </c>
      <c r="U10" s="218">
        <v>-115</v>
      </c>
      <c r="V10" s="219">
        <f t="shared" si="1"/>
        <v>2.0263157894736841</v>
      </c>
      <c r="W10" s="220">
        <v>-164</v>
      </c>
      <c r="X10" s="219">
        <f t="shared" si="2"/>
        <v>3.3157894736842106</v>
      </c>
      <c r="Y10" s="220">
        <v>139</v>
      </c>
      <c r="Z10" s="219">
        <f t="shared" si="3"/>
        <v>-4.6578947368421053</v>
      </c>
      <c r="AA10" s="221">
        <v>-38</v>
      </c>
      <c r="AB10" s="78"/>
      <c r="AL10" s="78"/>
      <c r="AM10" s="78"/>
    </row>
    <row r="11" spans="16:39" ht="15" customHeight="1" x14ac:dyDescent="0.2">
      <c r="P11" s="44" t="s">
        <v>40</v>
      </c>
      <c r="Q11" s="216"/>
      <c r="R11" s="217"/>
      <c r="S11" s="216">
        <v>1455</v>
      </c>
      <c r="T11" s="217">
        <f>S11/U11-1</f>
        <v>4.0772532188841248E-2</v>
      </c>
      <c r="U11" s="218">
        <v>1398</v>
      </c>
      <c r="V11" s="219"/>
      <c r="W11" s="220"/>
      <c r="X11" s="219"/>
      <c r="Y11" s="220"/>
      <c r="Z11" s="219"/>
      <c r="AA11" s="221"/>
      <c r="AB11" s="78"/>
      <c r="AL11" s="78"/>
      <c r="AM11" s="78"/>
    </row>
    <row r="12" spans="16:39" ht="15" customHeight="1" x14ac:dyDescent="0.2">
      <c r="P12" s="44" t="s">
        <v>121</v>
      </c>
      <c r="Q12" s="216"/>
      <c r="R12" s="217"/>
      <c r="S12" s="216">
        <v>200</v>
      </c>
      <c r="T12" s="217">
        <f t="shared" si="0"/>
        <v>0.85185185185185186</v>
      </c>
      <c r="U12" s="218">
        <v>200</v>
      </c>
      <c r="V12" s="219">
        <f t="shared" si="1"/>
        <v>0.85185185185185186</v>
      </c>
      <c r="W12" s="220">
        <v>220</v>
      </c>
      <c r="X12" s="219">
        <f t="shared" si="2"/>
        <v>1.0370370370370372</v>
      </c>
      <c r="Y12" s="220">
        <v>102</v>
      </c>
      <c r="Z12" s="219">
        <f t="shared" si="3"/>
        <v>-5.555555555555558E-2</v>
      </c>
      <c r="AA12" s="221">
        <v>108</v>
      </c>
      <c r="AB12" s="78"/>
      <c r="AL12" s="78"/>
      <c r="AM12" s="78"/>
    </row>
    <row r="13" spans="16:39" ht="15" customHeight="1" x14ac:dyDescent="0.2">
      <c r="P13" s="44" t="s">
        <v>122</v>
      </c>
      <c r="Q13" s="216"/>
      <c r="R13" s="217"/>
      <c r="S13" s="216">
        <v>-1418</v>
      </c>
      <c r="T13" s="217">
        <f>S13/U13-1</f>
        <v>-4.1244083840432766E-2</v>
      </c>
      <c r="U13" s="218">
        <v>-1479</v>
      </c>
      <c r="V13" s="219"/>
      <c r="W13" s="220"/>
      <c r="X13" s="219"/>
      <c r="Y13" s="220"/>
      <c r="Z13" s="219"/>
      <c r="AA13" s="221"/>
      <c r="AB13" s="78"/>
      <c r="AL13" s="78"/>
      <c r="AM13" s="78"/>
    </row>
    <row r="14" spans="16:39" ht="15" customHeight="1" x14ac:dyDescent="0.2">
      <c r="P14" s="45" t="s">
        <v>123</v>
      </c>
      <c r="Q14" s="222"/>
      <c r="R14" s="223"/>
      <c r="S14" s="222">
        <v>6748</v>
      </c>
      <c r="T14" s="223">
        <f t="shared" si="0"/>
        <v>0.50995748489594983</v>
      </c>
      <c r="U14" s="224">
        <v>6308</v>
      </c>
      <c r="V14" s="225">
        <f t="shared" si="1"/>
        <v>0.41150145446408604</v>
      </c>
      <c r="W14" s="226">
        <v>5529</v>
      </c>
      <c r="X14" s="225">
        <f t="shared" si="2"/>
        <v>0.23718952785858138</v>
      </c>
      <c r="Y14" s="226">
        <v>5393</v>
      </c>
      <c r="Z14" s="225">
        <f t="shared" si="3"/>
        <v>0.20675766390691419</v>
      </c>
      <c r="AA14" s="227">
        <v>4469</v>
      </c>
      <c r="AB14" s="78"/>
      <c r="AL14" s="78"/>
      <c r="AM14" s="78"/>
    </row>
    <row r="15" spans="16:39" ht="15" customHeight="1" x14ac:dyDescent="0.2">
      <c r="P15" s="44" t="s">
        <v>124</v>
      </c>
      <c r="Q15" s="216"/>
      <c r="R15" s="217"/>
      <c r="S15" s="216">
        <v>-301</v>
      </c>
      <c r="T15" s="217">
        <f t="shared" si="0"/>
        <v>-0.47833622183708835</v>
      </c>
      <c r="U15" s="218">
        <v>-199</v>
      </c>
      <c r="V15" s="219">
        <f t="shared" si="1"/>
        <v>-0.65511265164644716</v>
      </c>
      <c r="W15" s="220">
        <v>62</v>
      </c>
      <c r="X15" s="219">
        <f t="shared" si="2"/>
        <v>-1.1074523396880416</v>
      </c>
      <c r="Y15" s="220">
        <v>-305</v>
      </c>
      <c r="Z15" s="219">
        <f t="shared" si="3"/>
        <v>-0.47140381282495669</v>
      </c>
      <c r="AA15" s="221">
        <v>-577</v>
      </c>
      <c r="AB15" s="78"/>
      <c r="AL15" s="78"/>
      <c r="AM15" s="78"/>
    </row>
    <row r="16" spans="16:39" ht="15" customHeight="1" x14ac:dyDescent="0.2">
      <c r="P16" s="44" t="s">
        <v>125</v>
      </c>
      <c r="Q16" s="216"/>
      <c r="R16" s="217"/>
      <c r="S16" s="216">
        <v>-366</v>
      </c>
      <c r="T16" s="217">
        <f t="shared" si="0"/>
        <v>-0.6167539267015707</v>
      </c>
      <c r="U16" s="218">
        <v>-834</v>
      </c>
      <c r="V16" s="219">
        <f t="shared" si="1"/>
        <v>-0.12670157068062826</v>
      </c>
      <c r="W16" s="220">
        <v>-382</v>
      </c>
      <c r="X16" s="219">
        <f t="shared" si="2"/>
        <v>-0.6</v>
      </c>
      <c r="Y16" s="220">
        <v>-553</v>
      </c>
      <c r="Z16" s="219">
        <f t="shared" si="3"/>
        <v>-0.4209424083769634</v>
      </c>
      <c r="AA16" s="221">
        <v>-955</v>
      </c>
      <c r="AB16" s="78"/>
      <c r="AL16" s="78"/>
      <c r="AM16" s="78"/>
    </row>
    <row r="17" spans="16:39" ht="15" customHeight="1" x14ac:dyDescent="0.2">
      <c r="P17" s="44" t="s">
        <v>126</v>
      </c>
      <c r="Q17" s="216"/>
      <c r="R17" s="217"/>
      <c r="S17" s="216">
        <v>307</v>
      </c>
      <c r="T17" s="217">
        <f t="shared" si="0"/>
        <v>-0.26555023923444976</v>
      </c>
      <c r="U17" s="218">
        <v>439</v>
      </c>
      <c r="V17" s="219">
        <f t="shared" si="1"/>
        <v>5.0239234449760861E-2</v>
      </c>
      <c r="W17" s="220">
        <v>493</v>
      </c>
      <c r="X17" s="219">
        <f t="shared" si="2"/>
        <v>0.17942583732057416</v>
      </c>
      <c r="Y17" s="220">
        <v>73</v>
      </c>
      <c r="Z17" s="219">
        <f t="shared" si="3"/>
        <v>-0.82535885167464118</v>
      </c>
      <c r="AA17" s="221">
        <v>418</v>
      </c>
      <c r="AB17" s="78"/>
      <c r="AL17" s="78"/>
      <c r="AM17" s="78"/>
    </row>
    <row r="18" spans="16:39" ht="15" customHeight="1" x14ac:dyDescent="0.2">
      <c r="P18" s="44" t="s">
        <v>127</v>
      </c>
      <c r="Q18" s="216"/>
      <c r="R18" s="217"/>
      <c r="S18" s="216">
        <v>-257</v>
      </c>
      <c r="T18" s="217">
        <f t="shared" si="0"/>
        <v>-1.9846743295019156</v>
      </c>
      <c r="U18" s="218">
        <v>-134</v>
      </c>
      <c r="V18" s="219">
        <f t="shared" si="1"/>
        <v>-1.5134099616858236</v>
      </c>
      <c r="W18" s="220">
        <v>205</v>
      </c>
      <c r="X18" s="219">
        <f t="shared" si="2"/>
        <v>-0.21455938697318011</v>
      </c>
      <c r="Y18" s="220">
        <v>-254</v>
      </c>
      <c r="Z18" s="219">
        <f t="shared" si="3"/>
        <v>-1.9731800766283525</v>
      </c>
      <c r="AA18" s="221">
        <v>261</v>
      </c>
      <c r="AB18" s="78"/>
      <c r="AL18" s="78"/>
      <c r="AM18" s="78"/>
    </row>
    <row r="19" spans="16:39" ht="15" customHeight="1" x14ac:dyDescent="0.2">
      <c r="P19" s="45" t="s">
        <v>128</v>
      </c>
      <c r="Q19" s="228"/>
      <c r="R19" s="229"/>
      <c r="S19" s="228">
        <v>-617</v>
      </c>
      <c r="T19" s="229">
        <f t="shared" si="0"/>
        <v>-0.2766705744431418</v>
      </c>
      <c r="U19" s="230">
        <v>-728</v>
      </c>
      <c r="V19" s="231">
        <f t="shared" si="1"/>
        <v>-0.14654161781946073</v>
      </c>
      <c r="W19" s="232">
        <v>378</v>
      </c>
      <c r="X19" s="231">
        <f t="shared" si="2"/>
        <v>-1.4431418522860493</v>
      </c>
      <c r="Y19" s="232">
        <v>-1039</v>
      </c>
      <c r="Z19" s="231">
        <f t="shared" si="3"/>
        <v>0.21805392731535767</v>
      </c>
      <c r="AA19" s="233">
        <v>-853</v>
      </c>
      <c r="AB19" s="78"/>
      <c r="AL19" s="78"/>
      <c r="AM19" s="78"/>
    </row>
    <row r="20" spans="16:39" ht="15" customHeight="1" x14ac:dyDescent="0.2">
      <c r="P20" s="45" t="s">
        <v>129</v>
      </c>
      <c r="Q20" s="234"/>
      <c r="R20" s="235"/>
      <c r="S20" s="234">
        <v>6131</v>
      </c>
      <c r="T20" s="235">
        <f t="shared" si="0"/>
        <v>0.69551991150442483</v>
      </c>
      <c r="U20" s="236">
        <v>5580</v>
      </c>
      <c r="V20" s="237">
        <f t="shared" si="1"/>
        <v>0.54314159292035402</v>
      </c>
      <c r="W20" s="238">
        <v>5907</v>
      </c>
      <c r="X20" s="237">
        <f t="shared" si="2"/>
        <v>0.63357300884955747</v>
      </c>
      <c r="Y20" s="238">
        <v>4354</v>
      </c>
      <c r="Z20" s="237">
        <f t="shared" si="3"/>
        <v>0.2040929203539823</v>
      </c>
      <c r="AA20" s="239">
        <v>3616</v>
      </c>
      <c r="AB20" s="78"/>
      <c r="AL20" s="78"/>
      <c r="AM20" s="78"/>
    </row>
    <row r="21" spans="16:39" ht="15" customHeight="1" x14ac:dyDescent="0.2">
      <c r="P21" s="44" t="s">
        <v>130</v>
      </c>
      <c r="Q21" s="240"/>
      <c r="R21" s="241"/>
      <c r="S21" s="240">
        <v>-1072</v>
      </c>
      <c r="T21" s="241">
        <f t="shared" si="0"/>
        <v>0.97421731123388589</v>
      </c>
      <c r="U21" s="242">
        <v>-950</v>
      </c>
      <c r="V21" s="243">
        <f t="shared" si="1"/>
        <v>0.74953959484346222</v>
      </c>
      <c r="W21" s="244">
        <v>-914</v>
      </c>
      <c r="X21" s="243">
        <f t="shared" si="2"/>
        <v>0.6832412523020257</v>
      </c>
      <c r="Y21" s="244">
        <v>-707</v>
      </c>
      <c r="Z21" s="243">
        <f t="shared" si="3"/>
        <v>0.30202578268876601</v>
      </c>
      <c r="AA21" s="245">
        <v>-543</v>
      </c>
      <c r="AB21" s="78"/>
      <c r="AL21" s="78"/>
      <c r="AM21" s="78"/>
    </row>
    <row r="22" spans="16:39" ht="15" customHeight="1" x14ac:dyDescent="0.2">
      <c r="P22" s="44" t="s">
        <v>131</v>
      </c>
      <c r="Q22" s="216"/>
      <c r="R22" s="217"/>
      <c r="S22" s="216">
        <v>-471</v>
      </c>
      <c r="T22" s="217">
        <f t="shared" si="0"/>
        <v>0.4144144144144144</v>
      </c>
      <c r="U22" s="218">
        <v>-469</v>
      </c>
      <c r="V22" s="219">
        <f t="shared" si="1"/>
        <v>0.40840840840840831</v>
      </c>
      <c r="W22" s="220">
        <v>-451</v>
      </c>
      <c r="X22" s="219">
        <f t="shared" si="2"/>
        <v>0.35435435435435436</v>
      </c>
      <c r="Y22" s="220">
        <v>-386</v>
      </c>
      <c r="Z22" s="219">
        <f t="shared" si="3"/>
        <v>0.15915915915915924</v>
      </c>
      <c r="AA22" s="221">
        <v>-333</v>
      </c>
      <c r="AB22" s="78"/>
      <c r="AL22" s="78"/>
      <c r="AM22" s="78"/>
    </row>
    <row r="23" spans="16:39" ht="15" customHeight="1" x14ac:dyDescent="0.2">
      <c r="P23" s="44" t="s">
        <v>132</v>
      </c>
      <c r="Q23" s="216"/>
      <c r="R23" s="217"/>
      <c r="S23" s="216">
        <v>47</v>
      </c>
      <c r="T23" s="217">
        <f t="shared" si="0"/>
        <v>-0.20338983050847459</v>
      </c>
      <c r="U23" s="218">
        <v>55</v>
      </c>
      <c r="V23" s="219">
        <f t="shared" si="1"/>
        <v>-6.7796610169491567E-2</v>
      </c>
      <c r="W23" s="220">
        <v>52</v>
      </c>
      <c r="X23" s="219">
        <f t="shared" si="2"/>
        <v>-0.11864406779661019</v>
      </c>
      <c r="Y23" s="220">
        <v>69</v>
      </c>
      <c r="Z23" s="219">
        <f t="shared" si="3"/>
        <v>0.16949152542372881</v>
      </c>
      <c r="AA23" s="221">
        <v>59</v>
      </c>
      <c r="AB23" s="78"/>
      <c r="AL23" s="78"/>
      <c r="AM23" s="78"/>
    </row>
    <row r="24" spans="16:39" ht="15" customHeight="1" x14ac:dyDescent="0.2">
      <c r="P24" s="45" t="s">
        <v>133</v>
      </c>
      <c r="Q24" s="222"/>
      <c r="R24" s="223"/>
      <c r="S24" s="222">
        <v>-1496</v>
      </c>
      <c r="T24" s="223">
        <f t="shared" si="0"/>
        <v>0.83108935128518979</v>
      </c>
      <c r="U24" s="224">
        <v>-1364</v>
      </c>
      <c r="V24" s="225">
        <f t="shared" si="1"/>
        <v>0.66952264381884952</v>
      </c>
      <c r="W24" s="226">
        <v>-1313</v>
      </c>
      <c r="X24" s="225">
        <f t="shared" si="2"/>
        <v>0.60709914320685443</v>
      </c>
      <c r="Y24" s="226">
        <v>-1024</v>
      </c>
      <c r="Z24" s="225">
        <f t="shared" si="3"/>
        <v>0.25336597307221531</v>
      </c>
      <c r="AA24" s="227">
        <v>-817</v>
      </c>
      <c r="AB24" s="78"/>
      <c r="AL24" s="78"/>
      <c r="AM24" s="78"/>
    </row>
    <row r="25" spans="16:39" ht="15" customHeight="1" x14ac:dyDescent="0.2">
      <c r="P25" s="44" t="s">
        <v>134</v>
      </c>
      <c r="Q25" s="216"/>
      <c r="R25" s="217"/>
      <c r="S25" s="216">
        <v>-1158</v>
      </c>
      <c r="T25" s="217">
        <f t="shared" si="0"/>
        <v>-0.72630583786338931</v>
      </c>
      <c r="U25" s="218">
        <v>-452</v>
      </c>
      <c r="V25" s="219">
        <f t="shared" si="1"/>
        <v>-0.89316946348380999</v>
      </c>
      <c r="W25" s="220">
        <v>611</v>
      </c>
      <c r="X25" s="219">
        <f t="shared" si="2"/>
        <v>-1.1444103048924603</v>
      </c>
      <c r="Y25" s="220">
        <v>-297</v>
      </c>
      <c r="Z25" s="219">
        <f t="shared" si="3"/>
        <v>-0.92980382888206092</v>
      </c>
      <c r="AA25" s="221">
        <v>-4231</v>
      </c>
      <c r="AB25" s="78"/>
      <c r="AL25" s="78"/>
      <c r="AM25" s="78"/>
    </row>
    <row r="26" spans="16:39" ht="15" customHeight="1" x14ac:dyDescent="0.2">
      <c r="P26" s="44" t="s">
        <v>135</v>
      </c>
      <c r="Q26" s="216"/>
      <c r="R26" s="217"/>
      <c r="S26" s="216">
        <v>-9</v>
      </c>
      <c r="T26" s="217">
        <f t="shared" si="0"/>
        <v>-1.5625</v>
      </c>
      <c r="U26" s="218">
        <v>-91</v>
      </c>
      <c r="V26" s="219">
        <f t="shared" si="1"/>
        <v>-6.6875</v>
      </c>
      <c r="W26" s="220">
        <v>-89</v>
      </c>
      <c r="X26" s="219">
        <f t="shared" si="2"/>
        <v>-6.5625</v>
      </c>
      <c r="Y26" s="220">
        <v>40</v>
      </c>
      <c r="Z26" s="219">
        <f t="shared" si="3"/>
        <v>1.5</v>
      </c>
      <c r="AA26" s="221">
        <v>16</v>
      </c>
      <c r="AB26" s="78"/>
      <c r="AL26" s="78"/>
      <c r="AM26" s="78"/>
    </row>
    <row r="27" spans="16:39" ht="15" customHeight="1" x14ac:dyDescent="0.2">
      <c r="P27" s="44" t="s">
        <v>136</v>
      </c>
      <c r="Q27" s="216"/>
      <c r="R27" s="217"/>
      <c r="S27" s="216">
        <v>-54</v>
      </c>
      <c r="T27" s="217">
        <f t="shared" si="0"/>
        <v>-0.60294117647058831</v>
      </c>
      <c r="U27" s="218">
        <v>-80</v>
      </c>
      <c r="V27" s="219">
        <f t="shared" si="1"/>
        <v>-0.41176470588235292</v>
      </c>
      <c r="W27" s="220">
        <v>-257</v>
      </c>
      <c r="X27" s="219">
        <f t="shared" si="2"/>
        <v>0.88970588235294112</v>
      </c>
      <c r="Y27" s="220">
        <v>-130</v>
      </c>
      <c r="Z27" s="219">
        <f t="shared" si="3"/>
        <v>-4.4117647058823484E-2</v>
      </c>
      <c r="AA27" s="221">
        <v>-136</v>
      </c>
      <c r="AB27" s="78"/>
      <c r="AL27" s="78"/>
      <c r="AM27" s="78"/>
    </row>
    <row r="28" spans="16:39" ht="15" customHeight="1" x14ac:dyDescent="0.2">
      <c r="P28" s="45" t="s">
        <v>137</v>
      </c>
      <c r="Q28" s="228"/>
      <c r="R28" s="229"/>
      <c r="S28" s="228">
        <v>-1221</v>
      </c>
      <c r="T28" s="229">
        <f t="shared" si="0"/>
        <v>-0.71937485635486098</v>
      </c>
      <c r="U28" s="230">
        <v>-623</v>
      </c>
      <c r="V28" s="231">
        <f t="shared" si="1"/>
        <v>-0.85681452539646052</v>
      </c>
      <c r="W28" s="232">
        <v>265</v>
      </c>
      <c r="X28" s="231">
        <f t="shared" si="2"/>
        <v>-1.0609055389565618</v>
      </c>
      <c r="Y28" s="232">
        <v>-387</v>
      </c>
      <c r="Z28" s="231">
        <f t="shared" si="3"/>
        <v>-0.91105492990117209</v>
      </c>
      <c r="AA28" s="233">
        <v>-4351</v>
      </c>
      <c r="AB28" s="78"/>
      <c r="AL28" s="78"/>
      <c r="AM28" s="78"/>
    </row>
    <row r="29" spans="16:39" ht="15" customHeight="1" x14ac:dyDescent="0.2">
      <c r="P29" s="45" t="s">
        <v>138</v>
      </c>
      <c r="Q29" s="234"/>
      <c r="R29" s="235"/>
      <c r="S29" s="234">
        <v>-2717</v>
      </c>
      <c r="T29" s="235">
        <f t="shared" si="0"/>
        <v>-0.47426470588235292</v>
      </c>
      <c r="U29" s="236">
        <v>-1987</v>
      </c>
      <c r="V29" s="237">
        <f t="shared" si="1"/>
        <v>-0.61551857585139325</v>
      </c>
      <c r="W29" s="238">
        <v>-1048</v>
      </c>
      <c r="X29" s="237">
        <f t="shared" si="2"/>
        <v>-0.79721362229102166</v>
      </c>
      <c r="Y29" s="238">
        <v>-1411</v>
      </c>
      <c r="Z29" s="237">
        <f t="shared" si="3"/>
        <v>-0.72697368421052633</v>
      </c>
      <c r="AA29" s="239">
        <v>-5168</v>
      </c>
      <c r="AB29" s="78"/>
      <c r="AL29" s="78"/>
      <c r="AM29" s="78"/>
    </row>
    <row r="30" spans="16:39" ht="15" customHeight="1" x14ac:dyDescent="0.2">
      <c r="P30" s="44" t="s">
        <v>139</v>
      </c>
      <c r="Q30" s="240"/>
      <c r="R30" s="241"/>
      <c r="S30" s="240">
        <v>4864</v>
      </c>
      <c r="T30" s="241">
        <f>S30/U30-1</f>
        <v>0.40334679746105029</v>
      </c>
      <c r="U30" s="242">
        <v>3466</v>
      </c>
      <c r="V30" s="243">
        <f>U30/W30-1</f>
        <v>-1.2254203476773973E-2</v>
      </c>
      <c r="W30" s="244">
        <v>3509</v>
      </c>
      <c r="X30" s="243">
        <f>W30/Y30-1</f>
        <v>2.2133699633699635</v>
      </c>
      <c r="Y30" s="244">
        <v>1092</v>
      </c>
      <c r="Z30" s="243"/>
      <c r="AA30" s="245" t="s">
        <v>43</v>
      </c>
      <c r="AB30" s="78"/>
      <c r="AL30" s="78"/>
      <c r="AM30" s="78"/>
    </row>
    <row r="31" spans="16:39" ht="15" customHeight="1" x14ac:dyDescent="0.2">
      <c r="P31" s="44" t="s">
        <v>140</v>
      </c>
      <c r="Q31" s="216"/>
      <c r="R31" s="217"/>
      <c r="S31" s="216">
        <v>-1800</v>
      </c>
      <c r="T31" s="217">
        <f t="shared" si="0"/>
        <v>2</v>
      </c>
      <c r="U31" s="218">
        <v>-1384</v>
      </c>
      <c r="V31" s="219">
        <f t="shared" si="1"/>
        <v>1.3066666666666666</v>
      </c>
      <c r="W31" s="220">
        <v>-1299</v>
      </c>
      <c r="X31" s="219">
        <f t="shared" si="2"/>
        <v>1.165</v>
      </c>
      <c r="Y31" s="220">
        <v>-829</v>
      </c>
      <c r="Z31" s="219">
        <f t="shared" si="3"/>
        <v>0.3816666666666666</v>
      </c>
      <c r="AA31" s="221">
        <v>-600</v>
      </c>
      <c r="AB31" s="78"/>
      <c r="AL31" s="78"/>
      <c r="AM31" s="78"/>
    </row>
    <row r="32" spans="16:39" ht="15" customHeight="1" x14ac:dyDescent="0.2">
      <c r="P32" s="44" t="s">
        <v>141</v>
      </c>
      <c r="Q32" s="216"/>
      <c r="R32" s="217"/>
      <c r="S32" s="216">
        <v>-341</v>
      </c>
      <c r="T32" s="217">
        <f t="shared" si="0"/>
        <v>0.3015267175572518</v>
      </c>
      <c r="U32" s="218">
        <v>-322</v>
      </c>
      <c r="V32" s="219">
        <f t="shared" si="1"/>
        <v>0.2290076335877862</v>
      </c>
      <c r="W32" s="220">
        <v>-703</v>
      </c>
      <c r="X32" s="219">
        <f t="shared" si="2"/>
        <v>1.6832061068702289</v>
      </c>
      <c r="Y32" s="220">
        <v>-219</v>
      </c>
      <c r="Z32" s="219">
        <f t="shared" si="3"/>
        <v>-0.16412213740458015</v>
      </c>
      <c r="AA32" s="221">
        <v>-262</v>
      </c>
      <c r="AB32" s="78"/>
      <c r="AL32" s="78"/>
      <c r="AM32" s="78"/>
    </row>
    <row r="33" spans="16:39" ht="15" customHeight="1" x14ac:dyDescent="0.2">
      <c r="P33" s="44" t="s">
        <v>142</v>
      </c>
      <c r="Q33" s="216"/>
      <c r="R33" s="217"/>
      <c r="S33" s="216">
        <v>-510</v>
      </c>
      <c r="T33" s="217">
        <f t="shared" si="0"/>
        <v>0.14864864864864868</v>
      </c>
      <c r="U33" s="218">
        <v>-1338</v>
      </c>
      <c r="V33" s="219">
        <f t="shared" si="1"/>
        <v>2.0135135135135136</v>
      </c>
      <c r="W33" s="220">
        <v>939</v>
      </c>
      <c r="X33" s="219">
        <f t="shared" si="2"/>
        <v>-3.1148648648648649</v>
      </c>
      <c r="Y33" s="220">
        <v>143</v>
      </c>
      <c r="Z33" s="219">
        <f t="shared" si="3"/>
        <v>-1.322072072072072</v>
      </c>
      <c r="AA33" s="221">
        <v>-444</v>
      </c>
      <c r="AB33" s="78"/>
      <c r="AL33" s="78"/>
      <c r="AM33" s="78"/>
    </row>
    <row r="34" spans="16:39" ht="15" customHeight="1" x14ac:dyDescent="0.2">
      <c r="P34" s="44" t="s">
        <v>143</v>
      </c>
      <c r="Q34" s="216"/>
      <c r="R34" s="217"/>
      <c r="S34" s="216">
        <v>109</v>
      </c>
      <c r="T34" s="217">
        <f>S34/U34-1</f>
        <v>-2.6515151515151514</v>
      </c>
      <c r="U34" s="218">
        <v>-66</v>
      </c>
      <c r="V34" s="219"/>
      <c r="W34" s="220" t="s">
        <v>43</v>
      </c>
      <c r="X34" s="219"/>
      <c r="Y34" s="220" t="s">
        <v>43</v>
      </c>
      <c r="Z34" s="219"/>
      <c r="AA34" s="221" t="s">
        <v>43</v>
      </c>
      <c r="AB34" s="78"/>
      <c r="AL34" s="78"/>
      <c r="AM34" s="78"/>
    </row>
    <row r="35" spans="16:39" ht="15" customHeight="1" x14ac:dyDescent="0.2">
      <c r="P35" s="44" t="s">
        <v>144</v>
      </c>
      <c r="Q35" s="216"/>
      <c r="R35" s="217"/>
      <c r="S35" s="216">
        <v>271</v>
      </c>
      <c r="T35" s="217">
        <f t="shared" si="0"/>
        <v>0.25462962962962954</v>
      </c>
      <c r="U35" s="218">
        <v>252</v>
      </c>
      <c r="V35" s="219">
        <f t="shared" si="1"/>
        <v>0.16666666666666674</v>
      </c>
      <c r="W35" s="220">
        <v>284</v>
      </c>
      <c r="X35" s="219">
        <f t="shared" si="2"/>
        <v>0.31481481481481488</v>
      </c>
      <c r="Y35" s="220">
        <v>208</v>
      </c>
      <c r="Z35" s="219">
        <f t="shared" si="3"/>
        <v>-3.703703703703709E-2</v>
      </c>
      <c r="AA35" s="221">
        <v>216</v>
      </c>
      <c r="AB35" s="78"/>
      <c r="AL35" s="78"/>
      <c r="AM35" s="78"/>
    </row>
    <row r="36" spans="16:39" ht="15" customHeight="1" x14ac:dyDescent="0.2">
      <c r="P36" s="44" t="s">
        <v>145</v>
      </c>
      <c r="Q36" s="216"/>
      <c r="R36" s="217"/>
      <c r="S36" s="216">
        <v>-5535</v>
      </c>
      <c r="T36" s="217">
        <f t="shared" si="0"/>
        <v>12.241626794258373</v>
      </c>
      <c r="U36" s="218">
        <v>-183</v>
      </c>
      <c r="V36" s="219">
        <f t="shared" si="1"/>
        <v>-0.56220095693779903</v>
      </c>
      <c r="W36" s="220">
        <v>-4702</v>
      </c>
      <c r="X36" s="219">
        <f t="shared" si="2"/>
        <v>10.248803827751196</v>
      </c>
      <c r="Y36" s="220">
        <v>-73</v>
      </c>
      <c r="Z36" s="219">
        <f t="shared" si="3"/>
        <v>-0.82535885167464118</v>
      </c>
      <c r="AA36" s="221">
        <v>-418</v>
      </c>
      <c r="AB36" s="78"/>
      <c r="AL36" s="78"/>
      <c r="AM36" s="78"/>
    </row>
    <row r="37" spans="16:39" ht="15" customHeight="1" x14ac:dyDescent="0.2">
      <c r="P37" s="44" t="s">
        <v>146</v>
      </c>
      <c r="Q37" s="216"/>
      <c r="R37" s="217"/>
      <c r="S37" s="216">
        <v>-2191</v>
      </c>
      <c r="T37" s="217">
        <f t="shared" si="0"/>
        <v>0.51416724257083612</v>
      </c>
      <c r="U37" s="218">
        <v>-1963</v>
      </c>
      <c r="V37" s="219">
        <f t="shared" si="1"/>
        <v>0.35659986178299929</v>
      </c>
      <c r="W37" s="220">
        <v>-1767</v>
      </c>
      <c r="X37" s="219">
        <f t="shared" si="2"/>
        <v>0.22114720110573605</v>
      </c>
      <c r="Y37" s="220">
        <v>-1618</v>
      </c>
      <c r="Z37" s="219">
        <f t="shared" si="3"/>
        <v>0.11817553559087757</v>
      </c>
      <c r="AA37" s="221">
        <v>-1447</v>
      </c>
      <c r="AB37" s="78"/>
      <c r="AL37" s="78"/>
      <c r="AM37" s="78"/>
    </row>
    <row r="38" spans="16:39" ht="15" customHeight="1" x14ac:dyDescent="0.2">
      <c r="P38" s="44" t="s">
        <v>147</v>
      </c>
      <c r="Q38" s="216"/>
      <c r="R38" s="217"/>
      <c r="S38" s="216">
        <v>-96</v>
      </c>
      <c r="T38" s="217">
        <f t="shared" si="0"/>
        <v>-0.30434782608695654</v>
      </c>
      <c r="U38" s="218">
        <v>-86</v>
      </c>
      <c r="V38" s="219">
        <f t="shared" si="1"/>
        <v>-0.37681159420289856</v>
      </c>
      <c r="W38" s="220">
        <v>-84</v>
      </c>
      <c r="X38" s="219">
        <f t="shared" si="2"/>
        <v>-0.39130434782608692</v>
      </c>
      <c r="Y38" s="220">
        <v>-157</v>
      </c>
      <c r="Z38" s="219">
        <f t="shared" si="3"/>
        <v>0.1376811594202898</v>
      </c>
      <c r="AA38" s="221">
        <v>-138</v>
      </c>
      <c r="AB38" s="78"/>
      <c r="AL38" s="78"/>
      <c r="AM38" s="78"/>
    </row>
    <row r="39" spans="16:39" ht="15" customHeight="1" x14ac:dyDescent="0.2">
      <c r="P39" s="45" t="s">
        <v>148</v>
      </c>
      <c r="Q39" s="234"/>
      <c r="R39" s="235"/>
      <c r="S39" s="234">
        <v>-5229</v>
      </c>
      <c r="T39" s="235">
        <f t="shared" si="0"/>
        <v>0.69059165858389915</v>
      </c>
      <c r="U39" s="236">
        <v>-1624</v>
      </c>
      <c r="V39" s="237">
        <f t="shared" si="1"/>
        <v>-0.47494342062722272</v>
      </c>
      <c r="W39" s="238">
        <v>-3823</v>
      </c>
      <c r="X39" s="237">
        <f t="shared" si="2"/>
        <v>0.23601681215648229</v>
      </c>
      <c r="Y39" s="238">
        <v>-1453</v>
      </c>
      <c r="Z39" s="237">
        <f t="shared" si="3"/>
        <v>-0.53022955059812482</v>
      </c>
      <c r="AA39" s="239">
        <v>-3093</v>
      </c>
      <c r="AB39" s="78"/>
      <c r="AL39" s="78"/>
      <c r="AM39" s="78"/>
    </row>
    <row r="40" spans="16:39" ht="15" customHeight="1" x14ac:dyDescent="0.2">
      <c r="P40" s="45" t="s">
        <v>149</v>
      </c>
      <c r="Q40" s="246"/>
      <c r="R40" s="247"/>
      <c r="S40" s="246">
        <v>-410</v>
      </c>
      <c r="T40" s="247">
        <f t="shared" si="0"/>
        <v>-2.1849710982658959</v>
      </c>
      <c r="U40" s="248">
        <v>189</v>
      </c>
      <c r="V40" s="249">
        <f t="shared" si="1"/>
        <v>-0.45375722543352603</v>
      </c>
      <c r="W40" s="250">
        <v>-240</v>
      </c>
      <c r="X40" s="249">
        <f t="shared" si="2"/>
        <v>-1.6936416184971099</v>
      </c>
      <c r="Y40" s="250">
        <v>-70</v>
      </c>
      <c r="Z40" s="249">
        <f t="shared" si="3"/>
        <v>-1.2023121387283238</v>
      </c>
      <c r="AA40" s="251">
        <v>346</v>
      </c>
      <c r="AB40" s="78"/>
      <c r="AL40" s="78"/>
      <c r="AM40" s="78"/>
    </row>
    <row r="41" spans="16:39" ht="15" customHeight="1" x14ac:dyDescent="0.2">
      <c r="P41" s="45" t="s">
        <v>150</v>
      </c>
      <c r="Q41" s="228"/>
      <c r="R41" s="229"/>
      <c r="S41" s="228" t="s">
        <v>43</v>
      </c>
      <c r="T41" s="229"/>
      <c r="U41" s="230" t="s">
        <v>43</v>
      </c>
      <c r="V41" s="231"/>
      <c r="W41" s="232">
        <v>-4</v>
      </c>
      <c r="X41" s="231">
        <f>W41/Y41-1</f>
        <v>-0.8</v>
      </c>
      <c r="Y41" s="232">
        <v>-20</v>
      </c>
      <c r="Z41" s="231"/>
      <c r="AA41" s="233" t="s">
        <v>43</v>
      </c>
      <c r="AB41" s="78"/>
      <c r="AL41" s="78"/>
      <c r="AM41" s="78"/>
    </row>
    <row r="42" spans="16:39" ht="15" customHeight="1" x14ac:dyDescent="0.2">
      <c r="P42" s="45" t="s">
        <v>151</v>
      </c>
      <c r="Q42" s="228"/>
      <c r="R42" s="229"/>
      <c r="S42" s="228">
        <v>-2225</v>
      </c>
      <c r="T42" s="229">
        <f t="shared" si="0"/>
        <v>-0.48243777622702955</v>
      </c>
      <c r="U42" s="230">
        <v>2158</v>
      </c>
      <c r="V42" s="231">
        <f t="shared" si="1"/>
        <v>-1.5019772040009305</v>
      </c>
      <c r="W42" s="232">
        <v>792</v>
      </c>
      <c r="X42" s="231">
        <f t="shared" si="2"/>
        <v>-1.1842288904396372</v>
      </c>
      <c r="Y42" s="232">
        <v>1400</v>
      </c>
      <c r="Z42" s="231">
        <f t="shared" si="3"/>
        <v>-1.3256571295650152</v>
      </c>
      <c r="AA42" s="233">
        <v>-4299</v>
      </c>
      <c r="AB42" s="78"/>
      <c r="AL42" s="78"/>
      <c r="AM42" s="78"/>
    </row>
    <row r="43" spans="16:39" ht="15" customHeight="1" x14ac:dyDescent="0.2">
      <c r="P43" s="45" t="s">
        <v>152</v>
      </c>
      <c r="Q43" s="252"/>
      <c r="R43" s="253"/>
      <c r="S43" s="252">
        <v>6812</v>
      </c>
      <c r="T43" s="253">
        <f t="shared" si="0"/>
        <v>7.3942620526470382E-3</v>
      </c>
      <c r="U43" s="254">
        <v>4654</v>
      </c>
      <c r="V43" s="255">
        <f t="shared" si="1"/>
        <v>-0.31174208813960369</v>
      </c>
      <c r="W43" s="256">
        <v>3863</v>
      </c>
      <c r="X43" s="255">
        <f t="shared" si="2"/>
        <v>-0.42871931381248152</v>
      </c>
      <c r="Y43" s="256">
        <v>2463</v>
      </c>
      <c r="Z43" s="255">
        <f t="shared" si="3"/>
        <v>-0.63575865128660158</v>
      </c>
      <c r="AA43" s="257">
        <v>6762</v>
      </c>
      <c r="AB43" s="78"/>
      <c r="AL43" s="78"/>
      <c r="AM43" s="78"/>
    </row>
    <row r="44" spans="16:39" ht="15" customHeight="1" x14ac:dyDescent="0.2">
      <c r="P44" s="45" t="s">
        <v>153</v>
      </c>
      <c r="Q44" s="228"/>
      <c r="R44" s="229"/>
      <c r="S44" s="228">
        <v>-2225</v>
      </c>
      <c r="T44" s="229">
        <f t="shared" si="0"/>
        <v>-0.48243777622702955</v>
      </c>
      <c r="U44" s="230">
        <v>2158</v>
      </c>
      <c r="V44" s="231">
        <f t="shared" si="1"/>
        <v>-1.5019772040009305</v>
      </c>
      <c r="W44" s="232">
        <v>792</v>
      </c>
      <c r="X44" s="231">
        <f t="shared" si="2"/>
        <v>-1.1842288904396372</v>
      </c>
      <c r="Y44" s="232">
        <v>1400</v>
      </c>
      <c r="Z44" s="231">
        <f t="shared" si="3"/>
        <v>-1.3256571295650152</v>
      </c>
      <c r="AA44" s="233">
        <v>-4299</v>
      </c>
      <c r="AB44" s="78"/>
      <c r="AL44" s="78"/>
      <c r="AM44" s="78"/>
    </row>
    <row r="45" spans="16:39" ht="15" customHeight="1" x14ac:dyDescent="0.2">
      <c r="P45" s="258" t="s">
        <v>154</v>
      </c>
      <c r="Q45" s="259"/>
      <c r="R45" s="260"/>
      <c r="S45" s="259">
        <v>4587</v>
      </c>
      <c r="T45" s="260">
        <f t="shared" si="0"/>
        <v>0.86236297198538359</v>
      </c>
      <c r="U45" s="261">
        <v>6812</v>
      </c>
      <c r="V45" s="262">
        <f t="shared" si="1"/>
        <v>1.7657328461226145</v>
      </c>
      <c r="W45" s="263">
        <v>4654</v>
      </c>
      <c r="X45" s="262">
        <f t="shared" si="2"/>
        <v>0.8895655704425498</v>
      </c>
      <c r="Y45" s="263">
        <v>3863</v>
      </c>
      <c r="Z45" s="262">
        <f t="shared" si="3"/>
        <v>0.56841250507511165</v>
      </c>
      <c r="AA45" s="264">
        <v>2463</v>
      </c>
      <c r="AB45" s="78"/>
      <c r="AL45" s="78"/>
      <c r="AM45" s="78"/>
    </row>
    <row r="46" spans="16:39" ht="15" customHeight="1" x14ac:dyDescent="0.2">
      <c r="P46" s="78"/>
      <c r="Q46" s="78"/>
      <c r="R46" s="78"/>
      <c r="S46" s="78"/>
      <c r="T46" s="78"/>
      <c r="U46" s="78"/>
      <c r="V46" s="78"/>
      <c r="W46" s="78"/>
      <c r="Z46" s="78"/>
      <c r="AA46" s="78"/>
      <c r="AB46" s="78"/>
      <c r="AL46" s="78"/>
      <c r="AM46" s="78"/>
    </row>
    <row r="47" spans="16:39" x14ac:dyDescent="0.2">
      <c r="P47" s="78"/>
      <c r="Q47" s="78"/>
      <c r="R47" s="78"/>
      <c r="S47" s="78"/>
      <c r="T47" s="265"/>
      <c r="U47" s="78"/>
      <c r="V47" s="78"/>
      <c r="W47" s="78"/>
      <c r="Z47" s="78"/>
      <c r="AA47" s="78"/>
      <c r="AB47" s="78"/>
      <c r="AL47" s="78"/>
      <c r="AM47" s="78"/>
    </row>
    <row r="48" spans="16:39" x14ac:dyDescent="0.2">
      <c r="P48" s="78"/>
      <c r="Q48" s="78"/>
      <c r="R48" s="78"/>
      <c r="S48" s="78"/>
      <c r="T48" s="78"/>
      <c r="U48" s="78"/>
      <c r="V48" s="78"/>
      <c r="W48" s="78"/>
      <c r="Z48" s="78"/>
      <c r="AA48" s="78"/>
      <c r="AB48" s="78"/>
      <c r="AL48" s="78"/>
      <c r="AM48" s="78"/>
    </row>
    <row r="49" spans="16:65" x14ac:dyDescent="0.2">
      <c r="P49" s="78"/>
      <c r="Q49" s="78"/>
      <c r="R49" s="78"/>
      <c r="S49" s="78"/>
      <c r="T49" s="78"/>
      <c r="U49" s="78"/>
      <c r="V49" s="78"/>
      <c r="W49" s="78"/>
      <c r="Z49" s="78"/>
      <c r="AA49" s="78"/>
      <c r="AB49" s="78"/>
      <c r="AL49" s="78"/>
      <c r="AM49" s="78"/>
    </row>
    <row r="50" spans="16:65" x14ac:dyDescent="0.2">
      <c r="P50" s="78" t="s">
        <v>155</v>
      </c>
      <c r="Q50" s="78"/>
      <c r="R50" s="78"/>
      <c r="S50" s="78"/>
      <c r="T50" s="78"/>
      <c r="U50" s="78"/>
      <c r="V50" s="78"/>
      <c r="W50" s="78"/>
      <c r="Z50" s="78"/>
      <c r="AA50" s="78"/>
      <c r="AB50" s="78"/>
      <c r="AL50" s="78"/>
      <c r="AM50" s="78"/>
    </row>
    <row r="51" spans="16:65" x14ac:dyDescent="0.2">
      <c r="P51" s="78"/>
      <c r="Q51" s="78"/>
      <c r="R51" s="78"/>
      <c r="S51" s="78"/>
      <c r="T51" s="78"/>
      <c r="U51" s="78"/>
      <c r="V51" s="78"/>
      <c r="W51" s="78"/>
      <c r="Z51" s="78"/>
      <c r="AA51" s="78"/>
      <c r="AB51" s="78"/>
      <c r="AL51" s="78"/>
      <c r="AM51" s="78"/>
    </row>
    <row r="52" spans="16:65" x14ac:dyDescent="0.2">
      <c r="P52" s="148" t="s">
        <v>156</v>
      </c>
      <c r="Q52" s="149" t="s">
        <v>157</v>
      </c>
      <c r="R52" s="149" t="s">
        <v>4</v>
      </c>
      <c r="S52" s="149" t="s">
        <v>158</v>
      </c>
      <c r="T52" s="149" t="s">
        <v>4</v>
      </c>
      <c r="U52" s="149" t="s">
        <v>159</v>
      </c>
      <c r="V52" s="149" t="s">
        <v>4</v>
      </c>
      <c r="W52" s="149" t="s">
        <v>160</v>
      </c>
      <c r="X52" s="149" t="s">
        <v>4</v>
      </c>
      <c r="Y52" s="149" t="s">
        <v>161</v>
      </c>
      <c r="Z52" s="149" t="s">
        <v>4</v>
      </c>
      <c r="AA52" s="209" t="s">
        <v>162</v>
      </c>
      <c r="AB52" s="78"/>
      <c r="AL52" s="78"/>
      <c r="AM52" s="78"/>
    </row>
    <row r="53" spans="16:65" ht="16" x14ac:dyDescent="0.2">
      <c r="P53" s="266" t="s">
        <v>44</v>
      </c>
      <c r="Q53" s="267"/>
      <c r="R53" s="268"/>
      <c r="S53" s="267">
        <f>S2</f>
        <v>4351</v>
      </c>
      <c r="T53" s="268">
        <f>S53/AA53-1</f>
        <v>0.32936144210204699</v>
      </c>
      <c r="U53" s="267">
        <f t="shared" ref="U53:AA53" si="4">U2</f>
        <v>4439</v>
      </c>
      <c r="V53" s="268">
        <f>U53/AA53-1</f>
        <v>0.35624809043690808</v>
      </c>
      <c r="W53" s="267">
        <f>W2</f>
        <v>4169</v>
      </c>
      <c r="X53" s="268">
        <f>W53/AA53-1</f>
        <v>0.27375496486403916</v>
      </c>
      <c r="Y53" s="269">
        <f t="shared" si="4"/>
        <v>3536</v>
      </c>
      <c r="Z53" s="268">
        <f>Y53/AA53-1</f>
        <v>8.0354414909868721E-2</v>
      </c>
      <c r="AA53" s="270">
        <f t="shared" si="4"/>
        <v>3273</v>
      </c>
      <c r="AB53" s="78"/>
      <c r="AL53" s="78"/>
      <c r="AM53" s="78"/>
    </row>
    <row r="54" spans="16:65" ht="16" x14ac:dyDescent="0.2">
      <c r="P54" s="271" t="s">
        <v>163</v>
      </c>
      <c r="Q54" s="272"/>
      <c r="R54" s="268"/>
      <c r="S54" s="272">
        <f>S3+S4+S6+S7+S8+S9+S10+S11+S12+S13</f>
        <v>2397</v>
      </c>
      <c r="T54" s="268">
        <f t="shared" ref="T54:T59" si="5">S54/AA54-1</f>
        <v>1.0041806020066888</v>
      </c>
      <c r="U54" s="272">
        <f t="shared" ref="U54" si="6">U3+U4+U6+U7+U8+U9+U10+U11+U12+U13</f>
        <v>1869</v>
      </c>
      <c r="V54" s="268">
        <f t="shared" ref="V54:V59" si="7">U54/AA54-1</f>
        <v>0.56270903010033435</v>
      </c>
      <c r="W54" s="272">
        <f>W3+W4+W6+W7+W8+W9+W10+W11+W12+W13+W5</f>
        <v>1360</v>
      </c>
      <c r="X54" s="268">
        <f t="shared" ref="X54:X59" si="8">W54/AA54-1</f>
        <v>0.1371237458193979</v>
      </c>
      <c r="Y54" s="265">
        <f>Y3+Y4+Y6+Y7+Y8+Y9+Y10+Y11+Y12+Y13+Y5</f>
        <v>1857</v>
      </c>
      <c r="Z54" s="268">
        <f t="shared" ref="Z54:Z59" si="9">Y54/AA54-1</f>
        <v>0.55267558528428085</v>
      </c>
      <c r="AA54" s="273">
        <f>AA3+AA4+AA6+AA7+AA8+AA9+AA10+AA11+AA12+AA13+AA5</f>
        <v>1196</v>
      </c>
      <c r="AB54" s="78"/>
      <c r="AL54" s="78"/>
      <c r="AM54" s="78"/>
    </row>
    <row r="55" spans="16:65" ht="16" x14ac:dyDescent="0.2">
      <c r="P55" s="271" t="s">
        <v>164</v>
      </c>
      <c r="Q55" s="267"/>
      <c r="R55" s="268"/>
      <c r="S55" s="267">
        <f>S15</f>
        <v>-301</v>
      </c>
      <c r="T55" s="268">
        <f t="shared" si="5"/>
        <v>-0.47833622183708835</v>
      </c>
      <c r="U55" s="267">
        <f t="shared" ref="U55:AA55" si="10">U15</f>
        <v>-199</v>
      </c>
      <c r="V55" s="268">
        <f t="shared" si="7"/>
        <v>-0.65511265164644716</v>
      </c>
      <c r="W55" s="267">
        <f>W15</f>
        <v>62</v>
      </c>
      <c r="X55" s="268">
        <f t="shared" si="8"/>
        <v>-1.1074523396880416</v>
      </c>
      <c r="Y55" s="269">
        <f t="shared" si="10"/>
        <v>-305</v>
      </c>
      <c r="Z55" s="268">
        <f t="shared" si="9"/>
        <v>-0.47140381282495669</v>
      </c>
      <c r="AA55" s="270">
        <f t="shared" si="10"/>
        <v>-577</v>
      </c>
      <c r="AB55" s="78"/>
      <c r="AL55" s="78"/>
      <c r="AM55" s="78"/>
    </row>
    <row r="56" spans="16:65" ht="16" x14ac:dyDescent="0.2">
      <c r="P56" s="271" t="s">
        <v>165</v>
      </c>
      <c r="Q56" s="267"/>
      <c r="R56" s="268"/>
      <c r="S56" s="267">
        <f>S16</f>
        <v>-366</v>
      </c>
      <c r="T56" s="268">
        <f t="shared" si="5"/>
        <v>-0.6167539267015707</v>
      </c>
      <c r="U56" s="267">
        <f t="shared" ref="U56:AA56" si="11">U16</f>
        <v>-834</v>
      </c>
      <c r="V56" s="268">
        <f t="shared" si="7"/>
        <v>-0.12670157068062826</v>
      </c>
      <c r="W56" s="267">
        <f>W16</f>
        <v>-382</v>
      </c>
      <c r="X56" s="268">
        <f t="shared" si="8"/>
        <v>-0.6</v>
      </c>
      <c r="Y56" s="269">
        <f t="shared" si="11"/>
        <v>-553</v>
      </c>
      <c r="Z56" s="268">
        <f t="shared" si="9"/>
        <v>-0.4209424083769634</v>
      </c>
      <c r="AA56" s="270">
        <f t="shared" si="11"/>
        <v>-955</v>
      </c>
      <c r="AB56" s="78"/>
      <c r="AL56" s="78"/>
      <c r="AM56" s="78"/>
    </row>
    <row r="57" spans="16:65" ht="16" x14ac:dyDescent="0.2">
      <c r="P57" s="271" t="s">
        <v>166</v>
      </c>
      <c r="Q57" s="267"/>
      <c r="R57" s="268"/>
      <c r="S57" s="267">
        <f>S17</f>
        <v>307</v>
      </c>
      <c r="T57" s="268">
        <f t="shared" si="5"/>
        <v>-0.26555023923444976</v>
      </c>
      <c r="U57" s="267">
        <f t="shared" ref="U57:AA57" si="12">U17</f>
        <v>439</v>
      </c>
      <c r="V57" s="268">
        <f t="shared" si="7"/>
        <v>5.0239234449760861E-2</v>
      </c>
      <c r="W57" s="267">
        <f>W17</f>
        <v>493</v>
      </c>
      <c r="X57" s="268">
        <f t="shared" si="8"/>
        <v>0.17942583732057416</v>
      </c>
      <c r="Y57" s="269">
        <f t="shared" si="12"/>
        <v>73</v>
      </c>
      <c r="Z57" s="268">
        <f t="shared" si="9"/>
        <v>-0.82535885167464118</v>
      </c>
      <c r="AA57" s="270">
        <f t="shared" si="12"/>
        <v>418</v>
      </c>
      <c r="AB57" s="78"/>
      <c r="AL57" s="78"/>
      <c r="AM57" s="78"/>
    </row>
    <row r="58" spans="16:65" ht="16" x14ac:dyDescent="0.2">
      <c r="P58" s="271" t="s">
        <v>167</v>
      </c>
      <c r="Q58" s="267"/>
      <c r="R58" s="268"/>
      <c r="S58" s="267">
        <f>S18</f>
        <v>-257</v>
      </c>
      <c r="T58" s="268">
        <f t="shared" si="5"/>
        <v>-1.9846743295019156</v>
      </c>
      <c r="U58" s="267">
        <f t="shared" ref="U58:AA58" si="13">U18</f>
        <v>-134</v>
      </c>
      <c r="V58" s="268">
        <f t="shared" si="7"/>
        <v>-1.5134099616858236</v>
      </c>
      <c r="W58" s="267">
        <f>W18</f>
        <v>205</v>
      </c>
      <c r="X58" s="268">
        <f t="shared" si="8"/>
        <v>-0.21455938697318011</v>
      </c>
      <c r="Y58" s="269">
        <f t="shared" si="13"/>
        <v>-254</v>
      </c>
      <c r="Z58" s="268">
        <f t="shared" si="9"/>
        <v>-1.9731800766283525</v>
      </c>
      <c r="AA58" s="270">
        <f t="shared" si="13"/>
        <v>261</v>
      </c>
      <c r="AB58" s="78"/>
      <c r="AL58" s="78"/>
      <c r="AM58" s="78"/>
    </row>
    <row r="59" spans="16:65" ht="16" x14ac:dyDescent="0.2">
      <c r="P59" s="274" t="s">
        <v>168</v>
      </c>
      <c r="Q59" s="275"/>
      <c r="R59" s="276"/>
      <c r="S59" s="275">
        <f>S53+S54+SUM(S55:S58)</f>
        <v>6131</v>
      </c>
      <c r="T59" s="276">
        <f t="shared" si="5"/>
        <v>0.69551991150442483</v>
      </c>
      <c r="U59" s="275">
        <f>U53+U54+SUM(U55:U58)</f>
        <v>5580</v>
      </c>
      <c r="V59" s="276">
        <f t="shared" si="7"/>
        <v>0.54314159292035402</v>
      </c>
      <c r="W59" s="275">
        <f>W53+W54+SUM(W55:W58)</f>
        <v>5907</v>
      </c>
      <c r="X59" s="276">
        <f t="shared" si="8"/>
        <v>0.63357300884955747</v>
      </c>
      <c r="Y59" s="277">
        <f>Y53+Y54+SUM(Y55:Y58)</f>
        <v>4354</v>
      </c>
      <c r="Z59" s="276">
        <f t="shared" si="9"/>
        <v>0.2040929203539823</v>
      </c>
      <c r="AA59" s="278">
        <f t="shared" ref="AA59" si="14">AA53+AA54+SUM(AA55:AA58)</f>
        <v>3616</v>
      </c>
      <c r="AB59" s="78"/>
      <c r="AL59" s="78"/>
      <c r="AM59" s="78"/>
    </row>
    <row r="60" spans="16:65" x14ac:dyDescent="0.2">
      <c r="P60" s="78"/>
      <c r="Q60" s="78"/>
      <c r="R60" s="78"/>
      <c r="S60" s="78"/>
      <c r="T60" s="78"/>
      <c r="U60" s="78"/>
      <c r="V60" s="78"/>
      <c r="W60" s="265"/>
      <c r="Z60" s="78"/>
      <c r="AA60" s="78"/>
      <c r="AB60" s="78"/>
      <c r="AC60" s="78"/>
      <c r="AD60" s="78"/>
      <c r="AE60" s="78"/>
      <c r="AF60" s="78"/>
      <c r="AG60" s="78"/>
      <c r="AH60" s="78"/>
      <c r="AI60" s="78"/>
      <c r="AJ60" s="78"/>
      <c r="AK60" s="78"/>
      <c r="AL60" s="78"/>
      <c r="AM60" s="78"/>
      <c r="AY60" s="78"/>
      <c r="AZ60" s="78"/>
      <c r="BA60" s="78"/>
      <c r="BB60" s="78"/>
      <c r="BC60" s="78"/>
      <c r="BD60" s="78"/>
      <c r="BE60" s="78"/>
      <c r="BF60" s="78"/>
      <c r="BG60" s="78"/>
      <c r="BH60" s="78"/>
      <c r="BI60" s="78"/>
      <c r="BJ60" s="78"/>
      <c r="BK60" s="78"/>
      <c r="BL60" s="78"/>
      <c r="BM60" s="78"/>
    </row>
    <row r="61" spans="16:65" x14ac:dyDescent="0.2">
      <c r="AA61" s="78"/>
      <c r="AB61" s="78"/>
      <c r="AC61" s="78"/>
      <c r="AD61" s="78"/>
      <c r="AE61" s="265"/>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row>
    <row r="62" spans="16:65" x14ac:dyDescent="0.2">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row>
    <row r="63" spans="16:65" x14ac:dyDescent="0.2">
      <c r="AA63" s="279"/>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row>
    <row r="64" spans="16:65" x14ac:dyDescent="0.2">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row>
    <row r="65" spans="3:65" x14ac:dyDescent="0.2">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78"/>
    </row>
    <row r="66" spans="3:65" x14ac:dyDescent="0.2">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78"/>
      <c r="BK66" s="78"/>
      <c r="BL66" s="78"/>
      <c r="BM66" s="78"/>
    </row>
    <row r="67" spans="3:65" x14ac:dyDescent="0.2">
      <c r="AA67" s="78"/>
      <c r="AB67" s="78"/>
      <c r="AC67" s="78"/>
      <c r="AD67" s="269"/>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c r="BL67" s="78"/>
      <c r="BM67" s="78"/>
    </row>
    <row r="68" spans="3:65" x14ac:dyDescent="0.2">
      <c r="AA68" s="78"/>
      <c r="AB68" s="78"/>
      <c r="AC68" s="78"/>
      <c r="AD68" s="269" t="s">
        <v>50</v>
      </c>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row>
    <row r="69" spans="3:65" x14ac:dyDescent="0.2">
      <c r="AA69" s="78"/>
      <c r="AB69" s="78"/>
      <c r="AC69" s="78"/>
      <c r="AD69" s="265"/>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c r="BL69" s="78"/>
      <c r="BM69" s="78"/>
    </row>
    <row r="70" spans="3:65" x14ac:dyDescent="0.2">
      <c r="AA70" s="78"/>
      <c r="AB70" s="78"/>
      <c r="AC70" s="78"/>
      <c r="AD70" s="269"/>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78"/>
      <c r="BK70" s="78"/>
      <c r="BL70" s="78"/>
      <c r="BM70" s="78"/>
    </row>
    <row r="71" spans="3:65" x14ac:dyDescent="0.2">
      <c r="AA71" s="78"/>
      <c r="AB71" s="78"/>
      <c r="AC71" s="78"/>
      <c r="AD71" s="265"/>
      <c r="AE71" s="78"/>
      <c r="AF71" s="78"/>
      <c r="AG71" s="78"/>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c r="BL71" s="78"/>
      <c r="BM71" s="78"/>
    </row>
    <row r="72" spans="3:65" x14ac:dyDescent="0.2">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row>
    <row r="73" spans="3:65" x14ac:dyDescent="0.2">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78"/>
      <c r="AZ73" s="78"/>
      <c r="BA73" s="78"/>
      <c r="BB73" s="78"/>
      <c r="BC73" s="78"/>
      <c r="BD73" s="78"/>
      <c r="BE73" s="78"/>
      <c r="BF73" s="78"/>
      <c r="BG73" s="78"/>
      <c r="BH73" s="78"/>
      <c r="BI73" s="78"/>
      <c r="BJ73" s="78"/>
      <c r="BK73" s="78"/>
      <c r="BL73" s="78"/>
      <c r="BM73" s="78"/>
    </row>
    <row r="74" spans="3:65" x14ac:dyDescent="0.2">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78"/>
      <c r="AZ74" s="78"/>
      <c r="BA74" s="78"/>
      <c r="BB74" s="78"/>
      <c r="BC74" s="78"/>
      <c r="BD74" s="78"/>
      <c r="BE74" s="78"/>
      <c r="BF74" s="78"/>
      <c r="BG74" s="78"/>
      <c r="BH74" s="78"/>
      <c r="BI74" s="78"/>
      <c r="BJ74" s="78"/>
      <c r="BK74" s="78"/>
      <c r="BL74" s="78"/>
      <c r="BM74" s="78"/>
    </row>
    <row r="75" spans="3:65" x14ac:dyDescent="0.2">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c r="BL75" s="78"/>
      <c r="BM75" s="78"/>
    </row>
    <row r="76" spans="3:65" x14ac:dyDescent="0.2">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78"/>
      <c r="AZ76" s="78"/>
      <c r="BA76" s="78"/>
      <c r="BB76" s="78"/>
      <c r="BC76" s="78"/>
      <c r="BD76" s="78"/>
      <c r="BE76" s="78"/>
      <c r="BF76" s="78"/>
      <c r="BG76" s="78"/>
      <c r="BH76" s="78"/>
      <c r="BI76" s="78"/>
      <c r="BJ76" s="78"/>
      <c r="BK76" s="78"/>
      <c r="BL76" s="78"/>
      <c r="BM76" s="78"/>
    </row>
    <row r="77" spans="3:65" x14ac:dyDescent="0.2">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c r="BC77" s="78"/>
      <c r="BD77" s="78"/>
      <c r="BE77" s="78"/>
      <c r="BF77" s="78"/>
      <c r="BG77" s="78"/>
      <c r="BH77" s="78"/>
      <c r="BI77" s="78"/>
      <c r="BJ77" s="78"/>
      <c r="BK77" s="78"/>
      <c r="BL77" s="78"/>
      <c r="BM77" s="78"/>
    </row>
    <row r="78" spans="3:65" x14ac:dyDescent="0.2">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78"/>
      <c r="AZ78" s="78"/>
      <c r="BA78" s="78"/>
      <c r="BB78" s="78"/>
      <c r="BC78" s="78"/>
      <c r="BD78" s="78"/>
      <c r="BE78" s="78"/>
      <c r="BF78" s="78"/>
      <c r="BG78" s="78"/>
      <c r="BH78" s="78"/>
      <c r="BI78" s="78"/>
      <c r="BJ78" s="78"/>
      <c r="BK78" s="78"/>
      <c r="BL78" s="78"/>
      <c r="BM78" s="78"/>
    </row>
    <row r="79" spans="3:65" x14ac:dyDescent="0.2">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78"/>
      <c r="AZ79" s="78"/>
      <c r="BA79" s="78"/>
      <c r="BB79" s="78"/>
      <c r="BC79" s="78"/>
      <c r="BD79" s="78"/>
      <c r="BE79" s="78"/>
      <c r="BF79" s="78"/>
      <c r="BG79" s="78"/>
      <c r="BH79" s="78"/>
      <c r="BI79" s="78"/>
      <c r="BJ79" s="78"/>
      <c r="BK79" s="78"/>
      <c r="BL79" s="78"/>
      <c r="BM79" s="78"/>
    </row>
    <row r="80" spans="3:65" x14ac:dyDescent="0.2">
      <c r="C80" s="78"/>
      <c r="D80" s="78"/>
      <c r="E80" s="78"/>
      <c r="F80" s="78"/>
      <c r="G80" s="78"/>
      <c r="H80" s="78"/>
      <c r="I80" s="78"/>
      <c r="J80" s="78"/>
      <c r="K80" s="78"/>
      <c r="L80" s="78"/>
      <c r="M80" s="78"/>
      <c r="O80" s="78"/>
      <c r="P80" s="78"/>
      <c r="Q80" s="78"/>
      <c r="R80" s="78"/>
      <c r="S80" s="78"/>
      <c r="T80" s="78"/>
      <c r="U80" s="78"/>
      <c r="V80" s="78"/>
      <c r="W80" s="78"/>
      <c r="Z80" s="78"/>
      <c r="AA80" s="78"/>
      <c r="AB80" s="78"/>
      <c r="AC80" s="78"/>
      <c r="AD80" s="78"/>
      <c r="AE80" s="78"/>
      <c r="AF80" s="78"/>
      <c r="AG80" s="78"/>
      <c r="AH80" s="78"/>
      <c r="AI80" s="78"/>
      <c r="AJ80" s="78"/>
      <c r="AK80" s="78"/>
      <c r="AL80" s="78"/>
      <c r="AM80" s="78"/>
      <c r="AN80" s="78"/>
    </row>
    <row r="81" spans="3:40" x14ac:dyDescent="0.2">
      <c r="C81" s="78"/>
      <c r="D81" s="78"/>
      <c r="E81" s="78"/>
      <c r="F81" s="78"/>
      <c r="G81" s="78"/>
      <c r="H81" s="78"/>
      <c r="I81" s="78"/>
      <c r="J81" s="78"/>
      <c r="K81" s="78"/>
      <c r="L81" s="78"/>
      <c r="M81" s="78"/>
      <c r="O81" s="78"/>
      <c r="P81" s="78"/>
      <c r="Q81" s="78"/>
      <c r="R81" s="78"/>
      <c r="S81" s="78"/>
      <c r="T81" s="78"/>
      <c r="U81" s="78"/>
      <c r="V81" s="78"/>
      <c r="W81" s="78"/>
      <c r="Z81" s="78"/>
      <c r="AA81" s="78"/>
      <c r="AB81" s="78"/>
      <c r="AC81" s="78"/>
      <c r="AD81" s="78"/>
      <c r="AE81" s="78"/>
      <c r="AF81" s="78"/>
      <c r="AG81" s="78"/>
      <c r="AH81" s="78"/>
      <c r="AI81" s="78"/>
      <c r="AJ81" s="78"/>
      <c r="AK81" s="78"/>
      <c r="AL81" s="78"/>
      <c r="AM81" s="78"/>
      <c r="AN81" s="78"/>
    </row>
    <row r="82" spans="3:40" x14ac:dyDescent="0.2">
      <c r="C82" s="78"/>
      <c r="D82" s="78"/>
      <c r="E82" s="78"/>
      <c r="F82" s="78"/>
      <c r="G82" s="78"/>
      <c r="H82" s="78"/>
      <c r="I82" s="78"/>
      <c r="J82" s="78"/>
      <c r="K82" s="78"/>
      <c r="L82" s="78"/>
      <c r="M82" s="78"/>
      <c r="O82" s="78"/>
      <c r="P82" s="78"/>
      <c r="Q82" s="78"/>
      <c r="R82" s="78"/>
      <c r="S82" s="78"/>
      <c r="T82" s="78"/>
      <c r="U82" s="78"/>
      <c r="V82" s="78"/>
      <c r="W82" s="78"/>
      <c r="Z82" s="78"/>
      <c r="AA82" s="78"/>
      <c r="AB82" s="78"/>
      <c r="AC82" s="78"/>
      <c r="AD82" s="78"/>
      <c r="AE82" s="78"/>
      <c r="AF82" s="78"/>
      <c r="AG82" s="78"/>
      <c r="AH82" s="78"/>
      <c r="AI82" s="78"/>
      <c r="AJ82" s="78"/>
      <c r="AK82" s="78"/>
      <c r="AL82" s="78"/>
      <c r="AM82" s="78"/>
      <c r="AN82" s="78"/>
    </row>
    <row r="83" spans="3:40" x14ac:dyDescent="0.2">
      <c r="C83" s="78"/>
      <c r="D83" s="78"/>
      <c r="E83" s="78"/>
      <c r="F83" s="78"/>
      <c r="G83" s="78"/>
      <c r="H83" s="78"/>
      <c r="I83" s="78"/>
      <c r="J83" s="78"/>
      <c r="K83" s="78"/>
      <c r="L83" s="78"/>
      <c r="M83" s="78"/>
      <c r="O83" s="78"/>
      <c r="P83" s="78"/>
      <c r="Q83" s="78"/>
      <c r="R83" s="78"/>
      <c r="S83" s="78"/>
      <c r="T83" s="78"/>
      <c r="U83" s="78"/>
      <c r="V83" s="78"/>
      <c r="W83" s="78"/>
      <c r="Z83" s="78"/>
      <c r="AA83" s="78"/>
      <c r="AB83" s="78"/>
      <c r="AC83" s="78"/>
      <c r="AD83" s="78"/>
      <c r="AE83" s="78"/>
      <c r="AF83" s="78"/>
      <c r="AG83" s="78"/>
      <c r="AH83" s="78"/>
      <c r="AI83" s="78"/>
      <c r="AJ83" s="78"/>
      <c r="AK83" s="78"/>
      <c r="AL83" s="78"/>
      <c r="AM83" s="78"/>
      <c r="AN83" s="78"/>
    </row>
    <row r="84" spans="3:40" x14ac:dyDescent="0.2">
      <c r="C84" s="78"/>
      <c r="D84" s="78"/>
      <c r="E84" s="78"/>
      <c r="F84" s="78"/>
      <c r="G84" s="78"/>
      <c r="H84" s="78"/>
      <c r="I84" s="78"/>
      <c r="J84" s="78"/>
      <c r="K84" s="78"/>
      <c r="L84" s="78"/>
      <c r="M84" s="78"/>
      <c r="O84" s="78"/>
      <c r="P84" s="78"/>
      <c r="Q84" s="78"/>
      <c r="R84" s="78"/>
      <c r="S84" s="78"/>
      <c r="T84" s="78"/>
      <c r="U84" s="78"/>
      <c r="V84" s="78"/>
      <c r="W84" s="78"/>
      <c r="Z84" s="78"/>
      <c r="AA84" s="78"/>
      <c r="AB84" s="78"/>
      <c r="AC84" s="78"/>
      <c r="AD84" s="78"/>
      <c r="AE84" s="78"/>
      <c r="AF84" s="78"/>
      <c r="AG84" s="78"/>
      <c r="AH84" s="78"/>
      <c r="AI84" s="78"/>
      <c r="AJ84" s="78"/>
      <c r="AK84" s="78"/>
      <c r="AL84" s="78"/>
      <c r="AM84" s="78"/>
      <c r="AN84" s="78"/>
    </row>
    <row r="85" spans="3:40" x14ac:dyDescent="0.2">
      <c r="O85" s="78"/>
      <c r="P85" s="78"/>
      <c r="Q85" s="78"/>
      <c r="R85" s="78"/>
      <c r="S85" s="78"/>
      <c r="T85" s="78"/>
      <c r="U85" s="78"/>
      <c r="V85" s="78"/>
      <c r="W85" s="78"/>
      <c r="Z85" s="78"/>
      <c r="AA85" s="78"/>
      <c r="AB85" s="78"/>
      <c r="AC85" s="78"/>
      <c r="AD85" s="78"/>
      <c r="AE85" s="78"/>
      <c r="AF85" s="78"/>
      <c r="AG85" s="78"/>
      <c r="AH85" s="78"/>
      <c r="AI85" s="78"/>
      <c r="AJ85" s="78"/>
      <c r="AK85" s="78"/>
      <c r="AL85" s="78"/>
      <c r="AM85" s="78"/>
      <c r="AN85" s="78"/>
    </row>
    <row r="86" spans="3:40" x14ac:dyDescent="0.2">
      <c r="O86" s="78"/>
      <c r="P86" s="78"/>
      <c r="Q86" s="78"/>
      <c r="R86" s="78"/>
      <c r="S86" s="78"/>
      <c r="T86" s="78"/>
      <c r="U86" s="78"/>
      <c r="V86" s="78"/>
      <c r="W86" s="78"/>
      <c r="Z86" s="78"/>
      <c r="AA86" s="78"/>
      <c r="AB86" s="78"/>
      <c r="AC86" s="78"/>
      <c r="AD86" s="78"/>
      <c r="AE86" s="78"/>
      <c r="AF86" s="78"/>
      <c r="AG86" s="78"/>
      <c r="AH86" s="78"/>
      <c r="AI86" s="78"/>
      <c r="AJ86" s="78"/>
      <c r="AK86" s="78"/>
      <c r="AL86" s="78"/>
      <c r="AM86" s="78"/>
      <c r="AN86" s="78"/>
    </row>
  </sheetData>
  <mergeCells count="1">
    <mergeCell ref="AC1:AL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9EED3-3338-BA4D-9593-A18C15DE1032}">
  <sheetPr codeName="Sheet4">
    <tabColor theme="9" tint="0.79998168889431442"/>
  </sheetPr>
  <dimension ref="A1:AA109"/>
  <sheetViews>
    <sheetView topLeftCell="B1" zoomScale="108" zoomScaleNormal="92" workbookViewId="0">
      <selection activeCell="K13" sqref="K13"/>
    </sheetView>
  </sheetViews>
  <sheetFormatPr baseColWidth="10" defaultColWidth="11.5" defaultRowHeight="15" x14ac:dyDescent="0.2"/>
  <cols>
    <col min="1" max="1" width="11.5" style="290"/>
    <col min="2" max="2" width="62.83203125" style="290" customWidth="1"/>
    <col min="3" max="3" width="14.6640625" style="4" customWidth="1"/>
    <col min="4" max="4" width="47" style="4" bestFit="1" customWidth="1"/>
    <col min="5" max="5" width="16.1640625" style="4" hidden="1" customWidth="1"/>
    <col min="6" max="6" width="17.1640625" style="4" customWidth="1"/>
    <col min="7" max="7" width="21.33203125" style="4" customWidth="1"/>
    <col min="8" max="8" width="19.1640625" style="4" customWidth="1"/>
    <col min="9" max="9" width="9.83203125" bestFit="1" customWidth="1"/>
    <col min="12" max="12" width="55.6640625" bestFit="1" customWidth="1"/>
    <col min="13" max="13" width="13.5" hidden="1" customWidth="1"/>
    <col min="14" max="15" width="10.6640625" bestFit="1" customWidth="1"/>
    <col min="21" max="21" width="21.1640625" customWidth="1"/>
    <col min="22" max="22" width="13.83203125" customWidth="1"/>
    <col min="36" max="36" width="66.6640625" customWidth="1"/>
  </cols>
  <sheetData>
    <row r="1" spans="4:27" ht="19" x14ac:dyDescent="0.2">
      <c r="D1" s="393" t="s">
        <v>169</v>
      </c>
      <c r="E1" s="394" t="s">
        <v>3</v>
      </c>
      <c r="F1" s="395">
        <v>2025</v>
      </c>
      <c r="G1" s="395">
        <v>2024</v>
      </c>
      <c r="H1" s="395">
        <v>2023</v>
      </c>
      <c r="I1" s="395">
        <v>2022</v>
      </c>
      <c r="J1" s="396">
        <v>2021</v>
      </c>
      <c r="L1" s="148" t="s">
        <v>171</v>
      </c>
      <c r="M1" s="156" t="s">
        <v>172</v>
      </c>
      <c r="N1" s="157" t="s">
        <v>6</v>
      </c>
      <c r="O1" s="158" t="s">
        <v>9</v>
      </c>
      <c r="P1" s="159" t="s">
        <v>10</v>
      </c>
      <c r="Q1" s="160" t="s">
        <v>11</v>
      </c>
      <c r="R1" s="432" t="s">
        <v>12</v>
      </c>
      <c r="U1" s="414" t="s">
        <v>49</v>
      </c>
      <c r="V1" s="414"/>
      <c r="W1" s="414"/>
      <c r="X1" s="414"/>
      <c r="Y1" s="414"/>
      <c r="Z1" s="414"/>
      <c r="AA1" s="414"/>
    </row>
    <row r="2" spans="4:27" x14ac:dyDescent="0.2">
      <c r="D2" s="397"/>
      <c r="E2" s="398"/>
      <c r="F2" s="399"/>
      <c r="G2" s="399"/>
      <c r="H2" s="399"/>
      <c r="I2" s="399"/>
      <c r="J2" s="400"/>
      <c r="L2" s="44" t="str">
        <f>'Balance Sheet'!N3</f>
        <v>Intangible assets</v>
      </c>
      <c r="M2" s="34">
        <f>'Balance Sheet'!O3</f>
        <v>0</v>
      </c>
      <c r="N2" s="49">
        <f>'Balance Sheet'!P3</f>
        <v>31080</v>
      </c>
      <c r="O2" s="49">
        <f>'Balance Sheet'!S3</f>
        <v>32561</v>
      </c>
      <c r="P2" s="49">
        <f>'Balance Sheet'!V3</f>
        <v>30501</v>
      </c>
      <c r="Q2" s="49">
        <f>'Balance Sheet'!Y3</f>
        <v>31509</v>
      </c>
      <c r="R2" s="64">
        <f>'Balance Sheet'!AB3</f>
        <v>31209</v>
      </c>
      <c r="U2" s="431"/>
    </row>
    <row r="3" spans="4:27" x14ac:dyDescent="0.2">
      <c r="D3" s="97" t="s">
        <v>170</v>
      </c>
      <c r="E3" s="107"/>
      <c r="F3" s="106"/>
      <c r="G3" s="106"/>
      <c r="H3" s="106"/>
      <c r="I3" s="106"/>
      <c r="J3" s="79"/>
      <c r="K3" s="4"/>
      <c r="L3" s="44" t="str">
        <f>'Balance Sheet'!N4</f>
        <v>Property, plant and equipment</v>
      </c>
      <c r="M3" s="34">
        <f>'Balance Sheet'!O4</f>
        <v>0</v>
      </c>
      <c r="N3" s="49">
        <f>'Balance Sheet'!P4</f>
        <v>5481</v>
      </c>
      <c r="O3" s="49">
        <f>'Balance Sheet'!S4</f>
        <v>4884</v>
      </c>
      <c r="P3" s="49">
        <f>'Balance Sheet'!V4</f>
        <v>4209</v>
      </c>
      <c r="Q3" s="49">
        <f>'Balance Sheet'!Y4</f>
        <v>3935</v>
      </c>
      <c r="R3" s="64">
        <f>'Balance Sheet'!AB4</f>
        <v>3826</v>
      </c>
    </row>
    <row r="4" spans="4:27" x14ac:dyDescent="0.2">
      <c r="D4" s="98" t="s">
        <v>174</v>
      </c>
      <c r="E4" s="108" t="e">
        <f>M49/M16</f>
        <v>#DIV/0!</v>
      </c>
      <c r="F4" s="121">
        <f>N49/N16</f>
        <v>0.17791862604784298</v>
      </c>
      <c r="G4" s="121">
        <f>O49/O16</f>
        <v>0.14191176470588235</v>
      </c>
      <c r="H4" s="121">
        <f>P49/P16</f>
        <v>0.15345259128386338</v>
      </c>
      <c r="I4" s="121">
        <f>Q49/Q16</f>
        <v>0.13551007894535141</v>
      </c>
      <c r="J4" s="122">
        <f>R49/R16</f>
        <v>0.11643957451350101</v>
      </c>
      <c r="L4" s="44" t="str">
        <f>'Balance Sheet'!N5</f>
        <v>Other non-current assets</v>
      </c>
      <c r="M4" s="34">
        <f>'Balance Sheet'!O5</f>
        <v>0</v>
      </c>
      <c r="N4" s="49">
        <f>'Balance Sheet'!P5</f>
        <v>3905</v>
      </c>
      <c r="O4" s="49">
        <f>'Balance Sheet'!S5</f>
        <v>4506</v>
      </c>
      <c r="P4" s="49">
        <f>'Balance Sheet'!V5</f>
        <v>4087</v>
      </c>
      <c r="Q4" s="49">
        <f>'Balance Sheet'!Y5</f>
        <v>3982</v>
      </c>
      <c r="R4" s="64">
        <f>'Balance Sheet'!AB5</f>
        <v>4088</v>
      </c>
    </row>
    <row r="5" spans="4:27" x14ac:dyDescent="0.2">
      <c r="D5" s="98" t="s">
        <v>175</v>
      </c>
      <c r="E5" s="108" t="e">
        <f>M49/M28</f>
        <v>#DIV/0!</v>
      </c>
      <c r="F5" s="121">
        <f>N49/N28</f>
        <v>0.10836321976489341</v>
      </c>
      <c r="G5" s="121">
        <f>O49/O28</f>
        <v>0.1163473383482295</v>
      </c>
      <c r="H5" s="121">
        <f>P49/P28</f>
        <v>0.11612166453122388</v>
      </c>
      <c r="I5" s="121">
        <f>Q49/Q28</f>
        <v>0.10346441947565543</v>
      </c>
      <c r="J5" s="122">
        <f>R49/R28</f>
        <v>0.11323300467047223</v>
      </c>
      <c r="L5" s="45" t="str">
        <f>'Balance Sheet'!N6</f>
        <v>Total non-current assets</v>
      </c>
      <c r="M5" s="35">
        <f>'Balance Sheet'!O6</f>
        <v>0</v>
      </c>
      <c r="N5" s="50">
        <f>'Balance Sheet'!P6</f>
        <v>40466</v>
      </c>
      <c r="O5" s="50">
        <f>'Balance Sheet'!S6</f>
        <v>41951</v>
      </c>
      <c r="P5" s="50">
        <f>'Balance Sheet'!V6</f>
        <v>38797</v>
      </c>
      <c r="Q5" s="50">
        <f>'Balance Sheet'!Y6</f>
        <v>39426</v>
      </c>
      <c r="R5" s="65">
        <f>'Balance Sheet'!AB6</f>
        <v>39123</v>
      </c>
    </row>
    <row r="6" spans="4:27" x14ac:dyDescent="0.2">
      <c r="D6" s="98" t="s">
        <v>176</v>
      </c>
      <c r="E6" s="108" t="e">
        <f>M28/M11</f>
        <v>#DIV/0!</v>
      </c>
      <c r="F6" s="123">
        <f>N28/N11</f>
        <v>0.6423908869832331</v>
      </c>
      <c r="G6" s="123">
        <f>O28/O11</f>
        <v>0.57857543636170627</v>
      </c>
      <c r="H6" s="123">
        <f>P28/P11</f>
        <v>0.60955194485475139</v>
      </c>
      <c r="I6" s="123">
        <f>Q28/Q11</f>
        <v>0.58552631578947367</v>
      </c>
      <c r="J6" s="124">
        <f>R28/R11</f>
        <v>0.52990998588373328</v>
      </c>
      <c r="L6" s="44" t="str">
        <f>'Balance Sheet'!N7</f>
        <v>Inventories</v>
      </c>
      <c r="M6" s="34">
        <f>'Balance Sheet'!O7</f>
        <v>0</v>
      </c>
      <c r="N6" s="49">
        <f>'Balance Sheet'!P7</f>
        <v>5368</v>
      </c>
      <c r="O6" s="49">
        <f>'Balance Sheet'!S7</f>
        <v>5411</v>
      </c>
      <c r="P6" s="49">
        <f>'Balance Sheet'!V7</f>
        <v>4519</v>
      </c>
      <c r="Q6" s="49">
        <f>'Balance Sheet'!Y7</f>
        <v>4346</v>
      </c>
      <c r="R6" s="64">
        <f>'Balance Sheet'!AB7</f>
        <v>3971</v>
      </c>
    </row>
    <row r="7" spans="4:27" x14ac:dyDescent="0.2">
      <c r="D7" s="98" t="s">
        <v>177</v>
      </c>
      <c r="E7" s="109" t="e">
        <f>M11/M16</f>
        <v>#DIV/0!</v>
      </c>
      <c r="F7" s="125">
        <f>N11/N16</f>
        <v>2.5558781435289308</v>
      </c>
      <c r="G7" s="125">
        <f>O11/O16</f>
        <v>2.1081521739130435</v>
      </c>
      <c r="H7" s="125">
        <f>P11/P16</f>
        <v>2.1679549469964665</v>
      </c>
      <c r="I7" s="125">
        <f>Q11/Q16</f>
        <v>2.2368360542653485</v>
      </c>
      <c r="J7" s="126">
        <f>R11/R16</f>
        <v>1.9405528478423282</v>
      </c>
      <c r="L7" s="44" t="str">
        <f>'Balance Sheet'!N8</f>
        <v>Accounts receivable</v>
      </c>
      <c r="M7" s="34">
        <f>'Balance Sheet'!O8</f>
        <v>0</v>
      </c>
      <c r="N7" s="49">
        <f>'Balance Sheet'!P8</f>
        <v>9836</v>
      </c>
      <c r="O7" s="49">
        <f>'Balance Sheet'!S8</f>
        <v>9364</v>
      </c>
      <c r="P7" s="49">
        <f>'Balance Sheet'!V8</f>
        <v>8388</v>
      </c>
      <c r="Q7" s="49">
        <f>'Balance Sheet'!Y8</f>
        <v>7514</v>
      </c>
      <c r="R7" s="64">
        <f>'Balance Sheet'!AB8</f>
        <v>6829</v>
      </c>
    </row>
    <row r="8" spans="4:27" x14ac:dyDescent="0.2">
      <c r="D8" s="99" t="s">
        <v>178</v>
      </c>
      <c r="E8" s="110"/>
      <c r="F8" s="127"/>
      <c r="G8" s="127"/>
      <c r="H8" s="127"/>
      <c r="I8" s="127"/>
      <c r="J8" s="128"/>
      <c r="L8" s="44" t="str">
        <f>'Balance Sheet'!N9</f>
        <v>Other current assets</v>
      </c>
      <c r="M8" s="34">
        <f>'Balance Sheet'!O9</f>
        <v>0</v>
      </c>
      <c r="N8" s="49">
        <f>'Balance Sheet'!P9</f>
        <v>2200</v>
      </c>
      <c r="O8" s="49">
        <f>'Balance Sheet'!S9</f>
        <v>2330</v>
      </c>
      <c r="P8" s="49">
        <f>'Balance Sheet'!V9</f>
        <v>2290</v>
      </c>
      <c r="Q8" s="49">
        <f>'Balance Sheet'!Y9</f>
        <v>2155</v>
      </c>
      <c r="R8" s="64">
        <f>'Balance Sheet'!AB9</f>
        <v>2002</v>
      </c>
    </row>
    <row r="9" spans="4:27" x14ac:dyDescent="0.2">
      <c r="D9" s="98" t="s">
        <v>179</v>
      </c>
      <c r="E9" s="108" t="e">
        <f t="shared" ref="E9:J9" si="0">E5*E6*E7</f>
        <v>#DIV/0!</v>
      </c>
      <c r="F9" s="121">
        <f>F5*F6*F7</f>
        <v>0.17791862604784298</v>
      </c>
      <c r="G9" s="121">
        <f t="shared" si="0"/>
        <v>0.14191176470588235</v>
      </c>
      <c r="H9" s="121">
        <f t="shared" si="0"/>
        <v>0.15345259128386338</v>
      </c>
      <c r="I9" s="121">
        <f t="shared" si="0"/>
        <v>0.13551007894535144</v>
      </c>
      <c r="J9" s="122">
        <f t="shared" si="0"/>
        <v>0.11643957451350101</v>
      </c>
      <c r="L9" s="44" t="str">
        <f>'Balance Sheet'!N10</f>
        <v>Cash and cash equivalents</v>
      </c>
      <c r="M9" s="34">
        <f>'Balance Sheet'!O10</f>
        <v>0</v>
      </c>
      <c r="N9" s="49">
        <f>'Balance Sheet'!P10</f>
        <v>4634</v>
      </c>
      <c r="O9" s="49">
        <f>'Balance Sheet'!S10</f>
        <v>6887</v>
      </c>
      <c r="P9" s="49">
        <f>'Balance Sheet'!V10</f>
        <v>4696</v>
      </c>
      <c r="Q9" s="49">
        <f>'Balance Sheet'!Y10</f>
        <v>4927</v>
      </c>
      <c r="R9" s="64">
        <f>'Balance Sheet'!AB10</f>
        <v>2622</v>
      </c>
    </row>
    <row r="10" spans="4:27" x14ac:dyDescent="0.2">
      <c r="D10" s="99" t="s">
        <v>180</v>
      </c>
      <c r="E10" s="110"/>
      <c r="F10" s="127"/>
      <c r="G10" s="127"/>
      <c r="H10" s="127"/>
      <c r="I10" s="127"/>
      <c r="J10" s="128"/>
      <c r="L10" s="45" t="str">
        <f>'Balance Sheet'!N11</f>
        <v>Total current assets</v>
      </c>
      <c r="M10" s="35">
        <f>'Balance Sheet'!O11</f>
        <v>0</v>
      </c>
      <c r="N10" s="50">
        <f>'Balance Sheet'!P11</f>
        <v>22038</v>
      </c>
      <c r="O10" s="50">
        <f>'Balance Sheet'!S11</f>
        <v>23992</v>
      </c>
      <c r="P10" s="50">
        <f>'Balance Sheet'!V11</f>
        <v>19893</v>
      </c>
      <c r="Q10" s="50">
        <f>'Balance Sheet'!Y11</f>
        <v>18942</v>
      </c>
      <c r="R10" s="65">
        <f>'Balance Sheet'!AB11</f>
        <v>15424</v>
      </c>
    </row>
    <row r="11" spans="4:27" ht="16" thickBot="1" x14ac:dyDescent="0.25">
      <c r="D11" s="100" t="s">
        <v>181</v>
      </c>
      <c r="E11" s="108" t="e">
        <f>M30/M28</f>
        <v>#DIV/0!</v>
      </c>
      <c r="F11" s="121">
        <f>N30/N28</f>
        <v>0.42077605100617654</v>
      </c>
      <c r="G11" s="121">
        <f>O30/O28</f>
        <v>0.42638848845438104</v>
      </c>
      <c r="H11" s="121">
        <f>P30/P28</f>
        <v>0.41813826527770043</v>
      </c>
      <c r="I11" s="121">
        <f>Q30/Q28</f>
        <v>0.40601591760299627</v>
      </c>
      <c r="J11" s="122">
        <f>R30/R28</f>
        <v>0.40972150147033387</v>
      </c>
      <c r="L11" s="45" t="str">
        <f>'Balance Sheet'!N12</f>
        <v>Total assets</v>
      </c>
      <c r="M11" s="36">
        <f>'Balance Sheet'!O12</f>
        <v>0</v>
      </c>
      <c r="N11" s="51">
        <f>'Balance Sheet'!P12</f>
        <v>62504</v>
      </c>
      <c r="O11" s="51">
        <f>'Balance Sheet'!S12</f>
        <v>65943</v>
      </c>
      <c r="P11" s="51">
        <f>'Balance Sheet'!V12</f>
        <v>58899</v>
      </c>
      <c r="Q11" s="51">
        <f>'Balance Sheet'!Y12</f>
        <v>58368</v>
      </c>
      <c r="R11" s="66">
        <f>'Balance Sheet'!AB12</f>
        <v>54547</v>
      </c>
    </row>
    <row r="12" spans="4:27" ht="16" thickTop="1" x14ac:dyDescent="0.2">
      <c r="D12" s="98" t="s">
        <v>182</v>
      </c>
      <c r="E12" s="111">
        <f>M36</f>
        <v>0</v>
      </c>
      <c r="F12" s="129">
        <f>N36</f>
        <v>7156</v>
      </c>
      <c r="G12" s="129">
        <f>O36</f>
        <v>6855</v>
      </c>
      <c r="H12" s="129">
        <f>P36</f>
        <v>6363</v>
      </c>
      <c r="I12" s="129">
        <f>Q36</f>
        <v>5357</v>
      </c>
      <c r="J12" s="130">
        <f>R36</f>
        <v>4741</v>
      </c>
      <c r="L12" s="44" t="str">
        <f>'Balance Sheet'!N13</f>
        <v>Issued share capital</v>
      </c>
      <c r="M12" s="34">
        <f>'Balance Sheet'!O13</f>
        <v>0</v>
      </c>
      <c r="N12" s="49">
        <f>'Balance Sheet'!P13</f>
        <v>2308</v>
      </c>
      <c r="O12" s="49">
        <f>'Balance Sheet'!S13</f>
        <v>2303</v>
      </c>
      <c r="P12" s="49">
        <f>'Balance Sheet'!V13</f>
        <v>2291</v>
      </c>
      <c r="Q12" s="49">
        <f>'Balance Sheet'!Y13</f>
        <v>2284</v>
      </c>
      <c r="R12" s="64">
        <f>'Balance Sheet'!AB13</f>
        <v>2276</v>
      </c>
    </row>
    <row r="13" spans="4:27" x14ac:dyDescent="0.2">
      <c r="D13" s="98" t="s">
        <v>183</v>
      </c>
      <c r="E13" s="112" t="e">
        <f>M37</f>
        <v>#VALUE!</v>
      </c>
      <c r="F13" s="129">
        <f>N37</f>
        <v>8027</v>
      </c>
      <c r="G13" s="129">
        <f>O37</f>
        <v>7677</v>
      </c>
      <c r="H13" s="129">
        <f>P37</f>
        <v>7080</v>
      </c>
      <c r="I13" s="129">
        <f>Q37</f>
        <v>6089</v>
      </c>
      <c r="J13" s="130">
        <f>R37</f>
        <v>5429</v>
      </c>
      <c r="L13" s="46" t="str">
        <f>'Balance Sheet'!N14</f>
        <v>Capital &amp; Other reserves</v>
      </c>
      <c r="M13" s="37">
        <f>'Balance Sheet'!O14</f>
        <v>0</v>
      </c>
      <c r="N13" s="52">
        <f>'Balance Sheet'!P14</f>
        <v>24415</v>
      </c>
      <c r="O13" s="52">
        <f>'Balance Sheet'!S14</f>
        <v>5300</v>
      </c>
      <c r="P13" s="52">
        <f>'Balance Sheet'!V14</f>
        <v>3284</v>
      </c>
      <c r="Q13" s="52">
        <f>'Balance Sheet'!Y14</f>
        <v>3998</v>
      </c>
      <c r="R13" s="67">
        <f>'Balance Sheet'!AB14</f>
        <v>6139</v>
      </c>
    </row>
    <row r="14" spans="4:27" x14ac:dyDescent="0.2">
      <c r="D14" s="98" t="s">
        <v>184</v>
      </c>
      <c r="E14" s="112" t="e">
        <f>M36/M28</f>
        <v>#DIV/0!</v>
      </c>
      <c r="F14" s="121">
        <f>N36/N28</f>
        <v>0.17822275353656106</v>
      </c>
      <c r="G14" s="121">
        <f>O36/O28</f>
        <v>0.17967132335596153</v>
      </c>
      <c r="H14" s="121">
        <f>P36/P28</f>
        <v>0.17723246615787422</v>
      </c>
      <c r="I14" s="121">
        <f>Q36/Q28</f>
        <v>0.15674742509363296</v>
      </c>
      <c r="J14" s="122">
        <f>R36/R28</f>
        <v>0.16402006573257222</v>
      </c>
      <c r="L14" s="46" t="str">
        <f>'Balance Sheet'!N15</f>
        <v>Equity portion of convertible debt</v>
      </c>
      <c r="M14" s="34">
        <f>'Balance Sheet'!O15</f>
        <v>0</v>
      </c>
      <c r="N14" s="49">
        <f>'Balance Sheet'!P15</f>
        <v>0</v>
      </c>
      <c r="O14" s="49">
        <f>'Balance Sheet'!S15</f>
        <v>0</v>
      </c>
      <c r="P14" s="49">
        <f>'Balance Sheet'!V15</f>
        <v>0</v>
      </c>
      <c r="Q14" s="49">
        <f>'Balance Sheet'!Y15</f>
        <v>0</v>
      </c>
      <c r="R14" s="64">
        <f>'Balance Sheet'!AB15</f>
        <v>0</v>
      </c>
    </row>
    <row r="15" spans="4:27" x14ac:dyDescent="0.2">
      <c r="D15" s="98" t="s">
        <v>185</v>
      </c>
      <c r="E15" s="108" t="e">
        <f>M37/M28</f>
        <v>#VALUE!</v>
      </c>
      <c r="F15" s="121">
        <f>N37/N28</f>
        <v>0.19991532177724647</v>
      </c>
      <c r="G15" s="121">
        <f>O37/O28</f>
        <v>0.20121615600345977</v>
      </c>
      <c r="H15" s="121">
        <f>P37/P28</f>
        <v>0.19720349841234472</v>
      </c>
      <c r="I15" s="121">
        <f>Q37/Q28</f>
        <v>0.17816596441947566</v>
      </c>
      <c r="J15" s="122">
        <f>R37/R28</f>
        <v>0.18782217609410137</v>
      </c>
      <c r="L15" s="44" t="str">
        <f>'Balance Sheet'!N16</f>
        <v>Retained earnings</v>
      </c>
      <c r="M15" s="34">
        <f>'Balance Sheet'!O16</f>
        <v>0</v>
      </c>
      <c r="N15" s="49">
        <f>'Balance Sheet'!P16</f>
        <v>-2268</v>
      </c>
      <c r="O15" s="49">
        <f>'Balance Sheet'!S16</f>
        <v>23677</v>
      </c>
      <c r="P15" s="49">
        <f>'Balance Sheet'!V16</f>
        <v>21593</v>
      </c>
      <c r="Q15" s="49">
        <f>'Balance Sheet'!Y16</f>
        <v>19812</v>
      </c>
      <c r="R15" s="64">
        <f>'Balance Sheet'!AB16</f>
        <v>19694</v>
      </c>
    </row>
    <row r="16" spans="4:27" x14ac:dyDescent="0.2">
      <c r="D16" s="98" t="s">
        <v>186</v>
      </c>
      <c r="E16" s="108" t="e">
        <f>M39/M28</f>
        <v>#DIV/0!</v>
      </c>
      <c r="F16" s="121">
        <f>N39/N28</f>
        <v>0.16684100418410042</v>
      </c>
      <c r="G16" s="121">
        <f>O39/O28</f>
        <v>0.16902995832568868</v>
      </c>
      <c r="H16" s="121">
        <f>P39/P28</f>
        <v>0.16525541752548606</v>
      </c>
      <c r="I16" s="121">
        <f>Q39/Q28</f>
        <v>0.14434105805243447</v>
      </c>
      <c r="J16" s="122">
        <f>R39/R28</f>
        <v>0.14983566856945166</v>
      </c>
      <c r="L16" s="45" t="str">
        <f>'Balance Sheet'!N17</f>
        <v>Total equity</v>
      </c>
      <c r="M16" s="35">
        <f>'Balance Sheet'!O17</f>
        <v>0</v>
      </c>
      <c r="N16" s="50">
        <f>'Balance Sheet'!P17</f>
        <v>24455</v>
      </c>
      <c r="O16" s="50">
        <f>'Balance Sheet'!S17</f>
        <v>31280</v>
      </c>
      <c r="P16" s="50">
        <f>'Balance Sheet'!V17</f>
        <v>27168</v>
      </c>
      <c r="Q16" s="50">
        <f>'Balance Sheet'!Y17</f>
        <v>26094</v>
      </c>
      <c r="R16" s="65">
        <f>'Balance Sheet'!AB17</f>
        <v>28109</v>
      </c>
    </row>
    <row r="17" spans="4:18" x14ac:dyDescent="0.2">
      <c r="D17" s="99" t="s">
        <v>187</v>
      </c>
      <c r="E17" s="110"/>
      <c r="F17" s="127"/>
      <c r="G17" s="127"/>
      <c r="H17" s="127"/>
      <c r="I17" s="127"/>
      <c r="J17" s="128"/>
      <c r="L17" s="44" t="str">
        <f>'Balance Sheet'!N18</f>
        <v>Borrowings &amp; similar liabilities</v>
      </c>
      <c r="M17" s="34">
        <f>'Balance Sheet'!O18</f>
        <v>0</v>
      </c>
      <c r="N17" s="49">
        <f>'Balance Sheet'!P18</f>
        <v>15021</v>
      </c>
      <c r="O17" s="49">
        <f>'Balance Sheet'!S18</f>
        <v>10910</v>
      </c>
      <c r="P17" s="49">
        <f>'Balance Sheet'!V18</f>
        <v>11592</v>
      </c>
      <c r="Q17" s="49">
        <f>'Balance Sheet'!Y18</f>
        <v>7330</v>
      </c>
      <c r="R17" s="64">
        <f>'Balance Sheet'!AB18</f>
        <v>7554</v>
      </c>
    </row>
    <row r="18" spans="4:18" x14ac:dyDescent="0.2">
      <c r="D18" s="98" t="s">
        <v>188</v>
      </c>
      <c r="E18" s="112" t="e">
        <f>(M7*360)/M28</f>
        <v>#DIV/0!</v>
      </c>
      <c r="F18" s="23">
        <f>(N7*360)/N28</f>
        <v>88.188882247459659</v>
      </c>
      <c r="G18" s="23">
        <f>(O7*360)/O28</f>
        <v>88.355830472046762</v>
      </c>
      <c r="H18" s="23">
        <f>(P7*360)/P28</f>
        <v>84.108963288953262</v>
      </c>
      <c r="I18" s="23">
        <f>(Q7*360)/Q28</f>
        <v>79.150280898876403</v>
      </c>
      <c r="J18" s="131">
        <f>(R7*360)/R28</f>
        <v>85.052413077322257</v>
      </c>
      <c r="L18" s="44" t="str">
        <f>'Balance Sheet'!N19</f>
        <v>Other non-current liabilities</v>
      </c>
      <c r="M18" s="34">
        <f>'Balance Sheet'!O19</f>
        <v>0</v>
      </c>
      <c r="N18" s="49">
        <f>'Balance Sheet'!P19</f>
        <v>4522</v>
      </c>
      <c r="O18" s="49">
        <f>'Balance Sheet'!S19</f>
        <v>4184</v>
      </c>
      <c r="P18" s="49">
        <f>'Balance Sheet'!V19</f>
        <v>3629</v>
      </c>
      <c r="Q18" s="49">
        <f>'Balance Sheet'!Y19</f>
        <v>4124</v>
      </c>
      <c r="R18" s="64">
        <f>'Balance Sheet'!AB19</f>
        <v>4662</v>
      </c>
    </row>
    <row r="19" spans="4:18" x14ac:dyDescent="0.2">
      <c r="D19" s="98" t="s">
        <v>189</v>
      </c>
      <c r="E19" s="112" t="e">
        <f>(M6*360)/M29</f>
        <v>#DIV/0!</v>
      </c>
      <c r="F19" s="23">
        <f>(N6*360)/-N29</f>
        <v>83.092402287483338</v>
      </c>
      <c r="G19" s="23">
        <f>(O6*360)/-O29</f>
        <v>89.008910212474291</v>
      </c>
      <c r="H19" s="23">
        <f>(P6*360)/-P29</f>
        <v>77.876495931067495</v>
      </c>
      <c r="I19" s="23">
        <f>(Q6*360)/-Q29</f>
        <v>77.07192118226601</v>
      </c>
      <c r="J19" s="131">
        <f>(R6*360)/-R29</f>
        <v>83.786191536748333</v>
      </c>
      <c r="L19" s="45" t="str">
        <f>'Balance Sheet'!N20</f>
        <v>Total non-current liabilities</v>
      </c>
      <c r="M19" s="35">
        <f>'Balance Sheet'!O20</f>
        <v>0</v>
      </c>
      <c r="N19" s="50">
        <f>'Balance Sheet'!P20</f>
        <v>19543</v>
      </c>
      <c r="O19" s="50">
        <f>'Balance Sheet'!S20</f>
        <v>15094</v>
      </c>
      <c r="P19" s="50">
        <f>'Balance Sheet'!V20</f>
        <v>15221</v>
      </c>
      <c r="Q19" s="50">
        <f>'Balance Sheet'!Y20</f>
        <v>11454</v>
      </c>
      <c r="R19" s="65">
        <f>'Balance Sheet'!AB20</f>
        <v>12216</v>
      </c>
    </row>
    <row r="20" spans="4:18" x14ac:dyDescent="0.2">
      <c r="D20" s="98" t="s">
        <v>190</v>
      </c>
      <c r="E20" s="112" t="e">
        <f>(M20*360)/-M29</f>
        <v>#DIV/0!</v>
      </c>
      <c r="F20" s="23">
        <f>(N20*360)/-N29</f>
        <v>144.37459689555831</v>
      </c>
      <c r="G20" s="23">
        <f>(O20*360)/-O29</f>
        <v>146.28649760109664</v>
      </c>
      <c r="H20" s="23">
        <f>(P20*360)/-P29</f>
        <v>130.90282431785542</v>
      </c>
      <c r="I20" s="23">
        <f>(Q20*360)/-Q29</f>
        <v>110.90837438423645</v>
      </c>
      <c r="J20" s="131">
        <f>(R20*360)/-R29</f>
        <v>120.58375337006213</v>
      </c>
      <c r="L20" s="44" t="str">
        <f>'Balance Sheet'!N21</f>
        <v>Accounts payable</v>
      </c>
      <c r="M20" s="34">
        <f>'Balance Sheet'!O21</f>
        <v>0</v>
      </c>
      <c r="N20" s="49">
        <f>'Balance Sheet'!P21</f>
        <v>9327</v>
      </c>
      <c r="O20" s="49">
        <f>'Balance Sheet'!S21</f>
        <v>8893</v>
      </c>
      <c r="P20" s="49">
        <f>'Balance Sheet'!V21</f>
        <v>7596</v>
      </c>
      <c r="Q20" s="49">
        <f>'Balance Sheet'!Y21</f>
        <v>6254</v>
      </c>
      <c r="R20" s="64">
        <f>'Balance Sheet'!AB21</f>
        <v>5715</v>
      </c>
    </row>
    <row r="21" spans="4:18" x14ac:dyDescent="0.2">
      <c r="D21" s="98" t="s">
        <v>191</v>
      </c>
      <c r="E21" s="112" t="e">
        <f>E18+E19-E20</f>
        <v>#DIV/0!</v>
      </c>
      <c r="F21" s="23">
        <f>F18+F19-F20</f>
        <v>26.906687639384671</v>
      </c>
      <c r="G21" s="23">
        <f t="shared" ref="G21:J21" si="1">G18+G19-G20</f>
        <v>31.078243083424411</v>
      </c>
      <c r="H21" s="23">
        <f t="shared" si="1"/>
        <v>31.082634902165324</v>
      </c>
      <c r="I21" s="23">
        <f t="shared" si="1"/>
        <v>45.313827696905975</v>
      </c>
      <c r="J21" s="131">
        <f t="shared" si="1"/>
        <v>48.254851244008464</v>
      </c>
      <c r="L21" s="47" t="str">
        <f>'Balance Sheet'!N22</f>
        <v>Bank overdraft</v>
      </c>
      <c r="M21" s="34">
        <f>'Balance Sheet'!O22</f>
        <v>0</v>
      </c>
      <c r="N21" s="49">
        <f>'Balance Sheet'!P22</f>
        <v>0</v>
      </c>
      <c r="O21" s="49">
        <f>'Balance Sheet'!S22</f>
        <v>0</v>
      </c>
      <c r="P21" s="49">
        <f>'Balance Sheet'!V22</f>
        <v>0</v>
      </c>
      <c r="Q21" s="49">
        <f>'Balance Sheet'!Y22</f>
        <v>0</v>
      </c>
      <c r="R21" s="64">
        <f>'Balance Sheet'!AB22</f>
        <v>0</v>
      </c>
    </row>
    <row r="22" spans="4:18" x14ac:dyDescent="0.2">
      <c r="D22" s="99" t="s">
        <v>192</v>
      </c>
      <c r="E22" s="107"/>
      <c r="F22" s="127"/>
      <c r="G22" s="127"/>
      <c r="H22" s="127"/>
      <c r="I22" s="127"/>
      <c r="J22" s="128"/>
      <c r="L22" s="44" t="str">
        <f>'Balance Sheet'!N23</f>
        <v>Borrowings &amp; similar liabilities</v>
      </c>
      <c r="M22" s="34">
        <f>'Balance Sheet'!O23</f>
        <v>0</v>
      </c>
      <c r="N22" s="49">
        <f>'Balance Sheet'!P23</f>
        <v>2859</v>
      </c>
      <c r="O22" s="49">
        <f>'Balance Sheet'!S23</f>
        <v>3921</v>
      </c>
      <c r="P22" s="49">
        <f>'Balance Sheet'!V23</f>
        <v>2341</v>
      </c>
      <c r="Q22" s="49">
        <f>'Balance Sheet'!Y23</f>
        <v>3133</v>
      </c>
      <c r="R22" s="64">
        <f>'Balance Sheet'!AB23</f>
        <v>2195</v>
      </c>
    </row>
    <row r="23" spans="4:18" x14ac:dyDescent="0.2">
      <c r="D23" s="98" t="s">
        <v>193</v>
      </c>
      <c r="E23" s="113" t="e">
        <f>M28/M3</f>
        <v>#DIV/0!</v>
      </c>
      <c r="F23" s="125">
        <f>N28/N3</f>
        <v>7.3256704980842908</v>
      </c>
      <c r="G23" s="125">
        <f>O28/O3</f>
        <v>7.8118345618345622</v>
      </c>
      <c r="H23" s="125">
        <f>P28/P3</f>
        <v>8.529817058683772</v>
      </c>
      <c r="I23" s="125">
        <f>Q28/Q3</f>
        <v>8.6851334180432023</v>
      </c>
      <c r="J23" s="126">
        <f>R28/R3</f>
        <v>7.5548876110820702</v>
      </c>
      <c r="L23" s="44" t="str">
        <f>'Balance Sheet'!N24</f>
        <v>Other current liabilities</v>
      </c>
      <c r="M23" s="34">
        <f>'Balance Sheet'!O24</f>
        <v>0</v>
      </c>
      <c r="N23" s="49">
        <f>'Balance Sheet'!P24</f>
        <v>6320</v>
      </c>
      <c r="O23" s="49">
        <f>'Balance Sheet'!S24</f>
        <v>6755</v>
      </c>
      <c r="P23" s="49">
        <f>'Balance Sheet'!V24</f>
        <v>6573</v>
      </c>
      <c r="Q23" s="49">
        <f>'Balance Sheet'!Y24</f>
        <v>11433</v>
      </c>
      <c r="R23" s="64">
        <f>'Balance Sheet'!AB24</f>
        <v>6312</v>
      </c>
    </row>
    <row r="24" spans="4:18" x14ac:dyDescent="0.2">
      <c r="D24" s="99" t="s">
        <v>194</v>
      </c>
      <c r="E24" s="107"/>
      <c r="F24" s="127"/>
      <c r="G24" s="127"/>
      <c r="H24" s="127"/>
      <c r="I24" s="127"/>
      <c r="J24" s="128"/>
      <c r="L24" s="45" t="str">
        <f>'Balance Sheet'!N25</f>
        <v>Total current liabilities</v>
      </c>
      <c r="M24" s="35">
        <f>'Balance Sheet'!O25</f>
        <v>0</v>
      </c>
      <c r="N24" s="50">
        <f>'Balance Sheet'!P25</f>
        <v>18506</v>
      </c>
      <c r="O24" s="50">
        <f>'Balance Sheet'!S25</f>
        <v>19569</v>
      </c>
      <c r="P24" s="50">
        <f>'Balance Sheet'!V25</f>
        <v>16510</v>
      </c>
      <c r="Q24" s="50">
        <f>'Balance Sheet'!Y25</f>
        <v>20820</v>
      </c>
      <c r="R24" s="65">
        <f>'Balance Sheet'!AB25</f>
        <v>14222</v>
      </c>
    </row>
    <row r="25" spans="4:18" ht="16" thickBot="1" x14ac:dyDescent="0.25">
      <c r="D25" s="98" t="s">
        <v>195</v>
      </c>
      <c r="E25" s="120" t="e">
        <f>M10/M24</f>
        <v>#DIV/0!</v>
      </c>
      <c r="F25" s="123">
        <f>N10/N24</f>
        <v>1.1908570193450774</v>
      </c>
      <c r="G25" s="123">
        <f>O10/O24</f>
        <v>1.2260207471000051</v>
      </c>
      <c r="H25" s="123">
        <f>P10/P24</f>
        <v>1.2049061175045428</v>
      </c>
      <c r="I25" s="123">
        <f>Q10/Q24</f>
        <v>0.90979827089337173</v>
      </c>
      <c r="J25" s="124">
        <f>R10/R24</f>
        <v>1.0845169455772747</v>
      </c>
      <c r="L25" s="48" t="str">
        <f>'Balance Sheet'!N26</f>
        <v>Total equity and liabilities</v>
      </c>
      <c r="M25" s="36">
        <f>'Balance Sheet'!O26</f>
        <v>0</v>
      </c>
      <c r="N25" s="51">
        <f>'Balance Sheet'!P26</f>
        <v>62504</v>
      </c>
      <c r="O25" s="51">
        <f>'Balance Sheet'!S26</f>
        <v>65943</v>
      </c>
      <c r="P25" s="51">
        <f>'Balance Sheet'!V26</f>
        <v>58899</v>
      </c>
      <c r="Q25" s="51">
        <f>'Balance Sheet'!Y26</f>
        <v>58368</v>
      </c>
      <c r="R25" s="66">
        <f>'Balance Sheet'!AB26</f>
        <v>54547</v>
      </c>
    </row>
    <row r="26" spans="4:18" ht="16" thickBot="1" x14ac:dyDescent="0.25">
      <c r="D26" s="98" t="s">
        <v>196</v>
      </c>
      <c r="E26" s="120" t="e">
        <f>(M10-M6)/M24</f>
        <v>#DIV/0!</v>
      </c>
      <c r="F26" s="123">
        <f>(N10-N6)/N24</f>
        <v>0.90078893331892362</v>
      </c>
      <c r="G26" s="123">
        <f>(O10-O6)/O24</f>
        <v>0.94951198323879604</v>
      </c>
      <c r="H26" s="123">
        <f>(P10-P6)/P24</f>
        <v>0.93119321623258633</v>
      </c>
      <c r="I26" s="123">
        <f>(Q10-Q6)/Q24</f>
        <v>0.70105667627281465</v>
      </c>
      <c r="J26" s="124">
        <f>(R10-R6)/R24</f>
        <v>0.80530164533820836</v>
      </c>
    </row>
    <row r="27" spans="4:18" x14ac:dyDescent="0.2">
      <c r="D27" s="98" t="s">
        <v>197</v>
      </c>
      <c r="E27" s="120" t="e">
        <f>M9/M24</f>
        <v>#DIV/0!</v>
      </c>
      <c r="F27" s="123">
        <f>N9/N24</f>
        <v>0.25040527396520046</v>
      </c>
      <c r="G27" s="123">
        <f>O9/O24</f>
        <v>0.35193418161377688</v>
      </c>
      <c r="H27" s="123">
        <f>P9/P24</f>
        <v>0.28443367655966079</v>
      </c>
      <c r="I27" s="123">
        <f>Q9/Q24</f>
        <v>0.23664745437079732</v>
      </c>
      <c r="J27" s="124">
        <f>R9/R24</f>
        <v>0.18436225566024469</v>
      </c>
      <c r="L27" s="148" t="s">
        <v>1</v>
      </c>
      <c r="M27" s="433" t="s">
        <v>173</v>
      </c>
      <c r="N27" s="434" t="s">
        <v>6</v>
      </c>
      <c r="O27" s="435" t="s">
        <v>9</v>
      </c>
      <c r="P27" s="436" t="s">
        <v>10</v>
      </c>
      <c r="Q27" s="437" t="s">
        <v>11</v>
      </c>
      <c r="R27" s="438" t="s">
        <v>12</v>
      </c>
    </row>
    <row r="28" spans="4:18" x14ac:dyDescent="0.2">
      <c r="D28" s="99" t="s">
        <v>198</v>
      </c>
      <c r="E28" s="107"/>
      <c r="F28" s="127"/>
      <c r="G28" s="127"/>
      <c r="H28" s="127"/>
      <c r="I28" s="127"/>
      <c r="J28" s="128"/>
      <c r="L28" s="16" t="s">
        <v>14</v>
      </c>
      <c r="M28" s="8">
        <f>'Income Statement'!N4</f>
        <v>0</v>
      </c>
      <c r="N28" s="8">
        <f>'Income Statement'!Q4</f>
        <v>40152</v>
      </c>
      <c r="O28" s="8">
        <f>'Income Statement'!T4</f>
        <v>38153</v>
      </c>
      <c r="P28" s="8">
        <f>'Income Statement'!W4</f>
        <v>35902</v>
      </c>
      <c r="Q28" s="8">
        <f>'Income Statement'!Z4</f>
        <v>34176</v>
      </c>
      <c r="R28" s="68">
        <f>'Income Statement'!AC4</f>
        <v>28905</v>
      </c>
    </row>
    <row r="29" spans="4:18" x14ac:dyDescent="0.2">
      <c r="D29" s="98" t="s">
        <v>199</v>
      </c>
      <c r="E29" s="114" t="e">
        <f>(M17+M22)/M16</f>
        <v>#DIV/0!</v>
      </c>
      <c r="F29" s="123">
        <f>(N17+N22)/N16</f>
        <v>0.73113882641586592</v>
      </c>
      <c r="G29" s="123">
        <f>(O17+O22)/O16</f>
        <v>0.4741368286445013</v>
      </c>
      <c r="H29" s="123">
        <f>(P17+P22)/P16</f>
        <v>0.51284599528857477</v>
      </c>
      <c r="I29" s="123">
        <f>(Q17+Q22)/Q16</f>
        <v>0.40097340384762781</v>
      </c>
      <c r="J29" s="124">
        <f>(R17+R22)/R16</f>
        <v>0.34682841794443059</v>
      </c>
      <c r="L29" s="16" t="s">
        <v>16</v>
      </c>
      <c r="M29" s="8">
        <f>'Income Statement'!N5</f>
        <v>0</v>
      </c>
      <c r="N29" s="8">
        <f>'Income Statement'!Q5</f>
        <v>-23257</v>
      </c>
      <c r="O29" s="8">
        <f>'Income Statement'!T5</f>
        <v>-21885</v>
      </c>
      <c r="P29" s="8">
        <f>'Income Statement'!W5</f>
        <v>-20890</v>
      </c>
      <c r="Q29" s="8">
        <f>'Income Statement'!Z5</f>
        <v>-20300</v>
      </c>
      <c r="R29" s="68">
        <f>'Income Statement'!AC5</f>
        <v>-17062</v>
      </c>
    </row>
    <row r="30" spans="4:18" x14ac:dyDescent="0.2">
      <c r="D30" s="98" t="s">
        <v>200</v>
      </c>
      <c r="E30" s="114" t="e">
        <f>(M17+M22)/M11</f>
        <v>#DIV/0!</v>
      </c>
      <c r="F30" s="123">
        <f>(N17+N22)/N11</f>
        <v>0.28606169205170867</v>
      </c>
      <c r="G30" s="123">
        <f>(O17+O22)/O11</f>
        <v>0.22490635852175364</v>
      </c>
      <c r="H30" s="123">
        <f>(P17+P22)/P11</f>
        <v>0.23655749673169324</v>
      </c>
      <c r="I30" s="123">
        <f>(Q17+Q22)/Q11</f>
        <v>0.17925918311403508</v>
      </c>
      <c r="J30" s="124">
        <f>(R17+R22)/R11</f>
        <v>0.17872660274625551</v>
      </c>
      <c r="L30" s="17" t="s">
        <v>18</v>
      </c>
      <c r="M30" s="9">
        <f>'Income Statement'!N6</f>
        <v>0</v>
      </c>
      <c r="N30" s="9">
        <f>'Income Statement'!Q6</f>
        <v>16895</v>
      </c>
      <c r="O30" s="9">
        <f>'Income Statement'!T6</f>
        <v>16268</v>
      </c>
      <c r="P30" s="9">
        <f>'Income Statement'!W6</f>
        <v>15012</v>
      </c>
      <c r="Q30" s="9">
        <f>'Income Statement'!Z6</f>
        <v>13876</v>
      </c>
      <c r="R30" s="69">
        <f>'Income Statement'!AC6</f>
        <v>11843</v>
      </c>
    </row>
    <row r="31" spans="4:18" x14ac:dyDescent="0.2">
      <c r="D31" s="98" t="s">
        <v>201</v>
      </c>
      <c r="E31" s="109" t="e">
        <f>M39/ABS(M41)</f>
        <v>#DIV/0!</v>
      </c>
      <c r="F31" s="125">
        <f>N39/ABS(N41)</f>
        <v>14.162790697674419</v>
      </c>
      <c r="G31" s="125">
        <f>O39/ABS(O41)</f>
        <v>14.825287356321839</v>
      </c>
      <c r="H31" s="125">
        <f>P39/ABS(P41)</f>
        <v>15.330749354005167</v>
      </c>
      <c r="I31" s="125">
        <f>Q39/ABS(Q41)</f>
        <v>37.946153846153848</v>
      </c>
      <c r="J31" s="126">
        <f>R39/ABS(R41)</f>
        <v>43.747474747474747</v>
      </c>
      <c r="L31" s="16" t="s">
        <v>20</v>
      </c>
      <c r="M31" s="8">
        <f>'Income Statement'!N7</f>
        <v>0</v>
      </c>
      <c r="N31" s="8">
        <f>'Income Statement'!Q7</f>
        <v>-1365</v>
      </c>
      <c r="O31" s="8">
        <f>'Income Statement'!T7</f>
        <v>-1308</v>
      </c>
      <c r="P31" s="8">
        <f>'Income Statement'!W7</f>
        <v>-1168</v>
      </c>
      <c r="Q31" s="8">
        <f>'Income Statement'!Z7</f>
        <v>-1040</v>
      </c>
      <c r="R31" s="68">
        <f>'Income Statement'!AC7</f>
        <v>-855</v>
      </c>
    </row>
    <row r="32" spans="4:18" x14ac:dyDescent="0.2">
      <c r="D32" s="98" t="s">
        <v>203</v>
      </c>
      <c r="E32" s="109" t="e">
        <f>(M19+M21-M9)/M36</f>
        <v>#DIV/0!</v>
      </c>
      <c r="F32" s="125">
        <f>(N19+N21-N9)/N36</f>
        <v>2.0834264952487422</v>
      </c>
      <c r="G32" s="125">
        <f>(O19+O21-O9)/O36</f>
        <v>1.1972283005105762</v>
      </c>
      <c r="H32" s="125">
        <f>(P19+P21-P9)/P36</f>
        <v>1.6540939808266542</v>
      </c>
      <c r="I32" s="125">
        <f>(Q19+Q21-Q9)/Q36</f>
        <v>1.2184058241553108</v>
      </c>
      <c r="J32" s="126">
        <f>(R19+R21-R9)/R36</f>
        <v>2.0236237080784645</v>
      </c>
      <c r="L32" s="16" t="s">
        <v>21</v>
      </c>
      <c r="M32" s="8">
        <f>'Income Statement'!N8</f>
        <v>0</v>
      </c>
      <c r="N32" s="8">
        <f>'Income Statement'!Q8</f>
        <v>-8010</v>
      </c>
      <c r="O32" s="8">
        <f>'Income Statement'!T8</f>
        <v>-7877</v>
      </c>
      <c r="P32" s="8">
        <f>'Income Statement'!W8</f>
        <v>-7432</v>
      </c>
      <c r="Q32" s="8">
        <f>'Income Statement'!Z8</f>
        <v>-6819</v>
      </c>
      <c r="R32" s="68">
        <f>'Income Statement'!AC8</f>
        <v>-6001</v>
      </c>
    </row>
    <row r="33" spans="4:18" x14ac:dyDescent="0.2">
      <c r="D33" s="98" t="s">
        <v>204</v>
      </c>
      <c r="E33" s="109" t="e">
        <f>(M19+M21-M9)/M37</f>
        <v>#VALUE!</v>
      </c>
      <c r="F33" s="125">
        <f>(N19+N21-N9)/N37</f>
        <v>1.8573564220754952</v>
      </c>
      <c r="G33" s="125">
        <f>(O19+O21-O9)/O37</f>
        <v>1.0690373843949459</v>
      </c>
      <c r="H33" s="125">
        <f>(P19+P21-P9)/P37</f>
        <v>1.4865819209039548</v>
      </c>
      <c r="I33" s="125">
        <f>(Q19+Q21-Q9)/Q37</f>
        <v>1.0719329939234685</v>
      </c>
      <c r="J33" s="126">
        <f>(R19+R21-R9)/R37</f>
        <v>1.7671762755571929</v>
      </c>
      <c r="L33" s="17" t="s">
        <v>23</v>
      </c>
      <c r="M33" s="9">
        <f>'Income Statement'!N9</f>
        <v>0</v>
      </c>
      <c r="N33" s="9">
        <f>'Income Statement'!Q9</f>
        <v>7520</v>
      </c>
      <c r="O33" s="9">
        <f>'Income Statement'!T9</f>
        <v>7083</v>
      </c>
      <c r="P33" s="9">
        <f>'Income Statement'!W9</f>
        <v>6412</v>
      </c>
      <c r="Q33" s="9">
        <f>'Income Statement'!Z9</f>
        <v>6017</v>
      </c>
      <c r="R33" s="69">
        <f>'Income Statement'!AC9</f>
        <v>4987</v>
      </c>
    </row>
    <row r="34" spans="4:18" x14ac:dyDescent="0.2">
      <c r="D34" s="99" t="s">
        <v>206</v>
      </c>
      <c r="E34" s="107"/>
      <c r="F34" s="127"/>
      <c r="G34" s="127"/>
      <c r="H34" s="127"/>
      <c r="I34" s="127"/>
      <c r="J34" s="128"/>
      <c r="L34" s="16" t="s">
        <v>25</v>
      </c>
      <c r="M34" s="8">
        <f>'Income Statement'!N10</f>
        <v>0</v>
      </c>
      <c r="N34" s="8">
        <f>'Income Statement'!Q10</f>
        <v>-77</v>
      </c>
      <c r="O34" s="8">
        <f>'Income Statement'!T10</f>
        <v>-87</v>
      </c>
      <c r="P34" s="8">
        <f>'Income Statement'!W10</f>
        <v>98</v>
      </c>
      <c r="Q34" s="8">
        <f>'Income Statement'!Z10</f>
        <v>-433</v>
      </c>
      <c r="R34" s="68">
        <f>'Income Statement'!AC10</f>
        <v>-21</v>
      </c>
    </row>
    <row r="35" spans="4:18" x14ac:dyDescent="0.2">
      <c r="D35" s="98" t="s">
        <v>207</v>
      </c>
      <c r="E35" s="108" t="e">
        <f>E47/M50</f>
        <v>#DIV/0!</v>
      </c>
      <c r="F35" s="121">
        <f>F47/N50</f>
        <v>0.5263031467691569</v>
      </c>
      <c r="G35" s="121">
        <f>G47/O50</f>
        <v>0.45982665729679084</v>
      </c>
      <c r="H35" s="121">
        <f>H47/P50</f>
        <v>0.44141893579815139</v>
      </c>
      <c r="I35" s="121">
        <f>I47/Q50</f>
        <v>0.46534368708656887</v>
      </c>
      <c r="J35" s="122">
        <f>J47/R50</f>
        <v>0.45162297128589263</v>
      </c>
      <c r="L35" s="16" t="s">
        <v>26</v>
      </c>
      <c r="M35" s="8">
        <f>'Income Statement'!N11</f>
        <v>0</v>
      </c>
      <c r="N35" s="8">
        <f>'Income Statement'!Q11</f>
        <v>-287</v>
      </c>
      <c r="O35" s="8">
        <f>'Income Statement'!T11</f>
        <v>-141</v>
      </c>
      <c r="P35" s="8">
        <f>'Income Statement'!W11</f>
        <v>-147</v>
      </c>
      <c r="Q35" s="8">
        <f>'Income Statement'!Z11</f>
        <v>-227</v>
      </c>
      <c r="R35" s="68">
        <f>'Income Statement'!AC11</f>
        <v>-225</v>
      </c>
    </row>
    <row r="36" spans="4:18" x14ac:dyDescent="0.2">
      <c r="D36" s="98" t="s">
        <v>208</v>
      </c>
      <c r="E36" s="108" t="e">
        <f t="shared" ref="E36:J36" si="2">E47/E45/E46</f>
        <v>#DIV/0!</v>
      </c>
      <c r="F36" s="121">
        <f t="shared" si="2"/>
        <v>1.6602410887864846E-2</v>
      </c>
      <c r="G36" s="121">
        <f t="shared" si="2"/>
        <v>1.4525864931625481E-2</v>
      </c>
      <c r="H36" s="121">
        <f t="shared" si="2"/>
        <v>1.7362445763872716E-2</v>
      </c>
      <c r="I36" s="121">
        <f t="shared" si="2"/>
        <v>2.2177870031742077E-2</v>
      </c>
      <c r="J36" s="122">
        <f t="shared" si="2"/>
        <v>1.5083777772276132E-2</v>
      </c>
      <c r="L36" s="17" t="s">
        <v>28</v>
      </c>
      <c r="M36" s="9">
        <f>'Income Statement'!N12</f>
        <v>0</v>
      </c>
      <c r="N36" s="9">
        <f>'Income Statement'!Q12</f>
        <v>7156</v>
      </c>
      <c r="O36" s="9">
        <f>'Income Statement'!T12</f>
        <v>6855</v>
      </c>
      <c r="P36" s="9">
        <f>'Income Statement'!W12</f>
        <v>6363</v>
      </c>
      <c r="Q36" s="9">
        <f>'Income Statement'!Z12</f>
        <v>5357</v>
      </c>
      <c r="R36" s="69">
        <f>'Income Statement'!AC12</f>
        <v>4741</v>
      </c>
    </row>
    <row r="37" spans="4:18" x14ac:dyDescent="0.2">
      <c r="D37" s="98" t="s">
        <v>209</v>
      </c>
      <c r="E37" s="112" t="e">
        <f>M50/E45</f>
        <v>#DIV/0!</v>
      </c>
      <c r="F37" s="132">
        <f>N50/F45</f>
        <v>7.410000000000001</v>
      </c>
      <c r="G37" s="132">
        <f>O50/G45</f>
        <v>7.6100000000000012</v>
      </c>
      <c r="H37" s="132">
        <f>P50/H45</f>
        <v>7.15</v>
      </c>
      <c r="I37" s="132">
        <f>Q50/I45</f>
        <v>6.23</v>
      </c>
      <c r="J37" s="133">
        <f>R50/J45</f>
        <v>5.76</v>
      </c>
      <c r="L37" s="90" t="s">
        <v>30</v>
      </c>
      <c r="M37" s="9" t="e">
        <f>'Income Statement'!N13</f>
        <v>#VALUE!</v>
      </c>
      <c r="N37" s="9">
        <f>'Income Statement'!Q13</f>
        <v>8027</v>
      </c>
      <c r="O37" s="9">
        <f>'Income Statement'!T13</f>
        <v>7677</v>
      </c>
      <c r="P37" s="9">
        <f>'Income Statement'!W13</f>
        <v>7080</v>
      </c>
      <c r="Q37" s="9">
        <f>'Income Statement'!Z13</f>
        <v>6089</v>
      </c>
      <c r="R37" s="69">
        <f>'Income Statement'!AC13</f>
        <v>5429</v>
      </c>
    </row>
    <row r="38" spans="4:18" x14ac:dyDescent="0.2">
      <c r="D38" s="98" t="s">
        <v>210</v>
      </c>
      <c r="E38" s="112" t="e">
        <f t="shared" ref="E38:J38" si="3">E46/E37</f>
        <v>#DIV/0!</v>
      </c>
      <c r="F38" s="132">
        <f t="shared" si="3"/>
        <v>31.700404858299592</v>
      </c>
      <c r="G38" s="132">
        <f t="shared" si="3"/>
        <v>31.655716162943492</v>
      </c>
      <c r="H38" s="132">
        <f t="shared" si="3"/>
        <v>25.423776223776223</v>
      </c>
      <c r="I38" s="132">
        <f t="shared" si="3"/>
        <v>20.98234349919743</v>
      </c>
      <c r="J38" s="133">
        <f t="shared" si="3"/>
        <v>29.940972222222225</v>
      </c>
      <c r="L38" s="16" t="s">
        <v>32</v>
      </c>
      <c r="M38" s="8">
        <f>'Income Statement'!N14</f>
        <v>0</v>
      </c>
      <c r="N38" s="8">
        <f>'Income Statement'!Q14</f>
        <v>-457</v>
      </c>
      <c r="O38" s="8">
        <f>'Income Statement'!T14</f>
        <v>-406</v>
      </c>
      <c r="P38" s="8">
        <f>'Income Statement'!W14</f>
        <v>-430</v>
      </c>
      <c r="Q38" s="8">
        <f>'Income Statement'!Z14</f>
        <v>-424</v>
      </c>
      <c r="R38" s="68">
        <f>'Income Statement'!AC14</f>
        <v>-410</v>
      </c>
    </row>
    <row r="39" spans="4:18" x14ac:dyDescent="0.2">
      <c r="D39" s="98" t="s">
        <v>211</v>
      </c>
      <c r="E39" s="112" t="e">
        <f>(E45*E46)/M16</f>
        <v>#DIV/0!</v>
      </c>
      <c r="F39" s="132">
        <f>(F45*F46)/N16</f>
        <v>5.3963927795993127</v>
      </c>
      <c r="G39" s="132">
        <f>(G45*G46)/O16</f>
        <v>4.3202766080436632</v>
      </c>
      <c r="H39" s="132">
        <f>(H45*H46)/P16</f>
        <v>3.7460017750212096</v>
      </c>
      <c r="I39" s="132">
        <f>(I45*I46)/Q16</f>
        <v>2.7958767665635569</v>
      </c>
      <c r="J39" s="133">
        <f>(J45*J46)/R16</f>
        <v>3.4128170692660715</v>
      </c>
      <c r="L39" s="17" t="s">
        <v>33</v>
      </c>
      <c r="M39" s="9">
        <f>'Income Statement'!N15</f>
        <v>0</v>
      </c>
      <c r="N39" s="9">
        <f>'Income Statement'!Q15</f>
        <v>6699</v>
      </c>
      <c r="O39" s="9">
        <f>'Income Statement'!T15</f>
        <v>6449</v>
      </c>
      <c r="P39" s="9">
        <f>'Income Statement'!W15</f>
        <v>5933</v>
      </c>
      <c r="Q39" s="9">
        <f>'Income Statement'!Z15</f>
        <v>4933</v>
      </c>
      <c r="R39" s="69">
        <f>'Income Statement'!AC15</f>
        <v>4331</v>
      </c>
    </row>
    <row r="40" spans="4:18" x14ac:dyDescent="0.2">
      <c r="D40" s="98" t="s">
        <v>95</v>
      </c>
      <c r="E40" s="115">
        <f>(M19+M21-M9)</f>
        <v>0</v>
      </c>
      <c r="F40" s="134">
        <f>(N19+N21-N9)</f>
        <v>14909</v>
      </c>
      <c r="G40" s="134">
        <f>(O19+O21-O9)</f>
        <v>8207</v>
      </c>
      <c r="H40" s="134">
        <f>(P19+P21-P9)</f>
        <v>10525</v>
      </c>
      <c r="I40" s="134">
        <f>(Q19+Q21-Q9)</f>
        <v>6527</v>
      </c>
      <c r="J40" s="135">
        <f>(R19+R21-R9)</f>
        <v>9594</v>
      </c>
      <c r="L40" s="16" t="s">
        <v>34</v>
      </c>
      <c r="M40" s="8">
        <f>'Income Statement'!N16</f>
        <v>0</v>
      </c>
      <c r="N40" s="8">
        <f>'Income Statement'!Q16</f>
        <v>152</v>
      </c>
      <c r="O40" s="8">
        <f>'Income Statement'!T16</f>
        <v>174</v>
      </c>
      <c r="P40" s="8">
        <f>'Income Statement'!W16</f>
        <v>79</v>
      </c>
      <c r="Q40" s="8">
        <f>'Income Statement'!Z16</f>
        <v>24</v>
      </c>
      <c r="R40" s="68">
        <f>'Income Statement'!AC16</f>
        <v>4</v>
      </c>
    </row>
    <row r="41" spans="4:18" x14ac:dyDescent="0.2">
      <c r="D41" s="98" t="s">
        <v>212</v>
      </c>
      <c r="E41" s="112" t="e">
        <f t="shared" ref="E41:J41" si="4">(E45*E46)+E40</f>
        <v>#DIV/0!</v>
      </c>
      <c r="F41" s="134">
        <f t="shared" si="4"/>
        <v>146877.7854251012</v>
      </c>
      <c r="G41" s="134">
        <f t="shared" si="4"/>
        <v>143345.25229960578</v>
      </c>
      <c r="H41" s="134">
        <f t="shared" si="4"/>
        <v>112296.37622377623</v>
      </c>
      <c r="I41" s="134">
        <f t="shared" si="4"/>
        <v>79482.608346709458</v>
      </c>
      <c r="J41" s="135">
        <f t="shared" si="4"/>
        <v>105524.875</v>
      </c>
      <c r="L41" s="16" t="s">
        <v>35</v>
      </c>
      <c r="M41" s="8">
        <f>'Income Statement'!N17</f>
        <v>0</v>
      </c>
      <c r="N41" s="8">
        <f>'Income Statement'!Q17</f>
        <v>-473</v>
      </c>
      <c r="O41" s="8">
        <f>'Income Statement'!T17</f>
        <v>-435</v>
      </c>
      <c r="P41" s="8">
        <f>'Income Statement'!W17</f>
        <v>-387</v>
      </c>
      <c r="Q41" s="8">
        <f>'Income Statement'!Z17</f>
        <v>-130</v>
      </c>
      <c r="R41" s="68">
        <f>'Income Statement'!AC17</f>
        <v>-99</v>
      </c>
    </row>
    <row r="42" spans="4:18" x14ac:dyDescent="0.2">
      <c r="D42" s="98" t="s">
        <v>213</v>
      </c>
      <c r="E42" s="112" t="e">
        <f t="shared" ref="E42:J42" si="5">E41/E12</f>
        <v>#DIV/0!</v>
      </c>
      <c r="F42" s="132">
        <f t="shared" si="5"/>
        <v>20.525123731847568</v>
      </c>
      <c r="G42" s="132">
        <f t="shared" si="5"/>
        <v>20.911050663691579</v>
      </c>
      <c r="H42" s="132">
        <f t="shared" si="5"/>
        <v>17.648338240417448</v>
      </c>
      <c r="I42" s="132">
        <f t="shared" si="5"/>
        <v>14.837149215364843</v>
      </c>
      <c r="J42" s="133">
        <f t="shared" si="5"/>
        <v>22.257936089432608</v>
      </c>
      <c r="L42" s="18" t="s">
        <v>36</v>
      </c>
      <c r="M42" s="22">
        <f>'Income Statement'!N18</f>
        <v>0</v>
      </c>
      <c r="N42" s="22">
        <f>'Income Statement'!Q18</f>
        <v>-321</v>
      </c>
      <c r="O42" s="22">
        <f>'Income Statement'!T18</f>
        <v>-261</v>
      </c>
      <c r="P42" s="22">
        <f>'Income Statement'!W18</f>
        <v>-308</v>
      </c>
      <c r="Q42" s="22">
        <f>'Income Statement'!Z18</f>
        <v>-106</v>
      </c>
      <c r="R42" s="70">
        <f>'Income Statement'!AC18</f>
        <v>-95</v>
      </c>
    </row>
    <row r="43" spans="4:18" x14ac:dyDescent="0.2">
      <c r="D43" s="98" t="s">
        <v>214</v>
      </c>
      <c r="E43" s="116" t="e">
        <f>E41/E13</f>
        <v>#DIV/0!</v>
      </c>
      <c r="F43" s="132">
        <f>F41/F13</f>
        <v>18.297967537697922</v>
      </c>
      <c r="G43" s="132">
        <f t="shared" ref="G43:J43" si="6">G41/G13</f>
        <v>18.672040158864892</v>
      </c>
      <c r="H43" s="132">
        <f t="shared" si="6"/>
        <v>15.861070088103986</v>
      </c>
      <c r="I43" s="132">
        <f t="shared" si="6"/>
        <v>13.053474847546306</v>
      </c>
      <c r="J43" s="133">
        <f t="shared" si="6"/>
        <v>19.437258242770309</v>
      </c>
      <c r="L43" s="16" t="s">
        <v>37</v>
      </c>
      <c r="M43" s="8">
        <f>'Income Statement'!N19</f>
        <v>0</v>
      </c>
      <c r="N43" s="8">
        <f>'Income Statement'!Q19</f>
        <v>-198</v>
      </c>
      <c r="O43" s="8">
        <f>'Income Statement'!T19</f>
        <v>-148</v>
      </c>
      <c r="P43" s="8">
        <f>'Income Statement'!W19</f>
        <v>-222</v>
      </c>
      <c r="Q43" s="8">
        <f>'Income Statement'!Z19</f>
        <v>-109</v>
      </c>
      <c r="R43" s="68">
        <f>'Income Statement'!AC19</f>
        <v>-81</v>
      </c>
    </row>
    <row r="44" spans="4:18" ht="16" thickBot="1" x14ac:dyDescent="0.25">
      <c r="D44" s="101" t="s">
        <v>215</v>
      </c>
      <c r="E44" s="112" t="e">
        <f>(M39*(1-M55))/'Balance Sheet'!Q51</f>
        <v>#DIV/0!</v>
      </c>
      <c r="F44" s="136">
        <f>(N39*(1-N55))/'Balance Sheet'!R51</f>
        <v>0.12130375038313677</v>
      </c>
      <c r="G44" s="136">
        <f>(O39*(1-O55))/'Balance Sheet'!T51</f>
        <v>0.11418019963970387</v>
      </c>
      <c r="H44" s="136">
        <f>(P39*(1-P55))/'Balance Sheet'!V51</f>
        <v>0.11295273161806542</v>
      </c>
      <c r="I44" s="136">
        <f>(Q39*(1-Q55))/'Balance Sheet'!X51</f>
        <v>0.10255676400009361</v>
      </c>
      <c r="J44" s="137">
        <f>(R39*(1-R55))/'Balance Sheet'!Z51</f>
        <v>8.3314491664936929E-2</v>
      </c>
      <c r="L44" s="17" t="s">
        <v>38</v>
      </c>
      <c r="M44" s="10">
        <f>'Income Statement'!N20</f>
        <v>0</v>
      </c>
      <c r="N44" s="10">
        <f>'Income Statement'!Q20</f>
        <v>-519</v>
      </c>
      <c r="O44" s="10">
        <f>'Income Statement'!T20</f>
        <v>-409</v>
      </c>
      <c r="P44" s="10">
        <f>'Income Statement'!W20</f>
        <v>-530</v>
      </c>
      <c r="Q44" s="10">
        <f>'Income Statement'!Z20</f>
        <v>-215</v>
      </c>
      <c r="R44" s="71">
        <f>'Income Statement'!AC20</f>
        <v>-176</v>
      </c>
    </row>
    <row r="45" spans="4:18" x14ac:dyDescent="0.2">
      <c r="D45" s="102" t="s">
        <v>216</v>
      </c>
      <c r="E45" s="117" t="e">
        <f>M50/M52</f>
        <v>#DIV/0!</v>
      </c>
      <c r="F45" s="138">
        <f>N50/N52</f>
        <v>561.80836707152491</v>
      </c>
      <c r="G45" s="138">
        <f>O50/O52</f>
        <v>560.97240473061754</v>
      </c>
      <c r="H45" s="138">
        <f>P50/P52</f>
        <v>559.86013986013984</v>
      </c>
      <c r="I45" s="138">
        <f>Q50/Q52</f>
        <v>558.10593900481535</v>
      </c>
      <c r="J45" s="139">
        <f>R50/R52</f>
        <v>556.25</v>
      </c>
      <c r="L45" s="17" t="s">
        <v>39</v>
      </c>
      <c r="M45" s="11">
        <f>'Income Statement'!N21</f>
        <v>0</v>
      </c>
      <c r="N45" s="11">
        <f>'Income Statement'!Q21</f>
        <v>6180</v>
      </c>
      <c r="O45" s="11">
        <f>'Income Statement'!T21</f>
        <v>6040</v>
      </c>
      <c r="P45" s="11">
        <f>'Income Statement'!W21</f>
        <v>5403</v>
      </c>
      <c r="Q45" s="11">
        <f>'Income Statement'!Z21</f>
        <v>4718</v>
      </c>
      <c r="R45" s="72">
        <f>'Income Statement'!AC21</f>
        <v>4155</v>
      </c>
    </row>
    <row r="46" spans="4:18" x14ac:dyDescent="0.2">
      <c r="D46" s="103" t="s">
        <v>217</v>
      </c>
      <c r="E46" s="112"/>
      <c r="F46" s="140">
        <v>234.9</v>
      </c>
      <c r="G46" s="21">
        <v>240.9</v>
      </c>
      <c r="H46" s="21">
        <v>181.78</v>
      </c>
      <c r="I46" s="21">
        <v>130.72</v>
      </c>
      <c r="J46" s="141">
        <v>172.46</v>
      </c>
      <c r="L46" s="16" t="s">
        <v>40</v>
      </c>
      <c r="M46" s="8">
        <f>'Income Statement'!N22</f>
        <v>0</v>
      </c>
      <c r="N46" s="8">
        <f>'Income Statement'!Q22</f>
        <v>-1455</v>
      </c>
      <c r="O46" s="8">
        <f>'Income Statement'!T22</f>
        <v>-1398</v>
      </c>
      <c r="P46" s="8">
        <f>'Income Statement'!W22</f>
        <v>-1285</v>
      </c>
      <c r="Q46" s="8">
        <f>'Income Statement'!Z22</f>
        <v>-1211</v>
      </c>
      <c r="R46" s="68">
        <f>'Income Statement'!AC22</f>
        <v>-966</v>
      </c>
    </row>
    <row r="47" spans="4:18" x14ac:dyDescent="0.2">
      <c r="D47" s="104" t="s">
        <v>218</v>
      </c>
      <c r="E47" s="112">
        <f>-M94</f>
        <v>0</v>
      </c>
      <c r="F47" s="21">
        <f>-N94</f>
        <v>2191</v>
      </c>
      <c r="G47" s="21">
        <f>-O94</f>
        <v>1963</v>
      </c>
      <c r="H47" s="21">
        <f>-P94</f>
        <v>1767</v>
      </c>
      <c r="I47" s="21">
        <f>-Q94</f>
        <v>1618</v>
      </c>
      <c r="J47" s="141">
        <f>-R94</f>
        <v>1447</v>
      </c>
      <c r="L47" s="16" t="s">
        <v>41</v>
      </c>
      <c r="M47" s="8">
        <f>'Income Statement'!N23</f>
        <v>0</v>
      </c>
      <c r="N47" s="8">
        <f>'Income Statement'!Q23</f>
        <v>14</v>
      </c>
      <c r="O47" s="8">
        <f>'Income Statement'!T23</f>
        <v>17</v>
      </c>
      <c r="P47" s="8">
        <f>'Income Statement'!W23</f>
        <v>51</v>
      </c>
      <c r="Q47" s="8">
        <f>'Income Statement'!Z23</f>
        <v>29</v>
      </c>
      <c r="R47" s="68">
        <f>'Income Statement'!AC23</f>
        <v>84</v>
      </c>
    </row>
    <row r="48" spans="4:18" ht="16" thickBot="1" x14ac:dyDescent="0.25">
      <c r="D48" s="105" t="s">
        <v>219</v>
      </c>
      <c r="E48" s="118" t="e">
        <f>E47/E45</f>
        <v>#DIV/0!</v>
      </c>
      <c r="F48" s="142">
        <f t="shared" ref="F48:J48" si="7">F47/F45</f>
        <v>3.8999063175594526</v>
      </c>
      <c r="G48" s="142">
        <f t="shared" si="7"/>
        <v>3.4992808620285785</v>
      </c>
      <c r="H48" s="142">
        <f t="shared" si="7"/>
        <v>3.1561453909567825</v>
      </c>
      <c r="I48" s="142">
        <f t="shared" si="7"/>
        <v>2.8990911705493243</v>
      </c>
      <c r="J48" s="143">
        <f t="shared" si="7"/>
        <v>2.6013483146067418</v>
      </c>
      <c r="L48" s="16" t="s">
        <v>42</v>
      </c>
      <c r="M48" s="8">
        <f>'Income Statement'!N24</f>
        <v>0</v>
      </c>
      <c r="N48" s="8">
        <f>'Income Statement'!Q24</f>
        <v>-388</v>
      </c>
      <c r="O48" s="8">
        <f>'Income Statement'!T24</f>
        <v>-220</v>
      </c>
      <c r="P48" s="8" t="str">
        <f>'Income Statement'!W24</f>
        <v>-</v>
      </c>
      <c r="Q48" s="8" t="str">
        <f>'Income Statement'!Z24</f>
        <v>-</v>
      </c>
      <c r="R48" s="68" t="str">
        <f>'Income Statement'!AC24</f>
        <v>-</v>
      </c>
    </row>
    <row r="49" spans="7:18" ht="16" thickBot="1" x14ac:dyDescent="0.25">
      <c r="G49"/>
      <c r="L49" s="18" t="s">
        <v>44</v>
      </c>
      <c r="M49" s="12">
        <f>'Income Statement'!N25</f>
        <v>0</v>
      </c>
      <c r="N49" s="12">
        <f>'Income Statement'!Q25</f>
        <v>4351</v>
      </c>
      <c r="O49" s="12">
        <f>'Income Statement'!T25</f>
        <v>4439</v>
      </c>
      <c r="P49" s="12">
        <f>'Income Statement'!W25</f>
        <v>4169</v>
      </c>
      <c r="Q49" s="12">
        <f>'Income Statement'!Z25</f>
        <v>3536</v>
      </c>
      <c r="R49" s="73">
        <f>'Income Statement'!AC25</f>
        <v>3273</v>
      </c>
    </row>
    <row r="50" spans="7:18" ht="16" thickTop="1" x14ac:dyDescent="0.2">
      <c r="G50"/>
      <c r="L50" s="16" t="s">
        <v>45</v>
      </c>
      <c r="M50" s="13">
        <f>'Income Statement'!N26</f>
        <v>0</v>
      </c>
      <c r="N50" s="13">
        <f>'Income Statement'!Q26</f>
        <v>4163</v>
      </c>
      <c r="O50" s="13">
        <f>'Income Statement'!T26</f>
        <v>4269</v>
      </c>
      <c r="P50" s="13">
        <f>'Income Statement'!W26</f>
        <v>4003</v>
      </c>
      <c r="Q50" s="13">
        <f>'Income Statement'!Z26</f>
        <v>3477</v>
      </c>
      <c r="R50" s="74">
        <f>'Income Statement'!AC26</f>
        <v>3204</v>
      </c>
    </row>
    <row r="51" spans="7:18" x14ac:dyDescent="0.2">
      <c r="G51"/>
      <c r="H51"/>
      <c r="I51" s="4"/>
      <c r="J51" s="4"/>
      <c r="K51" s="4"/>
      <c r="L51" s="16" t="s">
        <v>46</v>
      </c>
      <c r="M51" s="14">
        <f>'Income Statement'!N27</f>
        <v>0</v>
      </c>
      <c r="N51" s="14">
        <f>'Income Statement'!Q27</f>
        <v>188</v>
      </c>
      <c r="O51" s="14">
        <f>'Income Statement'!T27</f>
        <v>170</v>
      </c>
      <c r="P51" s="14">
        <f>'Income Statement'!W27</f>
        <v>166</v>
      </c>
      <c r="Q51" s="14">
        <f>'Income Statement'!Z27</f>
        <v>59</v>
      </c>
      <c r="R51" s="75">
        <f>'Income Statement'!AC27</f>
        <v>69</v>
      </c>
    </row>
    <row r="52" spans="7:18" x14ac:dyDescent="0.2">
      <c r="G52"/>
      <c r="H52"/>
      <c r="I52" s="4"/>
      <c r="J52" s="4"/>
      <c r="K52" s="4"/>
      <c r="L52" s="16" t="s">
        <v>47</v>
      </c>
      <c r="M52" s="15">
        <f>'Income Statement'!N28</f>
        <v>0</v>
      </c>
      <c r="N52" s="15">
        <f>'Income Statement'!Q28</f>
        <v>7.41</v>
      </c>
      <c r="O52" s="15">
        <f>'Income Statement'!T28</f>
        <v>7.61</v>
      </c>
      <c r="P52" s="15">
        <f>'Income Statement'!W28</f>
        <v>7.15</v>
      </c>
      <c r="Q52" s="15">
        <f>'Income Statement'!Z28</f>
        <v>6.23</v>
      </c>
      <c r="R52" s="76">
        <f>'Income Statement'!AC28</f>
        <v>5.76</v>
      </c>
    </row>
    <row r="53" spans="7:18" ht="16" thickBot="1" x14ac:dyDescent="0.25">
      <c r="G53"/>
      <c r="H53"/>
      <c r="I53" s="4"/>
      <c r="J53" s="4"/>
      <c r="K53" s="4"/>
      <c r="L53" s="19" t="s">
        <v>48</v>
      </c>
      <c r="M53" s="20">
        <f>'Income Statement'!N29</f>
        <v>0</v>
      </c>
      <c r="N53" s="20">
        <f>'Income Statement'!Q29</f>
        <v>7.33</v>
      </c>
      <c r="O53" s="20">
        <f>'Income Statement'!T29</f>
        <v>7.53</v>
      </c>
      <c r="P53" s="20">
        <f>'Income Statement'!W29</f>
        <v>7.07</v>
      </c>
      <c r="Q53" s="20">
        <f>'Income Statement'!Z29</f>
        <v>6.15</v>
      </c>
      <c r="R53" s="77">
        <f>'Income Statement'!AC29</f>
        <v>5.67</v>
      </c>
    </row>
    <row r="54" spans="7:18" ht="16" thickBot="1" x14ac:dyDescent="0.25">
      <c r="G54"/>
      <c r="H54"/>
      <c r="I54" s="4"/>
      <c r="J54" s="4"/>
      <c r="K54" s="4"/>
    </row>
    <row r="55" spans="7:18" ht="16" thickBot="1" x14ac:dyDescent="0.25">
      <c r="G55"/>
      <c r="H55"/>
      <c r="I55" s="4"/>
      <c r="J55" s="4"/>
      <c r="K55" s="4"/>
      <c r="L55" s="91" t="s">
        <v>202</v>
      </c>
      <c r="M55" s="92" t="e">
        <f>-M46/M45</f>
        <v>#DIV/0!</v>
      </c>
      <c r="N55" s="92">
        <f>-N46/N45</f>
        <v>0.2354368932038835</v>
      </c>
      <c r="O55" s="92">
        <f t="shared" ref="O55:R55" si="8">-O46/O45</f>
        <v>0.23145695364238411</v>
      </c>
      <c r="P55" s="92">
        <f t="shared" si="8"/>
        <v>0.23783083472145106</v>
      </c>
      <c r="Q55" s="92">
        <f t="shared" si="8"/>
        <v>0.25667655786350146</v>
      </c>
      <c r="R55" s="93">
        <f t="shared" si="8"/>
        <v>0.23249097472924188</v>
      </c>
    </row>
    <row r="56" spans="7:18" x14ac:dyDescent="0.2">
      <c r="G56"/>
      <c r="H56"/>
      <c r="I56" s="4"/>
      <c r="J56" s="4"/>
      <c r="K56" s="144"/>
      <c r="L56" s="4"/>
      <c r="M56" s="4"/>
      <c r="N56" s="4"/>
    </row>
    <row r="57" spans="7:18" x14ac:dyDescent="0.2">
      <c r="G57"/>
      <c r="H57"/>
      <c r="I57" s="4"/>
      <c r="J57" s="4"/>
      <c r="K57" s="4"/>
      <c r="L57" s="4"/>
      <c r="M57" s="4"/>
      <c r="N57" s="4"/>
    </row>
    <row r="58" spans="7:18" x14ac:dyDescent="0.2">
      <c r="G58"/>
      <c r="H58"/>
      <c r="I58" s="4"/>
      <c r="J58" s="4"/>
      <c r="K58" s="4"/>
      <c r="L58" s="439" t="s">
        <v>205</v>
      </c>
      <c r="M58" s="167">
        <v>2026</v>
      </c>
      <c r="N58" s="440">
        <v>2025</v>
      </c>
      <c r="O58" s="440">
        <v>2024</v>
      </c>
      <c r="P58" s="440">
        <v>2023</v>
      </c>
      <c r="Q58" s="440">
        <v>2022</v>
      </c>
      <c r="R58" s="441">
        <v>2021</v>
      </c>
    </row>
    <row r="59" spans="7:18" x14ac:dyDescent="0.2">
      <c r="G59"/>
      <c r="H59"/>
      <c r="I59" s="4"/>
      <c r="J59" s="4"/>
      <c r="K59" s="4"/>
      <c r="L59" s="80" t="str">
        <f>'Cash Flow Statement'!P2</f>
        <v>Net income</v>
      </c>
      <c r="M59" s="78">
        <f>'Cash Flow Statement'!Q2</f>
        <v>0</v>
      </c>
      <c r="N59" s="81">
        <f>'Cash Flow Statement'!S2</f>
        <v>4351</v>
      </c>
      <c r="O59" s="81">
        <f>'Cash Flow Statement'!U2</f>
        <v>4439</v>
      </c>
      <c r="P59" s="81">
        <f>'Cash Flow Statement'!W2</f>
        <v>4169</v>
      </c>
      <c r="Q59" s="81">
        <f>'Cash Flow Statement'!Y2</f>
        <v>3536</v>
      </c>
      <c r="R59" s="82">
        <f>'Cash Flow Statement'!AA2</f>
        <v>3273</v>
      </c>
    </row>
    <row r="60" spans="7:18" x14ac:dyDescent="0.2">
      <c r="G60"/>
      <c r="H60"/>
      <c r="I60" s="4"/>
      <c r="J60" s="4"/>
      <c r="K60" s="4"/>
      <c r="L60" s="83" t="str">
        <f>'Cash Flow Statement'!P3</f>
        <v>Share of profit of equity-accounted investments</v>
      </c>
      <c r="M60" s="78">
        <f>'Cash Flow Statement'!Q3</f>
        <v>0</v>
      </c>
      <c r="N60" s="78">
        <f>'Cash Flow Statement'!S3</f>
        <v>-14</v>
      </c>
      <c r="O60" s="78">
        <f>'Cash Flow Statement'!U3</f>
        <v>-17</v>
      </c>
      <c r="P60" s="78">
        <f>'Cash Flow Statement'!W3</f>
        <v>-51</v>
      </c>
      <c r="Q60" s="78">
        <f>'Cash Flow Statement'!Y3</f>
        <v>-29</v>
      </c>
      <c r="R60" s="84">
        <f>'Cash Flow Statement'!AA3</f>
        <v>-84</v>
      </c>
    </row>
    <row r="61" spans="7:18" x14ac:dyDescent="0.2">
      <c r="G61"/>
      <c r="H61"/>
      <c r="I61" s="4"/>
      <c r="J61" s="4"/>
      <c r="K61" s="4"/>
      <c r="L61" s="83" t="str">
        <f>'Cash Flow Statement'!P4</f>
        <v>Impairment of investments in associates and joint ventures</v>
      </c>
      <c r="M61" s="78">
        <f>'Cash Flow Statement'!Q4</f>
        <v>0</v>
      </c>
      <c r="N61" s="78">
        <f>'Cash Flow Statement'!S4</f>
        <v>388</v>
      </c>
      <c r="O61" s="78">
        <f>'Cash Flow Statement'!U4</f>
        <v>220</v>
      </c>
      <c r="P61" s="78">
        <f>'Cash Flow Statement'!W4</f>
        <v>0</v>
      </c>
      <c r="Q61" s="78">
        <f>'Cash Flow Statement'!Y4</f>
        <v>0</v>
      </c>
      <c r="R61" s="84">
        <f>'Cash Flow Statement'!AA4</f>
        <v>0</v>
      </c>
    </row>
    <row r="62" spans="7:18" x14ac:dyDescent="0.2">
      <c r="G62"/>
      <c r="H62"/>
      <c r="I62" s="4"/>
      <c r="J62" s="4"/>
      <c r="K62" s="4"/>
      <c r="L62" s="83" t="str">
        <f>'Cash Flow Statement'!P5</f>
        <v>Non-cash items:</v>
      </c>
      <c r="M62" s="78">
        <f>'Cash Flow Statement'!Q5</f>
        <v>0</v>
      </c>
      <c r="N62" s="78">
        <f>'Cash Flow Statement'!S5</f>
        <v>0</v>
      </c>
      <c r="O62" s="78" t="str">
        <f>'Cash Flow Statement'!U5</f>
        <v>-</v>
      </c>
      <c r="P62" s="78">
        <f>'Cash Flow Statement'!W5</f>
        <v>743</v>
      </c>
      <c r="Q62" s="78">
        <f>'Cash Flow Statement'!Y5</f>
        <v>750</v>
      </c>
      <c r="R62" s="84">
        <f>'Cash Flow Statement'!AA5</f>
        <v>726</v>
      </c>
    </row>
    <row r="63" spans="7:18" x14ac:dyDescent="0.2">
      <c r="G63"/>
      <c r="H63"/>
      <c r="I63" s="4"/>
      <c r="J63" s="4"/>
      <c r="K63" s="4"/>
      <c r="L63" s="83" t="str">
        <f>'Cash Flow Statement'!P6</f>
        <v>Depreciation of property, plant and equipment</v>
      </c>
      <c r="M63" s="78">
        <f>'Cash Flow Statement'!Q6</f>
        <v>0</v>
      </c>
      <c r="N63" s="78">
        <f>'Cash Flow Statement'!S6</f>
        <v>871</v>
      </c>
      <c r="O63" s="78">
        <f>'Cash Flow Statement'!U6</f>
        <v>822</v>
      </c>
      <c r="P63" s="78">
        <f>'Cash Flow Statement'!W6</f>
        <v>717</v>
      </c>
      <c r="Q63" s="78">
        <f>'Cash Flow Statement'!Y6</f>
        <v>732</v>
      </c>
      <c r="R63" s="84">
        <f>'Cash Flow Statement'!AA6</f>
        <v>688</v>
      </c>
    </row>
    <row r="64" spans="7:18" x14ac:dyDescent="0.2">
      <c r="G64"/>
      <c r="H64"/>
      <c r="I64" s="4"/>
      <c r="J64" s="4"/>
      <c r="K64" s="4"/>
      <c r="L64" s="83" t="str">
        <f>'Cash Flow Statement'!P7</f>
        <v>Amortization of intangible assets</v>
      </c>
      <c r="M64" s="78">
        <f>'Cash Flow Statement'!Q7</f>
        <v>0</v>
      </c>
      <c r="N64" s="78">
        <f>'Cash Flow Statement'!S7</f>
        <v>781</v>
      </c>
      <c r="O64" s="78">
        <f>'Cash Flow Statement'!U7</f>
        <v>716</v>
      </c>
      <c r="P64" s="78">
        <f>'Cash Flow Statement'!W7</f>
        <v>60</v>
      </c>
      <c r="Q64" s="78">
        <f>'Cash Flow Statement'!Y7</f>
        <v>61</v>
      </c>
      <c r="R64" s="84">
        <f>'Cash Flow Statement'!AA7</f>
        <v>34</v>
      </c>
    </row>
    <row r="65" spans="7:25" x14ac:dyDescent="0.2">
      <c r="G65"/>
      <c r="H65"/>
      <c r="I65" s="4"/>
      <c r="J65" s="4"/>
      <c r="K65" s="4"/>
      <c r="L65" s="83" t="str">
        <f>'Cash Flow Statement'!P8</f>
        <v>Depreciation of non-current assets</v>
      </c>
      <c r="M65" s="78">
        <f>'Cash Flow Statement'!Q8</f>
        <v>0</v>
      </c>
      <c r="N65" s="78">
        <f>'Cash Flow Statement'!S8</f>
        <v>53</v>
      </c>
      <c r="O65" s="78">
        <f>'Cash Flow Statement'!U8</f>
        <v>31</v>
      </c>
      <c r="P65" s="78">
        <f>'Cash Flow Statement'!W8</f>
        <v>87</v>
      </c>
      <c r="Q65" s="78">
        <f>'Cash Flow Statement'!Y8</f>
        <v>32</v>
      </c>
      <c r="R65" s="84">
        <f>'Cash Flow Statement'!AA8</f>
        <v>-54</v>
      </c>
    </row>
    <row r="66" spans="7:25" x14ac:dyDescent="0.2">
      <c r="G66"/>
      <c r="H66"/>
      <c r="I66" s="4"/>
      <c r="J66" s="4"/>
      <c r="K66" s="4"/>
      <c r="L66" s="83" t="str">
        <f>'Cash Flow Statement'!P9</f>
        <v>Increase/(decrease) in provisions</v>
      </c>
      <c r="M66" s="78">
        <f>'Cash Flow Statement'!Q9</f>
        <v>0</v>
      </c>
      <c r="N66" s="78">
        <f>'Cash Flow Statement'!S9</f>
        <v>106</v>
      </c>
      <c r="O66" s="78">
        <f>'Cash Flow Statement'!U9</f>
        <v>93</v>
      </c>
      <c r="P66" s="78">
        <f>'Cash Flow Statement'!W9</f>
        <v>-252</v>
      </c>
      <c r="Q66" s="78">
        <f>'Cash Flow Statement'!Y9</f>
        <v>70</v>
      </c>
      <c r="R66" s="84">
        <f>'Cash Flow Statement'!AA9</f>
        <v>-184</v>
      </c>
    </row>
    <row r="67" spans="7:25" x14ac:dyDescent="0.2">
      <c r="G67"/>
      <c r="H67"/>
      <c r="I67" s="4"/>
      <c r="J67" s="4"/>
      <c r="K67" s="4"/>
      <c r="L67" s="83" t="str">
        <f>'Cash Flow Statement'!P10</f>
        <v>Gains/(losses) on disposals of activities and fixed assets</v>
      </c>
      <c r="M67" s="78">
        <f>'Cash Flow Statement'!Q10</f>
        <v>0</v>
      </c>
      <c r="N67" s="78">
        <f>'Cash Flow Statement'!S10</f>
        <v>-25</v>
      </c>
      <c r="O67" s="78">
        <f>'Cash Flow Statement'!U10</f>
        <v>-115</v>
      </c>
      <c r="P67" s="78">
        <f>'Cash Flow Statement'!W10</f>
        <v>-164</v>
      </c>
      <c r="Q67" s="78">
        <f>'Cash Flow Statement'!Y10</f>
        <v>139</v>
      </c>
      <c r="R67" s="84">
        <f>'Cash Flow Statement'!AA10</f>
        <v>-38</v>
      </c>
    </row>
    <row r="68" spans="7:25" x14ac:dyDescent="0.2">
      <c r="G68"/>
      <c r="H68"/>
      <c r="I68" s="4"/>
      <c r="J68" s="4"/>
      <c r="K68" s="4"/>
      <c r="L68" s="83" t="str">
        <f>'Cash Flow Statement'!P11</f>
        <v>Income tax expense</v>
      </c>
      <c r="M68" s="78">
        <f>'Cash Flow Statement'!Q11</f>
        <v>0</v>
      </c>
      <c r="N68" s="78">
        <f>'Cash Flow Statement'!S11</f>
        <v>1455</v>
      </c>
      <c r="O68" s="78">
        <f>'Cash Flow Statement'!U11</f>
        <v>1398</v>
      </c>
      <c r="P68" s="78">
        <f>'Cash Flow Statement'!W11</f>
        <v>0</v>
      </c>
      <c r="Q68" s="78">
        <f>'Cash Flow Statement'!Y11</f>
        <v>0</v>
      </c>
      <c r="R68" s="84">
        <f>'Cash Flow Statement'!AA11</f>
        <v>0</v>
      </c>
    </row>
    <row r="69" spans="7:25" x14ac:dyDescent="0.2">
      <c r="G69"/>
      <c r="H69"/>
      <c r="I69" s="4"/>
      <c r="J69" s="4"/>
      <c r="K69" s="4"/>
      <c r="L69" s="83" t="str">
        <f>'Cash Flow Statement'!P12</f>
        <v>Other non-cash items</v>
      </c>
      <c r="M69" s="78">
        <f>'Cash Flow Statement'!Q12</f>
        <v>0</v>
      </c>
      <c r="N69" s="78">
        <f>'Cash Flow Statement'!S12</f>
        <v>200</v>
      </c>
      <c r="O69" s="78">
        <f>'Cash Flow Statement'!U12</f>
        <v>200</v>
      </c>
      <c r="P69" s="78">
        <f>'Cash Flow Statement'!W12</f>
        <v>220</v>
      </c>
      <c r="Q69" s="78">
        <f>'Cash Flow Statement'!Y12</f>
        <v>102</v>
      </c>
      <c r="R69" s="84">
        <f>'Cash Flow Statement'!AA12</f>
        <v>108</v>
      </c>
    </row>
    <row r="70" spans="7:25" x14ac:dyDescent="0.2">
      <c r="G70"/>
      <c r="H70"/>
      <c r="I70" s="4"/>
      <c r="J70" s="4"/>
      <c r="K70" s="4"/>
      <c r="L70" s="83" t="str">
        <f>'Cash Flow Statement'!P13</f>
        <v>Income taxes paid, net</v>
      </c>
      <c r="M70" s="78">
        <f>'Cash Flow Statement'!Q13</f>
        <v>0</v>
      </c>
      <c r="N70" s="78">
        <f>'Cash Flow Statement'!S13</f>
        <v>-1418</v>
      </c>
      <c r="O70" s="78">
        <f>'Cash Flow Statement'!U13</f>
        <v>-1479</v>
      </c>
      <c r="P70" s="78">
        <f>'Cash Flow Statement'!W13</f>
        <v>0</v>
      </c>
      <c r="Q70" s="78">
        <f>'Cash Flow Statement'!Y13</f>
        <v>0</v>
      </c>
      <c r="R70" s="84">
        <f>'Cash Flow Statement'!AA13</f>
        <v>0</v>
      </c>
    </row>
    <row r="71" spans="7:25" x14ac:dyDescent="0.2">
      <c r="G71"/>
      <c r="H71"/>
      <c r="I71" s="4"/>
      <c r="J71" s="4"/>
      <c r="K71" s="4"/>
      <c r="L71" s="83" t="str">
        <f>'Cash Flow Statement'!P14</f>
        <v>Operating cash flow</v>
      </c>
      <c r="M71" s="78">
        <f>'Cash Flow Statement'!Q14</f>
        <v>0</v>
      </c>
      <c r="N71" s="78">
        <f>'Cash Flow Statement'!S14</f>
        <v>6748</v>
      </c>
      <c r="O71" s="78">
        <f>'Cash Flow Statement'!U14</f>
        <v>6308</v>
      </c>
      <c r="P71" s="78">
        <f>'Cash Flow Statement'!W14</f>
        <v>5529</v>
      </c>
      <c r="Q71" s="78">
        <f>'Cash Flow Statement'!Y14</f>
        <v>5393</v>
      </c>
      <c r="R71" s="84">
        <f>'Cash Flow Statement'!AA14</f>
        <v>4469</v>
      </c>
    </row>
    <row r="72" spans="7:25" x14ac:dyDescent="0.2">
      <c r="G72"/>
      <c r="H72"/>
      <c r="I72" s="4"/>
      <c r="J72" s="4"/>
      <c r="K72" s="4"/>
      <c r="L72" s="83" t="str">
        <f>'Cash Flow Statement'!P15</f>
        <v>Decrease/(increase) in trade receivables</v>
      </c>
      <c r="M72" s="78">
        <f>'Cash Flow Statement'!Q15</f>
        <v>0</v>
      </c>
      <c r="N72" s="78">
        <f>'Cash Flow Statement'!S15</f>
        <v>-301</v>
      </c>
      <c r="O72" s="78">
        <f>'Cash Flow Statement'!U15</f>
        <v>-199</v>
      </c>
      <c r="P72" s="78">
        <f>'Cash Flow Statement'!W15</f>
        <v>62</v>
      </c>
      <c r="Q72" s="78">
        <f>'Cash Flow Statement'!Y15</f>
        <v>-305</v>
      </c>
      <c r="R72" s="84">
        <f>'Cash Flow Statement'!AA15</f>
        <v>-577</v>
      </c>
    </row>
    <row r="73" spans="7:25" x14ac:dyDescent="0.2">
      <c r="G73"/>
      <c r="H73"/>
      <c r="I73" s="4"/>
      <c r="J73" s="4"/>
      <c r="K73" s="4"/>
      <c r="L73" s="83" t="str">
        <f>'Cash Flow Statement'!P16</f>
        <v>Decrease/(increase) in inventories</v>
      </c>
      <c r="M73" s="78">
        <f>'Cash Flow Statement'!Q16</f>
        <v>0</v>
      </c>
      <c r="N73" s="78">
        <f>'Cash Flow Statement'!S16</f>
        <v>-366</v>
      </c>
      <c r="O73" s="78">
        <f>'Cash Flow Statement'!U16</f>
        <v>-834</v>
      </c>
      <c r="P73" s="78">
        <f>'Cash Flow Statement'!W16</f>
        <v>-382</v>
      </c>
      <c r="Q73" s="78">
        <f>'Cash Flow Statement'!Y16</f>
        <v>-553</v>
      </c>
      <c r="R73" s="84">
        <f>'Cash Flow Statement'!AA16</f>
        <v>-955</v>
      </c>
    </row>
    <row r="74" spans="7:25" x14ac:dyDescent="0.2">
      <c r="G74"/>
      <c r="H74"/>
      <c r="I74" s="4"/>
      <c r="J74" s="4"/>
      <c r="K74" s="4"/>
      <c r="L74" s="83" t="str">
        <f>'Cash Flow Statement'!P17</f>
        <v>(Decrease)/increase in trade payables</v>
      </c>
      <c r="M74" s="78">
        <f>'Cash Flow Statement'!Q17</f>
        <v>0</v>
      </c>
      <c r="N74" s="78">
        <f>'Cash Flow Statement'!S17</f>
        <v>307</v>
      </c>
      <c r="O74" s="78">
        <f>'Cash Flow Statement'!U17</f>
        <v>439</v>
      </c>
      <c r="P74" s="78">
        <f>'Cash Flow Statement'!W17</f>
        <v>493</v>
      </c>
      <c r="Q74" s="78">
        <f>'Cash Flow Statement'!Y17</f>
        <v>73</v>
      </c>
      <c r="R74" s="84">
        <f>'Cash Flow Statement'!AA17</f>
        <v>418</v>
      </c>
    </row>
    <row r="75" spans="7:25" x14ac:dyDescent="0.2">
      <c r="G75"/>
      <c r="H75"/>
      <c r="I75" s="4"/>
      <c r="J75" s="4"/>
      <c r="K75" s="4"/>
      <c r="L75" s="83" t="str">
        <f>'Cash Flow Statement'!P18</f>
        <v>Decrease/(increase) in other current assets and liabilities</v>
      </c>
      <c r="M75" s="78">
        <f>'Cash Flow Statement'!Q18</f>
        <v>0</v>
      </c>
      <c r="N75" s="78">
        <f>'Cash Flow Statement'!S18</f>
        <v>-257</v>
      </c>
      <c r="O75" s="78">
        <f>'Cash Flow Statement'!U18</f>
        <v>-134</v>
      </c>
      <c r="P75" s="78">
        <f>'Cash Flow Statement'!W18</f>
        <v>205</v>
      </c>
      <c r="Q75" s="78">
        <f>'Cash Flow Statement'!Y18</f>
        <v>-254</v>
      </c>
      <c r="R75" s="84">
        <f>'Cash Flow Statement'!AA18</f>
        <v>261</v>
      </c>
    </row>
    <row r="76" spans="7:25" x14ac:dyDescent="0.2">
      <c r="G76"/>
      <c r="H76"/>
      <c r="I76" s="4"/>
      <c r="J76" s="4"/>
      <c r="K76" s="4"/>
      <c r="L76" s="83" t="str">
        <f>'Cash Flow Statement'!P19</f>
        <v>Change in working capital</v>
      </c>
      <c r="M76" s="78">
        <f>'Cash Flow Statement'!Q19</f>
        <v>0</v>
      </c>
      <c r="N76" s="78">
        <f>'Cash Flow Statement'!S19</f>
        <v>-617</v>
      </c>
      <c r="O76" s="78">
        <f>'Cash Flow Statement'!U19</f>
        <v>-728</v>
      </c>
      <c r="P76" s="78">
        <f>'Cash Flow Statement'!W19</f>
        <v>378</v>
      </c>
      <c r="Q76" s="78">
        <f>'Cash Flow Statement'!Y19</f>
        <v>-1039</v>
      </c>
      <c r="R76" s="84">
        <f>'Cash Flow Statement'!AA19</f>
        <v>-853</v>
      </c>
    </row>
    <row r="77" spans="7:25" ht="16" thickBot="1" x14ac:dyDescent="0.25">
      <c r="G77"/>
      <c r="H77"/>
      <c r="I77" s="4"/>
      <c r="J77" s="4"/>
      <c r="K77" s="4"/>
      <c r="L77" s="85" t="str">
        <f>'Cash Flow Statement'!P20</f>
        <v>TOTAL I - CASH FROM / (USED IN) OPERATING ACTIVITIES</v>
      </c>
      <c r="M77" s="86">
        <f>'Cash Flow Statement'!Q20</f>
        <v>0</v>
      </c>
      <c r="N77" s="87">
        <f>'Cash Flow Statement'!S20</f>
        <v>6131</v>
      </c>
      <c r="O77" s="87">
        <f>'Cash Flow Statement'!U20</f>
        <v>5580</v>
      </c>
      <c r="P77" s="87">
        <f>'Cash Flow Statement'!W20</f>
        <v>5907</v>
      </c>
      <c r="Q77" s="87">
        <f>'Cash Flow Statement'!Y20</f>
        <v>4354</v>
      </c>
      <c r="R77" s="88">
        <f>'Cash Flow Statement'!AA20</f>
        <v>3616</v>
      </c>
    </row>
    <row r="78" spans="7:25" ht="16" thickTop="1" x14ac:dyDescent="0.2">
      <c r="G78"/>
      <c r="H78"/>
      <c r="I78" s="4"/>
      <c r="J78" s="4"/>
      <c r="K78" s="4"/>
      <c r="L78" s="83" t="str">
        <f>'Cash Flow Statement'!P21</f>
        <v>Acquisitions of property, plant and equipment</v>
      </c>
      <c r="M78" s="78">
        <f>'Cash Flow Statement'!Q21</f>
        <v>0</v>
      </c>
      <c r="N78" s="78">
        <f>'Cash Flow Statement'!S21</f>
        <v>-1072</v>
      </c>
      <c r="O78" s="78">
        <f>'Cash Flow Statement'!U21</f>
        <v>-950</v>
      </c>
      <c r="P78" s="78">
        <f>'Cash Flow Statement'!W21</f>
        <v>-914</v>
      </c>
      <c r="Q78" s="78">
        <f>'Cash Flow Statement'!Y21</f>
        <v>-707</v>
      </c>
      <c r="R78" s="84">
        <f>'Cash Flow Statement'!AA21</f>
        <v>-543</v>
      </c>
    </row>
    <row r="79" spans="7:25" x14ac:dyDescent="0.2">
      <c r="G79"/>
      <c r="H79"/>
      <c r="I79" s="4"/>
      <c r="J79" s="4"/>
      <c r="K79" s="4"/>
      <c r="L79" s="83" t="str">
        <f>'Cash Flow Statement'!P22</f>
        <v>Acquisitions of intangible assets</v>
      </c>
      <c r="M79" s="78">
        <f>'Cash Flow Statement'!Q22</f>
        <v>0</v>
      </c>
      <c r="N79" s="78">
        <f>'Cash Flow Statement'!S22</f>
        <v>-471</v>
      </c>
      <c r="O79" s="78">
        <f>'Cash Flow Statement'!U22</f>
        <v>-469</v>
      </c>
      <c r="P79" s="78">
        <f>'Cash Flow Statement'!W22</f>
        <v>-451</v>
      </c>
      <c r="Q79" s="78">
        <f>'Cash Flow Statement'!Y22</f>
        <v>-386</v>
      </c>
      <c r="R79" s="84">
        <f>'Cash Flow Statement'!AA22</f>
        <v>-333</v>
      </c>
    </row>
    <row r="80" spans="7:25" x14ac:dyDescent="0.2">
      <c r="G80"/>
      <c r="H80"/>
      <c r="I80" s="4"/>
      <c r="J80" s="4"/>
      <c r="K80" s="4"/>
      <c r="L80" s="83" t="str">
        <f>'Cash Flow Statement'!P23</f>
        <v>Disposals of property, plant and equipment and intangibles</v>
      </c>
      <c r="M80" s="78">
        <f>'Cash Flow Statement'!Q23</f>
        <v>0</v>
      </c>
      <c r="N80" s="78">
        <f>'Cash Flow Statement'!S23</f>
        <v>47</v>
      </c>
      <c r="O80" s="78">
        <f>'Cash Flow Statement'!U23</f>
        <v>55</v>
      </c>
      <c r="P80" s="78">
        <f>'Cash Flow Statement'!W23</f>
        <v>52</v>
      </c>
      <c r="Q80" s="78">
        <f>'Cash Flow Statement'!Y23</f>
        <v>69</v>
      </c>
      <c r="R80" s="84">
        <f>'Cash Flow Statement'!AA23</f>
        <v>59</v>
      </c>
      <c r="T80" s="4"/>
      <c r="U80" s="4"/>
      <c r="V80" s="4"/>
      <c r="W80" s="4"/>
      <c r="X80" s="4"/>
      <c r="Y80" s="4"/>
    </row>
    <row r="81" spans="7:18" x14ac:dyDescent="0.2">
      <c r="G81"/>
      <c r="H81"/>
      <c r="I81" s="4"/>
      <c r="J81" s="4"/>
      <c r="K81" s="4"/>
      <c r="L81" s="83" t="str">
        <f>'Cash Flow Statement'!P24</f>
        <v>Net capital expenditure</v>
      </c>
      <c r="M81" s="78">
        <f>'Cash Flow Statement'!Q24</f>
        <v>0</v>
      </c>
      <c r="N81" s="78">
        <f>'Cash Flow Statement'!S24</f>
        <v>-1496</v>
      </c>
      <c r="O81" s="78">
        <f>'Cash Flow Statement'!U24</f>
        <v>-1364</v>
      </c>
      <c r="P81" s="78">
        <f>'Cash Flow Statement'!W24</f>
        <v>-1313</v>
      </c>
      <c r="Q81" s="78">
        <f>'Cash Flow Statement'!Y24</f>
        <v>-1024</v>
      </c>
      <c r="R81" s="84">
        <f>'Cash Flow Statement'!AA24</f>
        <v>-817</v>
      </c>
    </row>
    <row r="82" spans="7:18" x14ac:dyDescent="0.2">
      <c r="G82"/>
      <c r="H82"/>
      <c r="I82" s="4"/>
      <c r="J82" s="4"/>
      <c r="K82" s="4"/>
      <c r="L82" s="83" t="str">
        <f>'Cash Flow Statement'!P25</f>
        <v>Acquisitions and disposals of activities, net of cash acquired and divested</v>
      </c>
      <c r="M82" s="78">
        <f>'Cash Flow Statement'!Q25</f>
        <v>0</v>
      </c>
      <c r="N82" s="78">
        <f>'Cash Flow Statement'!S25</f>
        <v>-1158</v>
      </c>
      <c r="O82" s="78">
        <f>'Cash Flow Statement'!U25</f>
        <v>-452</v>
      </c>
      <c r="P82" s="78">
        <f>'Cash Flow Statement'!W25</f>
        <v>611</v>
      </c>
      <c r="Q82" s="78">
        <f>'Cash Flow Statement'!Y25</f>
        <v>-297</v>
      </c>
      <c r="R82" s="84">
        <f>'Cash Flow Statement'!AA25</f>
        <v>-4231</v>
      </c>
    </row>
    <row r="83" spans="7:18" x14ac:dyDescent="0.2">
      <c r="G83"/>
      <c r="H83"/>
      <c r="I83" s="4"/>
      <c r="J83" s="4"/>
      <c r="K83" s="4"/>
      <c r="L83" s="83" t="str">
        <f>'Cash Flow Statement'!P26</f>
        <v>Other long-term investments</v>
      </c>
      <c r="M83" s="78">
        <f>'Cash Flow Statement'!Q26</f>
        <v>0</v>
      </c>
      <c r="N83" s="78">
        <f>'Cash Flow Statement'!S26</f>
        <v>-9</v>
      </c>
      <c r="O83" s="78">
        <f>'Cash Flow Statement'!U26</f>
        <v>-91</v>
      </c>
      <c r="P83" s="78">
        <f>'Cash Flow Statement'!W26</f>
        <v>-89</v>
      </c>
      <c r="Q83" s="78">
        <f>'Cash Flow Statement'!Y26</f>
        <v>40</v>
      </c>
      <c r="R83" s="84">
        <f>'Cash Flow Statement'!AA26</f>
        <v>16</v>
      </c>
    </row>
    <row r="84" spans="7:18" x14ac:dyDescent="0.2">
      <c r="G84"/>
      <c r="H84"/>
      <c r="I84" s="4"/>
      <c r="J84" s="4"/>
      <c r="K84" s="4"/>
      <c r="L84" s="83" t="str">
        <f>'Cash Flow Statement'!P27</f>
        <v>Increase in long-term retirement assets</v>
      </c>
      <c r="M84" s="78">
        <f>'Cash Flow Statement'!Q27</f>
        <v>0</v>
      </c>
      <c r="N84" s="78">
        <f>'Cash Flow Statement'!S27</f>
        <v>-54</v>
      </c>
      <c r="O84" s="78">
        <f>'Cash Flow Statement'!U27</f>
        <v>-80</v>
      </c>
      <c r="P84" s="78">
        <f>'Cash Flow Statement'!W27</f>
        <v>-257</v>
      </c>
      <c r="Q84" s="78">
        <f>'Cash Flow Statement'!Y27</f>
        <v>-130</v>
      </c>
      <c r="R84" s="84">
        <f>'Cash Flow Statement'!AA27</f>
        <v>-136</v>
      </c>
    </row>
    <row r="85" spans="7:18" x14ac:dyDescent="0.2">
      <c r="G85"/>
      <c r="H85"/>
      <c r="I85" s="4"/>
      <c r="J85" s="4"/>
      <c r="K85" s="4"/>
      <c r="L85" s="83" t="str">
        <f>'Cash Flow Statement'!P28</f>
        <v>Sub-total</v>
      </c>
      <c r="M85" s="78">
        <f>'Cash Flow Statement'!Q28</f>
        <v>0</v>
      </c>
      <c r="N85" s="78">
        <f>'Cash Flow Statement'!S28</f>
        <v>-1221</v>
      </c>
      <c r="O85" s="78">
        <f>'Cash Flow Statement'!U28</f>
        <v>-623</v>
      </c>
      <c r="P85" s="78">
        <f>'Cash Flow Statement'!W28</f>
        <v>265</v>
      </c>
      <c r="Q85" s="78">
        <f>'Cash Flow Statement'!Y28</f>
        <v>-387</v>
      </c>
      <c r="R85" s="84">
        <f>'Cash Flow Statement'!AA28</f>
        <v>-4351</v>
      </c>
    </row>
    <row r="86" spans="7:18" ht="16" thickBot="1" x14ac:dyDescent="0.25">
      <c r="G86"/>
      <c r="H86"/>
      <c r="I86" s="4"/>
      <c r="J86" s="4"/>
      <c r="K86" s="4"/>
      <c r="L86" s="85" t="str">
        <f>'Cash Flow Statement'!P29</f>
        <v>TOTAL II - CASH FROM / (USED IN) INVESTING ACTIVITIES</v>
      </c>
      <c r="M86" s="89">
        <f>'Cash Flow Statement'!Q29</f>
        <v>0</v>
      </c>
      <c r="N86" s="87">
        <f>'Cash Flow Statement'!S29</f>
        <v>-2717</v>
      </c>
      <c r="O86" s="87">
        <f>'Cash Flow Statement'!U29</f>
        <v>-1987</v>
      </c>
      <c r="P86" s="87">
        <f>'Cash Flow Statement'!W29</f>
        <v>-1048</v>
      </c>
      <c r="Q86" s="87">
        <f>'Cash Flow Statement'!Y29</f>
        <v>-1411</v>
      </c>
      <c r="R86" s="88">
        <f>'Cash Flow Statement'!AA29</f>
        <v>-5168</v>
      </c>
    </row>
    <row r="87" spans="7:18" ht="16" thickTop="1" x14ac:dyDescent="0.2">
      <c r="G87"/>
      <c r="H87"/>
      <c r="I87" s="4"/>
      <c r="J87" s="4"/>
      <c r="K87" s="4"/>
      <c r="L87" s="83" t="str">
        <f>'Cash Flow Statement'!P30</f>
        <v>Issuance of bonds</v>
      </c>
      <c r="M87" s="78">
        <f>'Cash Flow Statement'!Q30</f>
        <v>0</v>
      </c>
      <c r="N87" s="78">
        <f>'Cash Flow Statement'!S30</f>
        <v>4864</v>
      </c>
      <c r="O87" s="78">
        <f>'Cash Flow Statement'!U30</f>
        <v>3466</v>
      </c>
      <c r="P87" s="78">
        <f>'Cash Flow Statement'!W30</f>
        <v>3509</v>
      </c>
      <c r="Q87" s="78">
        <f>'Cash Flow Statement'!Y30</f>
        <v>1092</v>
      </c>
      <c r="R87" s="84" t="str">
        <f>'Cash Flow Statement'!AA30</f>
        <v>-</v>
      </c>
    </row>
    <row r="88" spans="7:18" x14ac:dyDescent="0.2">
      <c r="G88"/>
      <c r="H88"/>
      <c r="I88" s="4"/>
      <c r="J88" s="4"/>
      <c r="K88" s="4"/>
      <c r="L88" s="83" t="str">
        <f>'Cash Flow Statement'!P31</f>
        <v>Repayment of bonds</v>
      </c>
      <c r="M88" s="78">
        <f>'Cash Flow Statement'!Q31</f>
        <v>0</v>
      </c>
      <c r="N88" s="78">
        <f>'Cash Flow Statement'!S31</f>
        <v>-1800</v>
      </c>
      <c r="O88" s="78">
        <f>'Cash Flow Statement'!U31</f>
        <v>-1384</v>
      </c>
      <c r="P88" s="78">
        <f>'Cash Flow Statement'!W31</f>
        <v>-1299</v>
      </c>
      <c r="Q88" s="78">
        <f>'Cash Flow Statement'!Y31</f>
        <v>-829</v>
      </c>
      <c r="R88" s="84">
        <f>'Cash Flow Statement'!AA31</f>
        <v>-600</v>
      </c>
    </row>
    <row r="89" spans="7:18" x14ac:dyDescent="0.2">
      <c r="G89"/>
      <c r="H89"/>
      <c r="I89" s="4"/>
      <c r="J89" s="4"/>
      <c r="K89" s="4"/>
      <c r="L89" s="83" t="str">
        <f>'Cash Flow Statement'!P32</f>
        <v>Purchase/(sale) of treasury shares</v>
      </c>
      <c r="M89" s="78">
        <f>'Cash Flow Statement'!Q32</f>
        <v>0</v>
      </c>
      <c r="N89" s="78">
        <f>'Cash Flow Statement'!S32</f>
        <v>-341</v>
      </c>
      <c r="O89" s="78">
        <f>'Cash Flow Statement'!U32</f>
        <v>-322</v>
      </c>
      <c r="P89" s="78">
        <f>'Cash Flow Statement'!W32</f>
        <v>-703</v>
      </c>
      <c r="Q89" s="78">
        <f>'Cash Flow Statement'!Y32</f>
        <v>-219</v>
      </c>
      <c r="R89" s="84">
        <f>'Cash Flow Statement'!AA32</f>
        <v>-262</v>
      </c>
    </row>
    <row r="90" spans="7:18" x14ac:dyDescent="0.2">
      <c r="G90"/>
      <c r="H90"/>
      <c r="I90" s="4"/>
      <c r="J90" s="4"/>
      <c r="K90" s="4"/>
      <c r="L90" s="83" t="str">
        <f>'Cash Flow Statement'!P33</f>
        <v>Increase/(decrease) in other financial liabilities and other debt</v>
      </c>
      <c r="M90" s="78">
        <f>'Cash Flow Statement'!Q33</f>
        <v>0</v>
      </c>
      <c r="N90" s="78">
        <f>'Cash Flow Statement'!S33</f>
        <v>-510</v>
      </c>
      <c r="O90" s="78">
        <f>'Cash Flow Statement'!U33</f>
        <v>-1338</v>
      </c>
      <c r="P90" s="78">
        <f>'Cash Flow Statement'!W33</f>
        <v>939</v>
      </c>
      <c r="Q90" s="78">
        <f>'Cash Flow Statement'!Y33</f>
        <v>143</v>
      </c>
      <c r="R90" s="84">
        <f>'Cash Flow Statement'!AA33</f>
        <v>-444</v>
      </c>
    </row>
    <row r="91" spans="7:18" x14ac:dyDescent="0.2">
      <c r="G91"/>
      <c r="H91"/>
      <c r="I91" s="4"/>
      <c r="J91" s="4"/>
      <c r="K91" s="4"/>
      <c r="L91" s="83" t="str">
        <f>'Cash Flow Statement'!P34</f>
        <v>Issuance and repurchase of OCEANEs (equity component)</v>
      </c>
      <c r="M91" s="78">
        <f>'Cash Flow Statement'!Q34</f>
        <v>0</v>
      </c>
      <c r="N91" s="78">
        <f>'Cash Flow Statement'!S34</f>
        <v>109</v>
      </c>
      <c r="O91" s="78">
        <f>'Cash Flow Statement'!U34</f>
        <v>-66</v>
      </c>
      <c r="P91" s="78" t="str">
        <f>'Cash Flow Statement'!W34</f>
        <v>-</v>
      </c>
      <c r="Q91" s="78" t="str">
        <f>'Cash Flow Statement'!Y34</f>
        <v>-</v>
      </c>
      <c r="R91" s="84" t="str">
        <f>'Cash Flow Statement'!AA34</f>
        <v>-</v>
      </c>
    </row>
    <row r="92" spans="7:18" x14ac:dyDescent="0.2">
      <c r="G92"/>
      <c r="H92"/>
      <c r="I92" s="4"/>
      <c r="J92" s="4"/>
      <c r="K92" s="4"/>
      <c r="L92" s="83" t="str">
        <f>'Cash Flow Statement'!P35</f>
        <v>Increase/(reduction) of share capital in cash</v>
      </c>
      <c r="M92" s="78">
        <f>'Cash Flow Statement'!Q35</f>
        <v>0</v>
      </c>
      <c r="N92" s="78">
        <f>'Cash Flow Statement'!S35</f>
        <v>271</v>
      </c>
      <c r="O92" s="78">
        <f>'Cash Flow Statement'!U35</f>
        <v>252</v>
      </c>
      <c r="P92" s="78">
        <f>'Cash Flow Statement'!W35</f>
        <v>284</v>
      </c>
      <c r="Q92" s="78">
        <f>'Cash Flow Statement'!Y35</f>
        <v>208</v>
      </c>
      <c r="R92" s="84">
        <f>'Cash Flow Statement'!AA35</f>
        <v>216</v>
      </c>
    </row>
    <row r="93" spans="7:18" x14ac:dyDescent="0.2">
      <c r="G93"/>
      <c r="H93"/>
      <c r="I93" s="4"/>
      <c r="J93" s="4"/>
      <c r="K93" s="4"/>
      <c r="L93" s="83" t="str">
        <f>'Cash Flow Statement'!P36</f>
        <v>Transactions with non-controlling interests</v>
      </c>
      <c r="M93" s="78">
        <f>'Cash Flow Statement'!Q36</f>
        <v>0</v>
      </c>
      <c r="N93" s="78">
        <f>'Cash Flow Statement'!S36</f>
        <v>-5535</v>
      </c>
      <c r="O93" s="78">
        <f>'Cash Flow Statement'!U36</f>
        <v>-183</v>
      </c>
      <c r="P93" s="78">
        <f>'Cash Flow Statement'!W36</f>
        <v>-4702</v>
      </c>
      <c r="Q93" s="78">
        <f>'Cash Flow Statement'!Y36</f>
        <v>-73</v>
      </c>
      <c r="R93" s="84">
        <f>'Cash Flow Statement'!AA36</f>
        <v>-418</v>
      </c>
    </row>
    <row r="94" spans="7:18" x14ac:dyDescent="0.2">
      <c r="G94"/>
      <c r="H94"/>
      <c r="I94" s="4"/>
      <c r="J94" s="4"/>
      <c r="K94" s="4"/>
      <c r="L94" s="83" t="str">
        <f>'Cash Flow Statement'!P37</f>
        <v>Dividends paid to Schneider Electric shareholders</v>
      </c>
      <c r="M94" s="78">
        <f>'Cash Flow Statement'!Q37</f>
        <v>0</v>
      </c>
      <c r="N94" s="78">
        <f>'Cash Flow Statement'!S37</f>
        <v>-2191</v>
      </c>
      <c r="O94" s="78">
        <f>'Cash Flow Statement'!U37</f>
        <v>-1963</v>
      </c>
      <c r="P94" s="78">
        <f>'Cash Flow Statement'!W37</f>
        <v>-1767</v>
      </c>
      <c r="Q94" s="78">
        <f>'Cash Flow Statement'!Y37</f>
        <v>-1618</v>
      </c>
      <c r="R94" s="84">
        <f>'Cash Flow Statement'!AA37</f>
        <v>-1447</v>
      </c>
    </row>
    <row r="95" spans="7:18" x14ac:dyDescent="0.2">
      <c r="G95"/>
      <c r="H95"/>
      <c r="I95" s="4"/>
      <c r="J95" s="4"/>
      <c r="K95" s="4"/>
      <c r="L95" s="83" t="str">
        <f>'Cash Flow Statement'!P38</f>
        <v>Dividends paid to minority shareholders</v>
      </c>
      <c r="M95" s="78">
        <f>'Cash Flow Statement'!Q38</f>
        <v>0</v>
      </c>
      <c r="N95" s="78">
        <f>'Cash Flow Statement'!S38</f>
        <v>-96</v>
      </c>
      <c r="O95" s="78">
        <f>'Cash Flow Statement'!U38</f>
        <v>-86</v>
      </c>
      <c r="P95" s="78">
        <f>'Cash Flow Statement'!W38</f>
        <v>-84</v>
      </c>
      <c r="Q95" s="78">
        <f>'Cash Flow Statement'!Y38</f>
        <v>-157</v>
      </c>
      <c r="R95" s="84">
        <f>'Cash Flow Statement'!AA38</f>
        <v>-138</v>
      </c>
    </row>
    <row r="96" spans="7:18" x14ac:dyDescent="0.2">
      <c r="G96"/>
      <c r="H96"/>
      <c r="I96" s="4"/>
      <c r="J96" s="4"/>
      <c r="K96" s="4"/>
      <c r="L96" s="80" t="str">
        <f>'Cash Flow Statement'!P39</f>
        <v>TOTAL III - CASH FROM / (USED IN) FINANCING ACTIVITIES</v>
      </c>
      <c r="M96" s="78">
        <f>'Cash Flow Statement'!Q39</f>
        <v>0</v>
      </c>
      <c r="N96" s="81">
        <f>'Cash Flow Statement'!S39</f>
        <v>-5229</v>
      </c>
      <c r="O96" s="81">
        <f>'Cash Flow Statement'!U39</f>
        <v>-1624</v>
      </c>
      <c r="P96" s="81">
        <f>'Cash Flow Statement'!W39</f>
        <v>-3823</v>
      </c>
      <c r="Q96" s="81">
        <f>'Cash Flow Statement'!Y39</f>
        <v>-1453</v>
      </c>
      <c r="R96" s="82">
        <f>'Cash Flow Statement'!AA39</f>
        <v>-3093</v>
      </c>
    </row>
    <row r="97" spans="7:18" x14ac:dyDescent="0.2">
      <c r="G97"/>
      <c r="H97"/>
      <c r="I97" s="4"/>
      <c r="J97" s="4"/>
      <c r="K97" s="4"/>
      <c r="L97" s="80" t="str">
        <f>'Cash Flow Statement'!P40</f>
        <v>TOTAL IV - NET EFFECT OF EXCHANGE RATES</v>
      </c>
      <c r="M97" s="78">
        <f>'Cash Flow Statement'!Q40</f>
        <v>0</v>
      </c>
      <c r="N97" s="81">
        <f>'Cash Flow Statement'!S40</f>
        <v>-410</v>
      </c>
      <c r="O97" s="81">
        <f>'Cash Flow Statement'!U40</f>
        <v>189</v>
      </c>
      <c r="P97" s="81">
        <f>'Cash Flow Statement'!W40</f>
        <v>-240</v>
      </c>
      <c r="Q97" s="81">
        <f>'Cash Flow Statement'!Y40</f>
        <v>-70</v>
      </c>
      <c r="R97" s="82">
        <f>'Cash Flow Statement'!AA40</f>
        <v>346</v>
      </c>
    </row>
    <row r="98" spans="7:18" x14ac:dyDescent="0.2">
      <c r="G98"/>
      <c r="H98"/>
      <c r="I98" s="4"/>
      <c r="J98" s="4"/>
      <c r="K98" s="4"/>
      <c r="L98" s="80" t="str">
        <f>'Cash Flow Statement'!P41</f>
        <v>TOTAL V - IMPACT OF ASSETS HELD FOR SALE</v>
      </c>
      <c r="M98" s="78">
        <f>'Cash Flow Statement'!Q41</f>
        <v>0</v>
      </c>
      <c r="N98" s="81" t="str">
        <f>'Cash Flow Statement'!S41</f>
        <v>-</v>
      </c>
      <c r="O98" s="81" t="str">
        <f>'Cash Flow Statement'!U41</f>
        <v>-</v>
      </c>
      <c r="P98" s="81">
        <f>'Cash Flow Statement'!W41</f>
        <v>-4</v>
      </c>
      <c r="Q98" s="81">
        <f>'Cash Flow Statement'!Y41</f>
        <v>-20</v>
      </c>
      <c r="R98" s="82" t="str">
        <f>'Cash Flow Statement'!AA41</f>
        <v>-</v>
      </c>
    </row>
    <row r="99" spans="7:18" ht="16" thickBot="1" x14ac:dyDescent="0.25">
      <c r="G99"/>
      <c r="H99"/>
      <c r="I99" s="4"/>
      <c r="J99" s="4"/>
      <c r="K99" s="4"/>
      <c r="L99" s="85" t="str">
        <f>'Cash Flow Statement'!P42</f>
        <v>NET CHANGE IN CASH: I + II + III + IV + V</v>
      </c>
      <c r="M99" s="89">
        <f>'Cash Flow Statement'!Q42</f>
        <v>0</v>
      </c>
      <c r="N99" s="87">
        <f>'Cash Flow Statement'!S42</f>
        <v>-2225</v>
      </c>
      <c r="O99" s="87">
        <f>'Cash Flow Statement'!U42</f>
        <v>2158</v>
      </c>
      <c r="P99" s="87">
        <f>'Cash Flow Statement'!W42</f>
        <v>792</v>
      </c>
      <c r="Q99" s="87">
        <f>'Cash Flow Statement'!Y42</f>
        <v>1400</v>
      </c>
      <c r="R99" s="88">
        <f>'Cash Flow Statement'!AA42</f>
        <v>-4299</v>
      </c>
    </row>
    <row r="100" spans="7:18" ht="16" thickTop="1" x14ac:dyDescent="0.2">
      <c r="G100"/>
      <c r="H100"/>
      <c r="I100" s="4"/>
      <c r="J100" s="4"/>
      <c r="K100" s="4"/>
      <c r="L100" s="83" t="str">
        <f>'Cash Flow Statement'!P43</f>
        <v>Opening net cash</v>
      </c>
      <c r="M100" s="78">
        <f>'Cash Flow Statement'!Q43</f>
        <v>0</v>
      </c>
      <c r="N100" s="78">
        <f>'Cash Flow Statement'!S43</f>
        <v>6812</v>
      </c>
      <c r="O100" s="78">
        <f>'Cash Flow Statement'!U43</f>
        <v>4654</v>
      </c>
      <c r="P100" s="78">
        <f>'Cash Flow Statement'!W43</f>
        <v>3863</v>
      </c>
      <c r="Q100" s="78">
        <f>'Cash Flow Statement'!Y43</f>
        <v>2463</v>
      </c>
      <c r="R100" s="84">
        <f>'Cash Flow Statement'!AA43</f>
        <v>6762</v>
      </c>
    </row>
    <row r="101" spans="7:18" x14ac:dyDescent="0.2">
      <c r="G101"/>
      <c r="H101"/>
      <c r="I101" s="4"/>
      <c r="J101" s="4"/>
      <c r="K101" s="4"/>
      <c r="L101" s="83" t="str">
        <f>'Cash Flow Statement'!P44</f>
        <v>Change in cash</v>
      </c>
      <c r="M101" s="78">
        <f>'Cash Flow Statement'!Q44</f>
        <v>0</v>
      </c>
      <c r="N101" s="78">
        <f>'Cash Flow Statement'!S44</f>
        <v>-2225</v>
      </c>
      <c r="O101" s="78">
        <f>'Cash Flow Statement'!U44</f>
        <v>2158</v>
      </c>
      <c r="P101" s="78">
        <f>'Cash Flow Statement'!W44</f>
        <v>792</v>
      </c>
      <c r="Q101" s="78">
        <f>'Cash Flow Statement'!Y44</f>
        <v>1400</v>
      </c>
      <c r="R101" s="84">
        <f>'Cash Flow Statement'!AA44</f>
        <v>-4299</v>
      </c>
    </row>
    <row r="102" spans="7:18" ht="16" thickBot="1" x14ac:dyDescent="0.25">
      <c r="G102"/>
      <c r="H102"/>
      <c r="I102" s="4"/>
      <c r="J102" s="4"/>
      <c r="K102" s="4"/>
      <c r="L102" s="85" t="str">
        <f>'Cash Flow Statement'!P45</f>
        <v>CLOSING NET CASH</v>
      </c>
      <c r="M102" s="89">
        <f>'Cash Flow Statement'!Q45</f>
        <v>0</v>
      </c>
      <c r="N102" s="87">
        <f>'Cash Flow Statement'!S45</f>
        <v>4587</v>
      </c>
      <c r="O102" s="87">
        <f>'Cash Flow Statement'!U45</f>
        <v>6812</v>
      </c>
      <c r="P102" s="87">
        <f>'Cash Flow Statement'!W45</f>
        <v>4654</v>
      </c>
      <c r="Q102" s="87">
        <f>'Cash Flow Statement'!Y45</f>
        <v>3863</v>
      </c>
      <c r="R102" s="88">
        <f>'Cash Flow Statement'!AA45</f>
        <v>2463</v>
      </c>
    </row>
    <row r="103" spans="7:18" ht="16" thickTop="1" x14ac:dyDescent="0.2">
      <c r="G103"/>
      <c r="H103"/>
      <c r="I103" s="4"/>
      <c r="J103" s="4"/>
      <c r="K103" s="4"/>
      <c r="L103" s="4"/>
      <c r="M103" s="4"/>
      <c r="N103" s="4"/>
    </row>
    <row r="104" spans="7:18" x14ac:dyDescent="0.2">
      <c r="G104"/>
      <c r="H104"/>
      <c r="I104" s="4"/>
      <c r="J104" s="4"/>
      <c r="K104" s="4"/>
      <c r="L104" s="4"/>
      <c r="M104" s="4"/>
      <c r="N104" s="4"/>
    </row>
    <row r="105" spans="7:18" x14ac:dyDescent="0.2">
      <c r="G105"/>
      <c r="H105"/>
      <c r="I105" s="4"/>
      <c r="J105" s="4"/>
      <c r="K105" s="4"/>
      <c r="L105" s="4"/>
      <c r="M105" s="4"/>
      <c r="N105" s="4"/>
    </row>
    <row r="106" spans="7:18" x14ac:dyDescent="0.2">
      <c r="G106"/>
      <c r="H106"/>
      <c r="I106" s="4"/>
      <c r="J106" s="4"/>
      <c r="K106" s="4"/>
      <c r="L106" s="4"/>
      <c r="M106" s="4"/>
      <c r="N106" s="4"/>
    </row>
    <row r="107" spans="7:18" x14ac:dyDescent="0.2">
      <c r="G107"/>
      <c r="H107"/>
      <c r="I107" s="4"/>
      <c r="J107" s="4"/>
      <c r="K107" s="4"/>
      <c r="L107" s="4"/>
      <c r="M107" s="4"/>
      <c r="N107" s="4"/>
    </row>
    <row r="108" spans="7:18" x14ac:dyDescent="0.2">
      <c r="G108"/>
      <c r="H108"/>
      <c r="I108" s="4"/>
      <c r="J108" s="4"/>
      <c r="K108" s="4"/>
      <c r="L108" s="4"/>
      <c r="M108" s="4"/>
      <c r="N108" s="4"/>
    </row>
    <row r="109" spans="7:18" x14ac:dyDescent="0.2">
      <c r="G109"/>
      <c r="H109"/>
      <c r="I109" s="4"/>
      <c r="J109" s="4"/>
      <c r="K109" s="4"/>
      <c r="L109" s="4"/>
      <c r="M109" s="4"/>
      <c r="N109" s="4"/>
    </row>
  </sheetData>
  <mergeCells count="1">
    <mergeCell ref="U1:AA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52EC6-7B9B-764E-9DD6-EAE9789832FB}">
  <sheetPr>
    <tabColor rgb="FF2E75B6"/>
  </sheetPr>
  <dimension ref="A1:AP105"/>
  <sheetViews>
    <sheetView topLeftCell="B1" zoomScale="89" workbookViewId="0">
      <selection activeCell="J16" sqref="J16"/>
    </sheetView>
  </sheetViews>
  <sheetFormatPr baseColWidth="10" defaultColWidth="8.83203125" defaultRowHeight="15" outlineLevelCol="7" x14ac:dyDescent="0.2"/>
  <cols>
    <col min="1" max="1" width="2.5" style="78" hidden="1" customWidth="1" outlineLevel="7"/>
    <col min="2" max="2" width="17.5" customWidth="1" collapsed="1"/>
    <col min="3" max="7" width="17.5" customWidth="1"/>
    <col min="8" max="8" width="111" customWidth="1"/>
    <col min="9" max="9" width="2" customWidth="1"/>
    <col min="10" max="38" width="0" hidden="1" customWidth="1" outlineLevel="7"/>
    <col min="39" max="41" width="0" hidden="1" customWidth="1" outlineLevel="7" collapsed="1"/>
    <col min="42" max="42" width="8.83203125" outlineLevel="7" collapsed="1"/>
    <col min="43" max="16384" width="8.83203125" outlineLevel="7"/>
  </cols>
  <sheetData>
    <row r="1" spans="2:38" s="78" customFormat="1" x14ac:dyDescent="0.2"/>
    <row r="2" spans="2:38" ht="53" customHeight="1" x14ac:dyDescent="0.2">
      <c r="B2" s="448" t="s">
        <v>220</v>
      </c>
      <c r="C2" s="448"/>
      <c r="D2" s="448"/>
      <c r="E2" s="448"/>
      <c r="F2" s="448"/>
      <c r="G2" s="448"/>
      <c r="H2" s="44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row>
    <row r="3" spans="2:38" ht="22" customHeight="1" x14ac:dyDescent="0.2">
      <c r="B3" s="449" t="s">
        <v>221</v>
      </c>
      <c r="C3" s="449"/>
      <c r="D3" s="449"/>
      <c r="E3" s="449"/>
      <c r="F3" s="449"/>
      <c r="G3" s="449"/>
      <c r="H3" s="449"/>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row>
    <row r="4" spans="2:38" ht="22" customHeight="1" x14ac:dyDescent="0.2">
      <c r="B4" s="446" t="s">
        <v>263</v>
      </c>
      <c r="C4" s="446"/>
      <c r="D4" s="446"/>
      <c r="E4" s="446"/>
      <c r="F4" s="446"/>
      <c r="G4" s="446"/>
      <c r="H4" s="446"/>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row>
    <row r="5" spans="2:38" ht="121.5" customHeight="1" x14ac:dyDescent="0.2">
      <c r="B5" s="447" t="s">
        <v>264</v>
      </c>
      <c r="C5" s="447"/>
      <c r="D5" s="447"/>
      <c r="E5" s="447"/>
      <c r="F5" s="447"/>
      <c r="G5" s="447"/>
      <c r="H5" s="447"/>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row>
    <row r="6" spans="2:38" ht="22" customHeight="1" x14ac:dyDescent="0.2">
      <c r="B6" s="289"/>
      <c r="C6" s="289"/>
      <c r="D6" s="289"/>
      <c r="E6" s="289"/>
      <c r="F6" s="289"/>
      <c r="G6" s="289"/>
      <c r="H6" s="289"/>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row>
    <row r="7" spans="2:38" s="78" customFormat="1" ht="7" customHeight="1" x14ac:dyDescent="0.2">
      <c r="B7" s="147"/>
      <c r="C7" s="147"/>
      <c r="D7" s="147"/>
      <c r="E7" s="147"/>
      <c r="F7" s="147"/>
      <c r="G7" s="147"/>
      <c r="H7" s="147"/>
    </row>
    <row r="8" spans="2:38" ht="24" customHeight="1" x14ac:dyDescent="0.2">
      <c r="B8" s="429" t="s">
        <v>222</v>
      </c>
      <c r="C8" s="429"/>
      <c r="D8" s="429"/>
      <c r="E8" s="429"/>
      <c r="F8" s="429"/>
      <c r="G8" s="429"/>
      <c r="H8" s="429"/>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row>
    <row r="9" spans="2:38" ht="10" hidden="1" customHeight="1" x14ac:dyDescent="0.2">
      <c r="B9" s="422"/>
      <c r="C9" s="422"/>
      <c r="D9" s="422"/>
      <c r="E9" s="422"/>
      <c r="F9" s="422"/>
      <c r="G9" s="422"/>
      <c r="H9" s="422"/>
      <c r="I9" s="78"/>
      <c r="J9" s="78"/>
      <c r="K9" s="78"/>
      <c r="L9" s="78"/>
      <c r="M9" s="78"/>
      <c r="N9" s="78"/>
      <c r="O9" s="78"/>
      <c r="P9" s="78"/>
      <c r="Q9" s="78"/>
      <c r="R9" s="78"/>
      <c r="S9" s="78"/>
      <c r="T9" s="78"/>
      <c r="U9" s="78"/>
      <c r="V9" s="78"/>
      <c r="W9" s="78"/>
      <c r="X9" s="78"/>
      <c r="Y9" s="78"/>
      <c r="Z9" s="78"/>
      <c r="AA9" s="78"/>
      <c r="AB9" s="78"/>
      <c r="AC9" s="78"/>
      <c r="AD9" s="78"/>
      <c r="AE9" s="78"/>
      <c r="AF9" s="78"/>
      <c r="AG9" s="78"/>
      <c r="AH9" s="78"/>
      <c r="AI9" s="78"/>
      <c r="AJ9" s="78"/>
      <c r="AK9" s="78"/>
      <c r="AL9" s="78"/>
    </row>
    <row r="10" spans="2:38" ht="22" customHeight="1" x14ac:dyDescent="0.2">
      <c r="B10" s="424" t="s">
        <v>223</v>
      </c>
      <c r="C10" s="424"/>
      <c r="D10" s="424"/>
      <c r="E10" s="424"/>
      <c r="F10" s="424"/>
      <c r="G10" s="424"/>
      <c r="H10" s="424"/>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row>
    <row r="11" spans="2:38" ht="6" hidden="1" customHeight="1" x14ac:dyDescent="0.2">
      <c r="B11" s="419"/>
      <c r="C11" s="420"/>
      <c r="D11" s="420"/>
      <c r="E11" s="420"/>
      <c r="F11" s="420"/>
      <c r="G11" s="420"/>
      <c r="H11" s="420"/>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row>
    <row r="12" spans="2:38" ht="55" customHeight="1" x14ac:dyDescent="0.2">
      <c r="B12" s="419" t="s">
        <v>247</v>
      </c>
      <c r="C12" s="422"/>
      <c r="D12" s="422"/>
      <c r="E12" s="422"/>
      <c r="F12" s="422"/>
      <c r="G12" s="422"/>
      <c r="H12" s="422"/>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78"/>
      <c r="AI12" s="78"/>
      <c r="AJ12" s="78"/>
      <c r="AK12" s="78"/>
      <c r="AL12" s="78"/>
    </row>
    <row r="13" spans="2:38" ht="22" customHeight="1" x14ac:dyDescent="0.2">
      <c r="B13" s="424" t="s">
        <v>224</v>
      </c>
      <c r="C13" s="424"/>
      <c r="D13" s="424"/>
      <c r="E13" s="424"/>
      <c r="F13" s="424"/>
      <c r="G13" s="424"/>
      <c r="H13" s="424"/>
      <c r="I13" s="78"/>
      <c r="J13" s="78"/>
      <c r="K13" s="78"/>
      <c r="L13" s="78"/>
      <c r="M13" s="78"/>
      <c r="N13" s="78"/>
      <c r="O13" s="78"/>
      <c r="P13" s="78"/>
      <c r="Q13" s="78"/>
      <c r="R13" s="78"/>
      <c r="S13" s="78"/>
      <c r="T13" s="78"/>
      <c r="U13" s="78"/>
      <c r="V13" s="78"/>
      <c r="W13" s="78"/>
      <c r="X13" s="78"/>
      <c r="Y13" s="78"/>
      <c r="Z13" s="78"/>
      <c r="AA13" s="78"/>
      <c r="AB13" s="78"/>
      <c r="AC13" s="78"/>
      <c r="AD13" s="78"/>
      <c r="AE13" s="78"/>
      <c r="AF13" s="78"/>
      <c r="AG13" s="78"/>
      <c r="AH13" s="78"/>
      <c r="AI13" s="78"/>
      <c r="AJ13" s="78"/>
      <c r="AK13" s="78"/>
      <c r="AL13" s="78"/>
    </row>
    <row r="14" spans="2:38" ht="22" hidden="1" customHeight="1" x14ac:dyDescent="0.2">
      <c r="B14" s="419"/>
      <c r="C14" s="420"/>
      <c r="D14" s="420"/>
      <c r="E14" s="420"/>
      <c r="F14" s="420"/>
      <c r="G14" s="420"/>
      <c r="H14" s="420"/>
      <c r="I14" s="78"/>
      <c r="J14" s="78"/>
      <c r="K14" s="78"/>
      <c r="L14" s="78"/>
      <c r="M14" s="78"/>
      <c r="N14" s="78"/>
      <c r="O14" s="78"/>
      <c r="P14" s="78"/>
      <c r="Q14" s="78"/>
      <c r="R14" s="78"/>
      <c r="S14" s="78"/>
      <c r="T14" s="78"/>
      <c r="U14" s="78"/>
      <c r="V14" s="78"/>
      <c r="W14" s="78"/>
      <c r="X14" s="78"/>
      <c r="Y14" s="78"/>
      <c r="Z14" s="78"/>
      <c r="AA14" s="78"/>
      <c r="AB14" s="78"/>
      <c r="AC14" s="78"/>
      <c r="AD14" s="78"/>
      <c r="AE14" s="78"/>
      <c r="AF14" s="78"/>
      <c r="AG14" s="78"/>
      <c r="AH14" s="78"/>
      <c r="AI14" s="78"/>
      <c r="AJ14" s="78"/>
      <c r="AK14" s="78"/>
      <c r="AL14" s="78"/>
    </row>
    <row r="15" spans="2:38" ht="54" customHeight="1" x14ac:dyDescent="0.2">
      <c r="B15" s="419" t="s">
        <v>248</v>
      </c>
      <c r="C15" s="422"/>
      <c r="D15" s="422"/>
      <c r="E15" s="422"/>
      <c r="F15" s="422"/>
      <c r="G15" s="422"/>
      <c r="H15" s="422"/>
      <c r="I15" s="78"/>
      <c r="J15" s="78"/>
      <c r="K15" s="78"/>
      <c r="L15" s="78"/>
      <c r="M15" s="78"/>
      <c r="N15" s="78"/>
      <c r="O15" s="78"/>
      <c r="P15" s="78"/>
      <c r="Q15" s="78"/>
      <c r="R15" s="78"/>
      <c r="S15" s="78"/>
      <c r="T15" s="78"/>
      <c r="U15" s="78"/>
      <c r="V15" s="78"/>
      <c r="W15" s="78"/>
      <c r="X15" s="78"/>
      <c r="Y15" s="78"/>
      <c r="Z15" s="78"/>
      <c r="AA15" s="78"/>
      <c r="AB15" s="78"/>
      <c r="AC15" s="78"/>
      <c r="AD15" s="78"/>
      <c r="AE15" s="78"/>
      <c r="AF15" s="78"/>
      <c r="AG15" s="78"/>
      <c r="AH15" s="78"/>
      <c r="AI15" s="78"/>
      <c r="AJ15" s="78"/>
      <c r="AK15" s="78"/>
      <c r="AL15" s="78"/>
    </row>
    <row r="16" spans="2:38" ht="22" customHeight="1" x14ac:dyDescent="0.2">
      <c r="B16" s="424" t="s">
        <v>225</v>
      </c>
      <c r="C16" s="424"/>
      <c r="D16" s="424"/>
      <c r="E16" s="424"/>
      <c r="F16" s="424"/>
      <c r="G16" s="424"/>
      <c r="H16" s="424"/>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row>
    <row r="17" spans="2:38" ht="22" hidden="1" customHeight="1" x14ac:dyDescent="0.2">
      <c r="B17" s="419"/>
      <c r="C17" s="420"/>
      <c r="D17" s="420"/>
      <c r="E17" s="420"/>
      <c r="F17" s="420"/>
      <c r="G17" s="420"/>
      <c r="H17" s="420"/>
      <c r="I17" s="78"/>
      <c r="J17" s="78"/>
      <c r="K17" s="78"/>
      <c r="L17" s="78"/>
      <c r="M17" s="78"/>
      <c r="N17" s="78"/>
      <c r="O17" s="78"/>
      <c r="P17" s="78"/>
      <c r="Q17" s="78"/>
      <c r="R17" s="78"/>
      <c r="S17" s="78"/>
      <c r="T17" s="78"/>
      <c r="U17" s="78"/>
      <c r="V17" s="78"/>
      <c r="W17" s="78"/>
      <c r="X17" s="78"/>
      <c r="Y17" s="78"/>
      <c r="Z17" s="78"/>
      <c r="AA17" s="78"/>
      <c r="AB17" s="78"/>
      <c r="AC17" s="78"/>
      <c r="AD17" s="78"/>
      <c r="AE17" s="78"/>
      <c r="AF17" s="78"/>
      <c r="AG17" s="78"/>
      <c r="AH17" s="78"/>
      <c r="AI17" s="78"/>
      <c r="AJ17" s="78"/>
      <c r="AK17" s="78"/>
      <c r="AL17" s="78"/>
    </row>
    <row r="18" spans="2:38" ht="49" customHeight="1" x14ac:dyDescent="0.2">
      <c r="B18" s="419" t="s">
        <v>249</v>
      </c>
      <c r="C18" s="422"/>
      <c r="D18" s="422"/>
      <c r="E18" s="422"/>
      <c r="F18" s="422"/>
      <c r="G18" s="422"/>
      <c r="H18" s="422"/>
      <c r="I18" s="78"/>
      <c r="J18" s="78"/>
      <c r="K18" s="78"/>
      <c r="L18" s="78"/>
      <c r="M18" s="78"/>
      <c r="N18" s="78"/>
      <c r="O18" s="78"/>
      <c r="P18" s="78"/>
      <c r="Q18" s="78"/>
      <c r="R18" s="78"/>
      <c r="S18" s="78"/>
      <c r="T18" s="78"/>
      <c r="U18" s="78"/>
      <c r="V18" s="78"/>
      <c r="W18" s="78"/>
      <c r="X18" s="78"/>
      <c r="Y18" s="78"/>
      <c r="Z18" s="78"/>
      <c r="AA18" s="78"/>
      <c r="AB18" s="78"/>
      <c r="AC18" s="78"/>
      <c r="AD18" s="78"/>
      <c r="AE18" s="78"/>
      <c r="AF18" s="78"/>
      <c r="AG18" s="78"/>
      <c r="AH18" s="78"/>
      <c r="AI18" s="78"/>
      <c r="AJ18" s="78"/>
      <c r="AK18" s="78"/>
      <c r="AL18" s="78"/>
    </row>
    <row r="19" spans="2:38" ht="22" customHeight="1" x14ac:dyDescent="0.2">
      <c r="B19" s="424" t="s">
        <v>226</v>
      </c>
      <c r="C19" s="424"/>
      <c r="D19" s="424"/>
      <c r="E19" s="424"/>
      <c r="F19" s="424"/>
      <c r="G19" s="424"/>
      <c r="H19" s="424"/>
      <c r="I19" s="78"/>
      <c r="J19" s="78"/>
      <c r="K19" s="78"/>
      <c r="L19" s="78"/>
      <c r="M19" s="78"/>
      <c r="N19" s="78"/>
      <c r="O19" s="78"/>
      <c r="P19" s="78"/>
      <c r="Q19" s="78"/>
      <c r="R19" s="78"/>
      <c r="S19" s="78"/>
      <c r="T19" s="78"/>
      <c r="U19" s="78"/>
      <c r="V19" s="78"/>
      <c r="W19" s="78"/>
      <c r="X19" s="78"/>
      <c r="Y19" s="78"/>
      <c r="Z19" s="78"/>
      <c r="AA19" s="78"/>
      <c r="AB19" s="78"/>
      <c r="AC19" s="78"/>
      <c r="AD19" s="78"/>
      <c r="AE19" s="78"/>
      <c r="AF19" s="78"/>
      <c r="AG19" s="78"/>
      <c r="AH19" s="78"/>
      <c r="AI19" s="78"/>
      <c r="AJ19" s="78"/>
      <c r="AK19" s="78"/>
      <c r="AL19" s="78"/>
    </row>
    <row r="20" spans="2:38" ht="22" hidden="1" customHeight="1" x14ac:dyDescent="0.2">
      <c r="B20" s="419"/>
      <c r="C20" s="420"/>
      <c r="D20" s="420"/>
      <c r="E20" s="420"/>
      <c r="F20" s="420"/>
      <c r="G20" s="420"/>
      <c r="H20" s="420"/>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row>
    <row r="21" spans="2:38" ht="52" customHeight="1" x14ac:dyDescent="0.2">
      <c r="B21" s="419" t="s">
        <v>250</v>
      </c>
      <c r="C21" s="422"/>
      <c r="D21" s="422"/>
      <c r="E21" s="422"/>
      <c r="F21" s="422"/>
      <c r="G21" s="422"/>
      <c r="H21" s="422"/>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c r="AI21" s="78"/>
      <c r="AJ21" s="78"/>
      <c r="AK21" s="78"/>
      <c r="AL21" s="78"/>
    </row>
    <row r="22" spans="2:38" ht="22" customHeight="1" x14ac:dyDescent="0.2">
      <c r="B22" s="424" t="s">
        <v>227</v>
      </c>
      <c r="C22" s="424"/>
      <c r="D22" s="424"/>
      <c r="E22" s="424"/>
      <c r="F22" s="424"/>
      <c r="G22" s="424"/>
      <c r="H22" s="424"/>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row>
    <row r="23" spans="2:38" ht="22" hidden="1" customHeight="1" x14ac:dyDescent="0.2">
      <c r="B23" s="419"/>
      <c r="C23" s="420"/>
      <c r="D23" s="420"/>
      <c r="E23" s="420"/>
      <c r="F23" s="420"/>
      <c r="G23" s="420"/>
      <c r="H23" s="420"/>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row>
    <row r="24" spans="2:38" ht="44" customHeight="1" x14ac:dyDescent="0.2">
      <c r="B24" s="419" t="s">
        <v>251</v>
      </c>
      <c r="C24" s="422"/>
      <c r="D24" s="422"/>
      <c r="E24" s="422"/>
      <c r="F24" s="422"/>
      <c r="G24" s="422"/>
      <c r="H24" s="422"/>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c r="AL24" s="78"/>
    </row>
    <row r="25" spans="2:38" ht="22" customHeight="1" x14ac:dyDescent="0.2">
      <c r="B25" s="424" t="s">
        <v>228</v>
      </c>
      <c r="C25" s="424"/>
      <c r="D25" s="424"/>
      <c r="E25" s="424"/>
      <c r="F25" s="424"/>
      <c r="G25" s="424"/>
      <c r="H25" s="424"/>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8"/>
      <c r="AL25" s="78"/>
    </row>
    <row r="26" spans="2:38" ht="22" hidden="1" customHeight="1" x14ac:dyDescent="0.2">
      <c r="B26" s="419"/>
      <c r="C26" s="420"/>
      <c r="D26" s="420"/>
      <c r="E26" s="420"/>
      <c r="F26" s="420"/>
      <c r="G26" s="420"/>
      <c r="H26" s="420"/>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c r="AL26" s="78"/>
    </row>
    <row r="27" spans="2:38" ht="55" customHeight="1" x14ac:dyDescent="0.2">
      <c r="B27" s="419" t="s">
        <v>252</v>
      </c>
      <c r="C27" s="422"/>
      <c r="D27" s="422"/>
      <c r="E27" s="422"/>
      <c r="F27" s="422"/>
      <c r="G27" s="422"/>
      <c r="H27" s="422"/>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row>
    <row r="28" spans="2:38" ht="22" customHeight="1" x14ac:dyDescent="0.2">
      <c r="B28" s="424" t="s">
        <v>229</v>
      </c>
      <c r="C28" s="424"/>
      <c r="D28" s="424"/>
      <c r="E28" s="424"/>
      <c r="F28" s="424"/>
      <c r="G28" s="424"/>
      <c r="H28" s="424"/>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row>
    <row r="29" spans="2:38" ht="22" hidden="1" customHeight="1" x14ac:dyDescent="0.2">
      <c r="B29" s="419"/>
      <c r="C29" s="420"/>
      <c r="D29" s="420"/>
      <c r="E29" s="420"/>
      <c r="F29" s="420"/>
      <c r="G29" s="420"/>
      <c r="H29" s="420"/>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row>
    <row r="30" spans="2:38" ht="48" customHeight="1" x14ac:dyDescent="0.2">
      <c r="B30" s="419" t="s">
        <v>253</v>
      </c>
      <c r="C30" s="422"/>
      <c r="D30" s="422"/>
      <c r="E30" s="422"/>
      <c r="F30" s="422"/>
      <c r="G30" s="422"/>
      <c r="H30" s="422"/>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row>
    <row r="31" spans="2:38" ht="23" customHeight="1" x14ac:dyDescent="0.2">
      <c r="B31" s="78"/>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row>
    <row r="32" spans="2:38" ht="28" customHeight="1" x14ac:dyDescent="0.2">
      <c r="B32" s="429" t="s">
        <v>230</v>
      </c>
      <c r="C32" s="429"/>
      <c r="D32" s="429"/>
      <c r="E32" s="429"/>
      <c r="F32" s="429"/>
      <c r="G32" s="429"/>
      <c r="H32" s="429"/>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row>
    <row r="33" spans="2:38" ht="26" hidden="1" customHeight="1" x14ac:dyDescent="0.2">
      <c r="B33" s="422"/>
      <c r="C33" s="422"/>
      <c r="D33" s="422"/>
      <c r="E33" s="422"/>
      <c r="F33" s="422"/>
      <c r="G33" s="422"/>
      <c r="H33" s="422"/>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row>
    <row r="34" spans="2:38" ht="22" customHeight="1" x14ac:dyDescent="0.2">
      <c r="B34" s="418" t="s">
        <v>231</v>
      </c>
      <c r="C34" s="418"/>
      <c r="D34" s="418"/>
      <c r="E34" s="418"/>
      <c r="F34" s="418"/>
      <c r="G34" s="418"/>
      <c r="H34" s="41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row>
    <row r="35" spans="2:38" ht="22" hidden="1" customHeight="1" x14ac:dyDescent="0.2">
      <c r="B35" s="419"/>
      <c r="C35" s="420"/>
      <c r="D35" s="420"/>
      <c r="E35" s="420"/>
      <c r="F35" s="420"/>
      <c r="G35" s="420"/>
      <c r="H35" s="420"/>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row>
    <row r="36" spans="2:38" ht="53" customHeight="1" x14ac:dyDescent="0.2">
      <c r="B36" s="419" t="s">
        <v>254</v>
      </c>
      <c r="C36" s="422"/>
      <c r="D36" s="422"/>
      <c r="E36" s="422"/>
      <c r="F36" s="422"/>
      <c r="G36" s="422"/>
      <c r="H36" s="422"/>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row>
    <row r="37" spans="2:38" ht="22" customHeight="1" x14ac:dyDescent="0.2">
      <c r="B37" s="418" t="s">
        <v>232</v>
      </c>
      <c r="C37" s="418"/>
      <c r="D37" s="418"/>
      <c r="E37" s="418"/>
      <c r="F37" s="418"/>
      <c r="G37" s="418"/>
      <c r="H37" s="41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row>
    <row r="38" spans="2:38" ht="22" hidden="1" customHeight="1" x14ac:dyDescent="0.2">
      <c r="B38" s="419"/>
      <c r="C38" s="420"/>
      <c r="D38" s="420"/>
      <c r="E38" s="420"/>
      <c r="F38" s="420"/>
      <c r="G38" s="420"/>
      <c r="H38" s="420"/>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row>
    <row r="39" spans="2:38" ht="51" customHeight="1" x14ac:dyDescent="0.2">
      <c r="B39" s="419" t="s">
        <v>255</v>
      </c>
      <c r="C39" s="422"/>
      <c r="D39" s="422"/>
      <c r="E39" s="422"/>
      <c r="F39" s="422"/>
      <c r="G39" s="422"/>
      <c r="H39" s="422"/>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row>
    <row r="40" spans="2:38" ht="22" customHeight="1" x14ac:dyDescent="0.2">
      <c r="B40" s="421" t="s">
        <v>233</v>
      </c>
      <c r="C40" s="421"/>
      <c r="D40" s="421"/>
      <c r="E40" s="421"/>
      <c r="F40" s="421"/>
      <c r="G40" s="421"/>
      <c r="H40" s="421"/>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row>
    <row r="41" spans="2:38" ht="22" hidden="1" customHeight="1" x14ac:dyDescent="0.2">
      <c r="B41" s="419"/>
      <c r="C41" s="420"/>
      <c r="D41" s="420"/>
      <c r="E41" s="420"/>
      <c r="F41" s="420"/>
      <c r="G41" s="420"/>
      <c r="H41" s="420"/>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row>
    <row r="42" spans="2:38" ht="53" customHeight="1" x14ac:dyDescent="0.2">
      <c r="B42" s="419" t="s">
        <v>256</v>
      </c>
      <c r="C42" s="422"/>
      <c r="D42" s="422"/>
      <c r="E42" s="422"/>
      <c r="F42" s="422"/>
      <c r="G42" s="422"/>
      <c r="H42" s="422"/>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row>
    <row r="43" spans="2:38" ht="22" customHeight="1" x14ac:dyDescent="0.2">
      <c r="B43" s="428" t="s">
        <v>234</v>
      </c>
      <c r="C43" s="428"/>
      <c r="D43" s="428"/>
      <c r="E43" s="428"/>
      <c r="F43" s="428"/>
      <c r="G43" s="428"/>
      <c r="H43" s="42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row>
    <row r="44" spans="2:38" ht="22" hidden="1" customHeight="1" x14ac:dyDescent="0.2">
      <c r="B44" s="419"/>
      <c r="C44" s="420"/>
      <c r="D44" s="420"/>
      <c r="E44" s="420"/>
      <c r="F44" s="420"/>
      <c r="G44" s="420"/>
      <c r="H44" s="420"/>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row>
    <row r="45" spans="2:38" ht="49" customHeight="1" x14ac:dyDescent="0.2">
      <c r="B45" s="419" t="s">
        <v>257</v>
      </c>
      <c r="C45" s="422"/>
      <c r="D45" s="422"/>
      <c r="E45" s="422"/>
      <c r="F45" s="422"/>
      <c r="G45" s="422"/>
      <c r="H45" s="422"/>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row>
    <row r="46" spans="2:38" ht="22" customHeight="1" x14ac:dyDescent="0.2">
      <c r="B46" s="426" t="s">
        <v>235</v>
      </c>
      <c r="C46" s="426"/>
      <c r="D46" s="426"/>
      <c r="E46" s="426"/>
      <c r="F46" s="426"/>
      <c r="G46" s="426"/>
      <c r="H46" s="426"/>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row>
    <row r="47" spans="2:38" ht="22" hidden="1" customHeight="1" x14ac:dyDescent="0.2">
      <c r="B47" s="419"/>
      <c r="C47" s="420"/>
      <c r="D47" s="420"/>
      <c r="E47" s="420"/>
      <c r="F47" s="420"/>
      <c r="G47" s="420"/>
      <c r="H47" s="420"/>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row>
    <row r="48" spans="2:38" ht="56" customHeight="1" x14ac:dyDescent="0.2">
      <c r="B48" s="419" t="s">
        <v>258</v>
      </c>
      <c r="C48" s="422"/>
      <c r="D48" s="422"/>
      <c r="E48" s="422"/>
      <c r="F48" s="422"/>
      <c r="G48" s="422"/>
      <c r="H48" s="422"/>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row>
    <row r="49" spans="2:38" ht="22" customHeight="1" x14ac:dyDescent="0.2">
      <c r="B49" s="426" t="s">
        <v>236</v>
      </c>
      <c r="C49" s="426"/>
      <c r="D49" s="426"/>
      <c r="E49" s="426"/>
      <c r="F49" s="426"/>
      <c r="G49" s="426"/>
      <c r="H49" s="426"/>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row>
    <row r="50" spans="2:38" ht="22" hidden="1" customHeight="1" x14ac:dyDescent="0.2">
      <c r="B50" s="419"/>
      <c r="C50" s="420"/>
      <c r="D50" s="420"/>
      <c r="E50" s="420"/>
      <c r="F50" s="420"/>
      <c r="G50" s="420"/>
      <c r="H50" s="420"/>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row>
    <row r="51" spans="2:38" ht="50" customHeight="1" x14ac:dyDescent="0.2">
      <c r="B51" s="419" t="s">
        <v>259</v>
      </c>
      <c r="C51" s="422"/>
      <c r="D51" s="422"/>
      <c r="E51" s="422"/>
      <c r="F51" s="422"/>
      <c r="G51" s="422"/>
      <c r="H51" s="422"/>
      <c r="I51" s="78"/>
      <c r="J51" s="78"/>
      <c r="K51" s="78"/>
      <c r="L51" s="78"/>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row>
    <row r="52" spans="2:38" ht="22" customHeight="1" x14ac:dyDescent="0.2">
      <c r="B52" s="425" t="s">
        <v>237</v>
      </c>
      <c r="C52" s="425"/>
      <c r="D52" s="425"/>
      <c r="E52" s="425"/>
      <c r="F52" s="425"/>
      <c r="G52" s="425"/>
      <c r="H52" s="425"/>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row>
    <row r="53" spans="2:38" ht="50" hidden="1" customHeight="1" x14ac:dyDescent="0.2">
      <c r="B53" s="146"/>
      <c r="C53" s="145"/>
      <c r="D53" s="145"/>
      <c r="E53" s="145"/>
      <c r="F53" s="145"/>
      <c r="G53" s="145"/>
      <c r="H53" s="145"/>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row>
    <row r="54" spans="2:38" ht="46" customHeight="1" x14ac:dyDescent="0.2">
      <c r="B54" s="419" t="s">
        <v>260</v>
      </c>
      <c r="C54" s="419"/>
      <c r="D54" s="419"/>
      <c r="E54" s="419"/>
      <c r="F54" s="419"/>
      <c r="G54" s="419"/>
      <c r="H54" s="419"/>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row>
    <row r="55" spans="2:38" ht="28" customHeight="1" x14ac:dyDescent="0.25">
      <c r="B55" s="427" t="s">
        <v>238</v>
      </c>
      <c r="C55" s="427"/>
      <c r="D55" s="427"/>
      <c r="E55" s="427"/>
      <c r="F55" s="427"/>
      <c r="G55" s="427"/>
      <c r="H55" s="427"/>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row>
    <row r="56" spans="2:38" ht="26" hidden="1" customHeight="1" x14ac:dyDescent="0.2">
      <c r="B56" s="422"/>
      <c r="C56" s="422"/>
      <c r="D56" s="422"/>
      <c r="E56" s="422"/>
      <c r="F56" s="422"/>
      <c r="G56" s="422"/>
      <c r="H56" s="422"/>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row>
    <row r="57" spans="2:38" ht="22" customHeight="1" x14ac:dyDescent="0.2">
      <c r="B57" s="415" t="s">
        <v>239</v>
      </c>
      <c r="C57" s="415"/>
      <c r="D57" s="415"/>
      <c r="E57" s="415"/>
      <c r="F57" s="415"/>
      <c r="G57" s="415"/>
      <c r="H57" s="415"/>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row>
    <row r="58" spans="2:38" ht="22" hidden="1" customHeight="1" x14ac:dyDescent="0.2">
      <c r="B58" s="416"/>
      <c r="C58" s="423"/>
      <c r="D58" s="423"/>
      <c r="E58" s="423"/>
      <c r="F58" s="423"/>
      <c r="G58" s="423"/>
      <c r="H58" s="423"/>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row>
    <row r="59" spans="2:38" ht="34" customHeight="1" x14ac:dyDescent="0.2">
      <c r="B59" s="416" t="s">
        <v>240</v>
      </c>
      <c r="C59" s="417"/>
      <c r="D59" s="417"/>
      <c r="E59" s="417"/>
      <c r="F59" s="417"/>
      <c r="G59" s="417"/>
      <c r="H59" s="417"/>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row>
    <row r="60" spans="2:38" ht="22" customHeight="1" x14ac:dyDescent="0.2">
      <c r="B60" s="415" t="s">
        <v>241</v>
      </c>
      <c r="C60" s="415"/>
      <c r="D60" s="415"/>
      <c r="E60" s="415"/>
      <c r="F60" s="415"/>
      <c r="G60" s="415"/>
      <c r="H60" s="415"/>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row>
    <row r="61" spans="2:38" ht="22" hidden="1" customHeight="1" x14ac:dyDescent="0.2">
      <c r="B61" s="416"/>
      <c r="C61" s="423"/>
      <c r="D61" s="423"/>
      <c r="E61" s="423"/>
      <c r="F61" s="423"/>
      <c r="G61" s="423"/>
      <c r="H61" s="423"/>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row>
    <row r="62" spans="2:38" ht="39" customHeight="1" x14ac:dyDescent="0.2">
      <c r="B62" s="416" t="s">
        <v>242</v>
      </c>
      <c r="C62" s="417"/>
      <c r="D62" s="417"/>
      <c r="E62" s="417"/>
      <c r="F62" s="417"/>
      <c r="G62" s="417"/>
      <c r="H62" s="417"/>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row>
    <row r="63" spans="2:38" ht="22" customHeight="1" x14ac:dyDescent="0.2">
      <c r="B63" s="415" t="s">
        <v>243</v>
      </c>
      <c r="C63" s="415"/>
      <c r="D63" s="415"/>
      <c r="E63" s="415"/>
      <c r="F63" s="415"/>
      <c r="G63" s="415"/>
      <c r="H63" s="415"/>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row>
    <row r="64" spans="2:38" ht="22" hidden="1" customHeight="1" x14ac:dyDescent="0.2">
      <c r="B64" s="416"/>
      <c r="C64" s="423"/>
      <c r="D64" s="423"/>
      <c r="E64" s="423"/>
      <c r="F64" s="423"/>
      <c r="G64" s="423"/>
      <c r="H64" s="423"/>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row>
    <row r="65" spans="2:38" ht="41" customHeight="1" x14ac:dyDescent="0.2">
      <c r="B65" s="416" t="s">
        <v>244</v>
      </c>
      <c r="C65" s="417"/>
      <c r="D65" s="417"/>
      <c r="E65" s="417"/>
      <c r="F65" s="417"/>
      <c r="G65" s="417"/>
      <c r="H65" s="417"/>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row>
    <row r="66" spans="2:38" ht="22" customHeight="1" x14ac:dyDescent="0.2">
      <c r="B66" s="415" t="s">
        <v>245</v>
      </c>
      <c r="C66" s="415"/>
      <c r="D66" s="415"/>
      <c r="E66" s="415"/>
      <c r="F66" s="415"/>
      <c r="G66" s="415"/>
      <c r="H66" s="415"/>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row>
    <row r="67" spans="2:38" ht="22" hidden="1" customHeight="1" x14ac:dyDescent="0.2">
      <c r="B67" s="416"/>
      <c r="C67" s="423"/>
      <c r="D67" s="423"/>
      <c r="E67" s="423"/>
      <c r="F67" s="423"/>
      <c r="G67" s="423"/>
      <c r="H67" s="423"/>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row>
    <row r="68" spans="2:38" ht="37" customHeight="1" x14ac:dyDescent="0.2">
      <c r="B68" s="416" t="s">
        <v>261</v>
      </c>
      <c r="C68" s="417"/>
      <c r="D68" s="417"/>
      <c r="E68" s="417"/>
      <c r="F68" s="417"/>
      <c r="G68" s="417"/>
      <c r="H68" s="417"/>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row>
    <row r="69" spans="2:38" ht="22" customHeight="1" x14ac:dyDescent="0.2">
      <c r="B69" s="415" t="s">
        <v>246</v>
      </c>
      <c r="C69" s="415"/>
      <c r="D69" s="415"/>
      <c r="E69" s="415"/>
      <c r="F69" s="415"/>
      <c r="G69" s="415"/>
      <c r="H69" s="415"/>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row>
    <row r="70" spans="2:38" ht="22" hidden="1" customHeight="1" x14ac:dyDescent="0.2">
      <c r="B70" s="416"/>
      <c r="C70" s="423"/>
      <c r="D70" s="423"/>
      <c r="E70" s="423"/>
      <c r="F70" s="423"/>
      <c r="G70" s="423"/>
      <c r="H70" s="423"/>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row>
    <row r="71" spans="2:38" ht="31" customHeight="1" x14ac:dyDescent="0.2">
      <c r="B71" s="416" t="s">
        <v>262</v>
      </c>
      <c r="C71" s="417"/>
      <c r="D71" s="417"/>
      <c r="E71" s="417"/>
      <c r="F71" s="417"/>
      <c r="G71" s="417"/>
      <c r="H71" s="417"/>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row>
    <row r="72" spans="2:38" ht="8" hidden="1" customHeight="1" x14ac:dyDescent="0.2">
      <c r="B72" s="430"/>
      <c r="C72" s="430"/>
      <c r="D72" s="430"/>
      <c r="E72" s="430"/>
      <c r="F72" s="430"/>
      <c r="G72" s="430"/>
      <c r="H72" s="430"/>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row>
    <row r="73" spans="2:38" ht="20" customHeight="1" x14ac:dyDescent="0.2">
      <c r="B73" s="78"/>
      <c r="C73" s="78"/>
      <c r="D73" s="78"/>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row>
    <row r="74" spans="2:38" ht="70" hidden="1" customHeight="1" x14ac:dyDescent="0.2">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row>
    <row r="75" spans="2:38" ht="70" hidden="1" customHeight="1" x14ac:dyDescent="0.2">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row>
    <row r="76" spans="2:38" ht="70" hidden="1" customHeight="1" x14ac:dyDescent="0.2">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row>
    <row r="77" spans="2:38" ht="70" hidden="1" customHeight="1" x14ac:dyDescent="0.2">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row>
    <row r="78" spans="2:38" x14ac:dyDescent="0.2">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row>
    <row r="79" spans="2:38" ht="261" customHeight="1" x14ac:dyDescent="0.2">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row>
    <row r="80" spans="2:38" x14ac:dyDescent="0.2">
      <c r="I80" s="78"/>
      <c r="J80" s="78"/>
      <c r="K80" s="78"/>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row>
    <row r="81" spans="9:38" x14ac:dyDescent="0.2">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row>
    <row r="82" spans="9:38" x14ac:dyDescent="0.2">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row>
    <row r="83" spans="9:38" x14ac:dyDescent="0.2">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row>
    <row r="84" spans="9:38" x14ac:dyDescent="0.2">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row>
    <row r="85" spans="9:38" x14ac:dyDescent="0.2">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row>
    <row r="86" spans="9:38" x14ac:dyDescent="0.2">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row>
    <row r="87" spans="9:38" x14ac:dyDescent="0.2">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row>
    <row r="88" spans="9:38" x14ac:dyDescent="0.2">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row>
    <row r="89" spans="9:38" x14ac:dyDescent="0.2">
      <c r="I89" s="78"/>
      <c r="J89" s="78"/>
      <c r="K89" s="78"/>
      <c r="L89" s="78"/>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row>
    <row r="90" spans="9:38" x14ac:dyDescent="0.2">
      <c r="I90" s="78"/>
      <c r="J90" s="78"/>
      <c r="K90" s="78"/>
      <c r="L90" s="78"/>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row>
    <row r="91" spans="9:38" x14ac:dyDescent="0.2">
      <c r="I91" s="78"/>
      <c r="J91" s="78"/>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row>
    <row r="92" spans="9:38" x14ac:dyDescent="0.2">
      <c r="I92" s="78"/>
      <c r="J92" s="78"/>
      <c r="K92" s="78"/>
      <c r="L92" s="78"/>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row>
    <row r="93" spans="9:38" x14ac:dyDescent="0.2">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row>
    <row r="94" spans="9:38" x14ac:dyDescent="0.2">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row>
    <row r="95" spans="9:38" x14ac:dyDescent="0.2">
      <c r="I95" s="78"/>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row>
    <row r="96" spans="9:38" x14ac:dyDescent="0.2">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row>
    <row r="97" spans="9:38" x14ac:dyDescent="0.2">
      <c r="I97" s="78"/>
      <c r="J97" s="78"/>
      <c r="K97" s="78"/>
      <c r="L97" s="78"/>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row>
    <row r="98" spans="9:38" x14ac:dyDescent="0.2">
      <c r="I98" s="78"/>
      <c r="J98" s="78"/>
      <c r="K98" s="78"/>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row>
    <row r="99" spans="9:38" x14ac:dyDescent="0.2">
      <c r="I99" s="78"/>
      <c r="J99" s="78"/>
      <c r="K99" s="78"/>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row>
    <row r="100" spans="9:38" x14ac:dyDescent="0.2">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row>
    <row r="101" spans="9:38" x14ac:dyDescent="0.2">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row>
    <row r="102" spans="9:38" x14ac:dyDescent="0.2">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row>
    <row r="103" spans="9:38" x14ac:dyDescent="0.2">
      <c r="I103" s="78"/>
      <c r="J103" s="78"/>
      <c r="K103" s="78"/>
      <c r="L103" s="78"/>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row>
    <row r="104" spans="9:38" x14ac:dyDescent="0.2">
      <c r="I104" s="78"/>
      <c r="J104" s="78"/>
      <c r="K104" s="78"/>
      <c r="L104" s="78"/>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row>
    <row r="105" spans="9:38" x14ac:dyDescent="0.2">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row>
  </sheetData>
  <mergeCells count="67">
    <mergeCell ref="B69:H69"/>
    <mergeCell ref="B70:H70"/>
    <mergeCell ref="B72:H72"/>
    <mergeCell ref="B67:H67"/>
    <mergeCell ref="B68:H68"/>
    <mergeCell ref="B71:H71"/>
    <mergeCell ref="B2:H2"/>
    <mergeCell ref="B3:H3"/>
    <mergeCell ref="B8:H8"/>
    <mergeCell ref="B10:H10"/>
    <mergeCell ref="B11:H11"/>
    <mergeCell ref="B5:H5"/>
    <mergeCell ref="B4:H4"/>
    <mergeCell ref="B29:H29"/>
    <mergeCell ref="B32:H32"/>
    <mergeCell ref="B34:H34"/>
    <mergeCell ref="B35:H35"/>
    <mergeCell ref="B24:H24"/>
    <mergeCell ref="B30:H30"/>
    <mergeCell ref="B33:H33"/>
    <mergeCell ref="B22:H22"/>
    <mergeCell ref="B23:H23"/>
    <mergeCell ref="B25:H25"/>
    <mergeCell ref="B26:H26"/>
    <mergeCell ref="B28:H28"/>
    <mergeCell ref="B27:H27"/>
    <mergeCell ref="B9:H9"/>
    <mergeCell ref="B12:H12"/>
    <mergeCell ref="B15:H15"/>
    <mergeCell ref="B18:H18"/>
    <mergeCell ref="B21:H21"/>
    <mergeCell ref="B13:H13"/>
    <mergeCell ref="B14:H14"/>
    <mergeCell ref="B16:H16"/>
    <mergeCell ref="B17:H17"/>
    <mergeCell ref="B19:H19"/>
    <mergeCell ref="B20:H20"/>
    <mergeCell ref="B36:H36"/>
    <mergeCell ref="B39:H39"/>
    <mergeCell ref="B42:H42"/>
    <mergeCell ref="B45:H45"/>
    <mergeCell ref="B64:H64"/>
    <mergeCell ref="B57:H57"/>
    <mergeCell ref="B48:H48"/>
    <mergeCell ref="B51:H51"/>
    <mergeCell ref="B56:H56"/>
    <mergeCell ref="B52:H52"/>
    <mergeCell ref="B54:H54"/>
    <mergeCell ref="B46:H46"/>
    <mergeCell ref="B47:H47"/>
    <mergeCell ref="B49:H49"/>
    <mergeCell ref="B50:H50"/>
    <mergeCell ref="B55:H55"/>
    <mergeCell ref="B66:H66"/>
    <mergeCell ref="B65:H65"/>
    <mergeCell ref="B37:H37"/>
    <mergeCell ref="B38:H38"/>
    <mergeCell ref="B40:H40"/>
    <mergeCell ref="B41:H41"/>
    <mergeCell ref="B58:H58"/>
    <mergeCell ref="B60:H60"/>
    <mergeCell ref="B61:H61"/>
    <mergeCell ref="B63:H63"/>
    <mergeCell ref="B59:H59"/>
    <mergeCell ref="B62:H62"/>
    <mergeCell ref="B43:H43"/>
    <mergeCell ref="B44:H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Schneider Electric</vt:lpstr>
      <vt:lpstr>Income Statement</vt:lpstr>
      <vt:lpstr>Balance Sheet</vt:lpstr>
      <vt:lpstr>Cash Flow Statement</vt:lpstr>
      <vt:lpstr>Ratios</vt:lpstr>
      <vt:lpstr>Final Financial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 LOOZE Grégory</dc:creator>
  <cp:keywords/>
  <dc:description/>
  <cp:lastModifiedBy>EL ZEIN Issa</cp:lastModifiedBy>
  <cp:revision/>
  <dcterms:created xsi:type="dcterms:W3CDTF">2026-02-16T16:33:40Z</dcterms:created>
  <dcterms:modified xsi:type="dcterms:W3CDTF">2026-04-25T20:02:17Z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0x010100015EB90C6EEA6D4F81650B91DDD8307A</vt:lpwstr>
  </property>
</Properties>
</file>