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2.xml" ContentType="application/vnd.openxmlformats-officedocument.drawing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54a80404d9de79/Documentos/"/>
    </mc:Choice>
  </mc:AlternateContent>
  <xr:revisionPtr revIDLastSave="1601" documentId="8_{BBE54879-A57B-4D29-AD6D-14C573AA0833}" xr6:coauthVersionLast="47" xr6:coauthVersionMax="47" xr10:uidLastSave="{6C0E9446-503D-498A-BCBB-1A0CB491EB4A}"/>
  <bookViews>
    <workbookView xWindow="-108" yWindow="-108" windowWidth="23256" windowHeight="12456" firstSheet="2" activeTab="3" xr2:uid="{70FDDBF0-D14C-4D42-B65D-AE4E8AF00CC0}"/>
  </bookViews>
  <sheets>
    <sheet name="Instant kávé" sheetId="1" r:id="rId1"/>
    <sheet name="Utazási idő" sheetId="2" r:id="rId2"/>
    <sheet name="Olvasásra fodított idő" sheetId="13" r:id="rId3"/>
    <sheet name="Tejvásárlás" sheetId="3" r:id="rId4"/>
    <sheet name="Lakberendezés" sheetId="4" r:id="rId5"/>
    <sheet name="Ösztöndíj" sheetId="5" r:id="rId6"/>
    <sheet name="Hulladék" sheetId="6" r:id="rId7"/>
    <sheet name="Élvezeti cikkek" sheetId="7" r:id="rId8"/>
    <sheet name="Vízfogyasztás" sheetId="8" r:id="rId9"/>
    <sheet name="Zárthelyi dolgozat" sheetId="9" r:id="rId10"/>
    <sheet name="Darabáru-csomagoló" sheetId="19" r:id="rId11"/>
    <sheet name="Üzleti statisztika" sheetId="10" r:id="rId12"/>
    <sheet name="SMS-kommunikáció" sheetId="11" r:id="rId13"/>
    <sheet name="Felvételi" sheetId="12" r:id="rId14"/>
    <sheet name="Nem és szak kapcsolata" sheetId="14" r:id="rId15"/>
    <sheet name="Konditerem" sheetId="15" r:id="rId16"/>
    <sheet name="Őstermelő" sheetId="16" r:id="rId17"/>
    <sheet name="Intelligenciaszin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I3" i="3"/>
  <c r="L4" i="14"/>
  <c r="G4" i="14"/>
  <c r="G5" i="7"/>
  <c r="H5" i="19"/>
  <c r="H4" i="19"/>
  <c r="G3" i="11" l="1"/>
  <c r="M20" i="5"/>
  <c r="M21" i="5"/>
  <c r="K15" i="5"/>
  <c r="D22" i="5" l="1"/>
  <c r="F6" i="19"/>
  <c r="E8" i="16"/>
  <c r="F3" i="15"/>
  <c r="D3" i="15"/>
  <c r="M8" i="2"/>
  <c r="G6" i="8"/>
  <c r="O7" i="2"/>
  <c r="G7" i="8"/>
  <c r="E8" i="8"/>
  <c r="J3" i="8"/>
  <c r="I6" i="8"/>
  <c r="I4" i="8"/>
  <c r="I5" i="8"/>
  <c r="L8" i="2"/>
  <c r="L7" i="2"/>
  <c r="L6" i="2"/>
  <c r="L5" i="2"/>
  <c r="F3" i="8"/>
  <c r="G6" i="2"/>
  <c r="F5" i="8"/>
  <c r="F2" i="8"/>
  <c r="D5" i="8"/>
  <c r="D6" i="8" s="1"/>
  <c r="D7" i="8" s="1"/>
  <c r="D4" i="8"/>
  <c r="G7" i="7"/>
  <c r="M3" i="7" a="1"/>
  <c r="M3" i="7" s="1"/>
  <c r="M4" i="7"/>
  <c r="G4" i="7"/>
  <c r="G3" i="7"/>
  <c r="M2" i="7" a="1"/>
  <c r="M2" i="7" s="1"/>
  <c r="F7" i="8" l="1"/>
  <c r="F6" i="8"/>
  <c r="M13" i="14" l="1"/>
  <c r="Q7" i="14"/>
  <c r="M15" i="14"/>
  <c r="M19" i="14"/>
  <c r="M17" i="14"/>
  <c r="N7" i="14"/>
  <c r="L6" i="14"/>
  <c r="L5" i="14"/>
  <c r="M4" i="14"/>
  <c r="M5" i="14"/>
  <c r="M6" i="14"/>
  <c r="M11" i="14"/>
  <c r="H4" i="14"/>
  <c r="H5" i="14"/>
  <c r="H6" i="14"/>
  <c r="G5" i="14"/>
  <c r="G6" i="14"/>
  <c r="H12" i="3"/>
  <c r="R6" i="3"/>
  <c r="Q3" i="3"/>
  <c r="Q4" i="3"/>
  <c r="Q5" i="3"/>
  <c r="P5" i="3"/>
  <c r="P4" i="3"/>
  <c r="P3" i="3"/>
  <c r="O5" i="3"/>
  <c r="O4" i="3"/>
  <c r="K5" i="3"/>
  <c r="J4" i="3"/>
  <c r="I4" i="3"/>
  <c r="J3" i="3"/>
  <c r="K3" i="3"/>
  <c r="K4" i="3"/>
  <c r="J5" i="3"/>
  <c r="I5" i="3"/>
  <c r="E6" i="16" l="1"/>
  <c r="Q8" i="17"/>
  <c r="Q7" i="17"/>
  <c r="Q6" i="17"/>
  <c r="Q5" i="17"/>
  <c r="Q4" i="17"/>
  <c r="N8" i="17"/>
  <c r="P14" i="15"/>
  <c r="F4" i="15"/>
  <c r="K7" i="4"/>
  <c r="D4" i="15"/>
  <c r="D5" i="15"/>
  <c r="D6" i="15"/>
  <c r="D7" i="15"/>
  <c r="D8" i="15"/>
  <c r="D9" i="15"/>
  <c r="K14" i="15"/>
  <c r="C4" i="15"/>
  <c r="C5" i="15"/>
  <c r="C6" i="15"/>
  <c r="C7" i="15"/>
  <c r="C8" i="15"/>
  <c r="C9" i="15"/>
  <c r="C3" i="15"/>
  <c r="I3" i="15"/>
  <c r="K9" i="16"/>
  <c r="E4" i="16" s="1"/>
  <c r="E3" i="16"/>
  <c r="K8" i="16"/>
  <c r="K7" i="16"/>
  <c r="Q12" i="6"/>
  <c r="Q11" i="6"/>
  <c r="D10" i="15" l="1"/>
  <c r="C10" i="15"/>
  <c r="K10" i="16"/>
  <c r="Q10" i="6"/>
  <c r="E5" i="16" l="1"/>
  <c r="K12" i="16"/>
  <c r="K11" i="16"/>
  <c r="L14" i="5"/>
  <c r="K14" i="5"/>
  <c r="H7" i="5"/>
  <c r="E16" i="5"/>
  <c r="E18" i="5"/>
  <c r="H6" i="5"/>
  <c r="H5" i="5"/>
  <c r="H4" i="5" a="1"/>
  <c r="H4" i="5" s="1"/>
  <c r="E7" i="5"/>
  <c r="E8" i="5"/>
  <c r="E9" i="5"/>
  <c r="E6" i="5"/>
  <c r="E4" i="5"/>
  <c r="E12" i="5" a="1"/>
  <c r="E12" i="5" s="1"/>
  <c r="D12" i="5"/>
  <c r="N19" i="4"/>
  <c r="K5" i="4"/>
  <c r="E10" i="4"/>
  <c r="D10" i="4"/>
  <c r="E5" i="4"/>
  <c r="E6" i="4"/>
  <c r="E7" i="4"/>
  <c r="E8" i="4"/>
  <c r="E9" i="4"/>
  <c r="E4" i="4"/>
  <c r="D5" i="4"/>
  <c r="D6" i="4"/>
  <c r="D7" i="4"/>
  <c r="D8" i="4"/>
  <c r="D9" i="4"/>
  <c r="D4" i="4"/>
  <c r="K2" i="4" l="1"/>
  <c r="K4" i="4"/>
  <c r="M14" i="13"/>
  <c r="L3" i="13"/>
  <c r="M26" i="2" l="1"/>
  <c r="M24" i="2"/>
  <c r="L13" i="2"/>
  <c r="G5" i="2"/>
  <c r="L9" i="2" l="1"/>
  <c r="L20" i="2"/>
  <c r="D11" i="2"/>
  <c r="L22" i="2" l="1"/>
  <c r="M22" i="2"/>
  <c r="M9" i="2"/>
  <c r="L18" i="2"/>
  <c r="D23" i="1"/>
  <c r="D22" i="1"/>
  <c r="D15" i="1"/>
  <c r="D20" i="1"/>
  <c r="D19" i="1"/>
  <c r="D18" i="1"/>
  <c r="H19" i="1"/>
  <c r="H18" i="1"/>
  <c r="H17" i="1"/>
  <c r="H16" i="1"/>
  <c r="H14" i="1"/>
  <c r="B10" i="4" l="1"/>
  <c r="D17" i="1"/>
  <c r="G16" i="13"/>
  <c r="K4" i="13"/>
  <c r="K3" i="13"/>
  <c r="J3" i="13"/>
  <c r="J5" i="13"/>
  <c r="J12" i="13"/>
  <c r="K10" i="13"/>
  <c r="F4" i="13"/>
  <c r="I3" i="13"/>
  <c r="H6" i="13"/>
  <c r="H5" i="13"/>
  <c r="H4" i="13"/>
  <c r="G3" i="13"/>
  <c r="F6" i="13"/>
  <c r="F5" i="13"/>
  <c r="E6" i="13"/>
  <c r="E5" i="13"/>
  <c r="E4" i="13"/>
  <c r="H5" i="2"/>
  <c r="H4" i="2"/>
  <c r="G4" i="2"/>
  <c r="C8" i="2"/>
  <c r="C9" i="2"/>
  <c r="C10" i="2"/>
  <c r="C7" i="2"/>
  <c r="H3" i="11"/>
  <c r="F10" i="11"/>
  <c r="E10" i="11"/>
  <c r="C10" i="11"/>
  <c r="B10" i="11"/>
  <c r="F4" i="11"/>
  <c r="F3" i="11"/>
  <c r="E4" i="11"/>
  <c r="E3" i="11"/>
  <c r="D5" i="11"/>
  <c r="F5" i="11" s="1"/>
  <c r="Q8" i="6"/>
  <c r="E15" i="4"/>
  <c r="F15" i="4" s="1"/>
  <c r="D6" i="11" l="1"/>
  <c r="D7" i="11" s="1"/>
  <c r="D8" i="11" s="1"/>
  <c r="D9" i="11" s="1"/>
  <c r="F9" i="11" s="1"/>
  <c r="E6" i="11"/>
  <c r="E5" i="11"/>
  <c r="F8" i="11"/>
  <c r="E7" i="11" l="1"/>
  <c r="E9" i="11"/>
  <c r="E8" i="11"/>
  <c r="F7" i="11"/>
  <c r="F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<sst xmlns="http://schemas.openxmlformats.org/spreadsheetml/2006/main" count="579" uniqueCount="423">
  <si>
    <t>Kávéfajta</t>
  </si>
  <si>
    <t>Minta</t>
  </si>
  <si>
    <t>elemszáma (db)</t>
  </si>
  <si>
    <t>Oldódási idő</t>
  </si>
  <si>
    <t>átlaga (másodperc)</t>
  </si>
  <si>
    <t>szórása (másodperc)</t>
  </si>
  <si>
    <t>Nescafé (1.)</t>
  </si>
  <si>
    <t>Tchibo (2.)</t>
  </si>
  <si>
    <r>
      <t>Vizsgálja meg</t>
    </r>
    <r>
      <rPr>
        <sz val="11"/>
        <color rgb="FFFF0000"/>
        <rFont val="Aptos Narrow"/>
        <family val="2"/>
        <scheme val="minor"/>
      </rPr>
      <t xml:space="preserve"> 2%</t>
    </r>
    <r>
      <rPr>
        <sz val="11"/>
        <color theme="1"/>
        <rFont val="Aptos Narrow"/>
        <family val="2"/>
        <charset val="238"/>
        <scheme val="minor"/>
      </rPr>
      <t>-os szignifikancia-szinten, hogy a Nescafé kávé lassabban oldódik, mint a Tchibo! Adja meg a vizsgálat során felmerült kiemelt eredményeket (4 tizedesjegy pontossággal, vesszővel elválasztva), vagy válassza ki a megfelelőt a felsoroltakból!</t>
    </r>
  </si>
  <si>
    <t>Alternatív hipotézis:</t>
  </si>
  <si>
    <t>Próbafüggvény értéke :</t>
  </si>
  <si>
    <t>A megfelelő kritikus érték :</t>
  </si>
  <si>
    <t>Döntés a H0 –ról:</t>
  </si>
  <si>
    <t>Értelmezés:</t>
  </si>
  <si>
    <t>u1 nem=u2</t>
  </si>
  <si>
    <t>u1 &gt; u2</t>
  </si>
  <si>
    <t>u1 &lt; u2</t>
  </si>
  <si>
    <t>u1 &lt;= u2</t>
  </si>
  <si>
    <t>elfogadom</t>
  </si>
  <si>
    <t>A nescafé kávé lassabban oldódik mint a tchibo káva 2%-os szign.</t>
  </si>
  <si>
    <t>A nescafé kávé nem oldódik lassabban mint a tchibo káva 2%-os szign.</t>
  </si>
  <si>
    <t>Utazással töltött</t>
  </si>
  <si>
    <t>idő (perc)</t>
  </si>
  <si>
    <t>Dolgozók</t>
  </si>
  <si>
    <t>száma (fő)</t>
  </si>
  <si>
    <t>      – 20</t>
  </si>
  <si>
    <t>21 – 30</t>
  </si>
  <si>
    <t>31 – 40</t>
  </si>
  <si>
    <t>41 – 60</t>
  </si>
  <si>
    <t>                              61 –</t>
  </si>
  <si>
    <t>Összesen:</t>
  </si>
  <si>
    <t>A dolgozók maximum 46,89%-a tölt legfeljebb 30 percet azzal, hogy eléri munkahelyét.</t>
  </si>
  <si>
    <t>A mintában a dolgozók 37,50%-a utazik legfeljebb fél órát a munkahelyére.</t>
  </si>
  <si>
    <t>200 dolgozóból legfeljebb 30 percet tölt utazással minimum 109, maximum 141 fő.</t>
  </si>
  <si>
    <t>A maximum félórás munkábajárású dolgozók arányának becslésekor legfeljebb 7,91%-ot tévedünk.</t>
  </si>
  <si>
    <t>A maximum félórás munkábajárású dolgozók arányának becslésekor átlagosan 4,03 százalékpontot tévedünk.</t>
  </si>
  <si>
    <t>Tejvásárlási szokásokat vizsgáltak. A megkérdezett 1170 fő válaszait az alábbi táblázat tartalmazza. Vizsgálja meg, hogy a megkérdezettek között milyen szoros a kapcsolat a vásárolt tej típusa és a lakhely között. A válaszokat két tizedesjegy pontossággal, vesszővel elválasztva adja meg (pl. 12,34), vagy válassza ki a megfelelőt a felsoroltakból!</t>
  </si>
  <si>
    <t>Tej / Lakhely</t>
  </si>
  <si>
    <t>  Falvak  </t>
  </si>
  <si>
    <t>  Város  </t>
  </si>
  <si>
    <t>Nagyváros</t>
  </si>
  <si>
    <t>Összesen</t>
  </si>
  <si>
    <t>2,8%-os</t>
  </si>
  <si>
    <t>1,5%-os</t>
  </si>
  <si>
    <t>Laktózmentes</t>
  </si>
  <si>
    <t>A vásárolt tej típusa és a lakhely között</t>
  </si>
  <si>
    <t>asszociációs</t>
  </si>
  <si>
    <t>korrelációs</t>
  </si>
  <si>
    <t>vegyes</t>
  </si>
  <si>
    <t xml:space="preserve">Függetlenséget feltételezve </t>
  </si>
  <si>
    <t xml:space="preserve">fő (egész szám!) vásárol 1,5%-os tejet, aki nagyvárosban lakik. A Khí-négyzet-mutató értéke </t>
  </si>
  <si>
    <t>. A kapcsolat szorosságának mérőszáma</t>
  </si>
  <si>
    <t xml:space="preserve">A vásárolt tej típusa és a lakhely között </t>
  </si>
  <si>
    <t>kapcsolat van a vizsgált sokaságban.</t>
  </si>
  <si>
    <t xml:space="preserve">gyenge </t>
  </si>
  <si>
    <t xml:space="preserve">közepes </t>
  </si>
  <si>
    <t>erős</t>
  </si>
  <si>
    <t>Az egyik lakberendezési áruházlánc felmérést végzett a nyári szezon előtti időszakban a díszpárnák vásárlásával kapcsolatban. A kapott adatok a következők:</t>
  </si>
  <si>
    <t>Motívum</t>
  </si>
  <si>
    <t>Eladott darabszám</t>
  </si>
  <si>
    <t>Virágos</t>
  </si>
  <si>
    <t>Gyümölcsös</t>
  </si>
  <si>
    <t>Fűszeres</t>
  </si>
  <si>
    <t>Kávés</t>
  </si>
  <si>
    <t>Fagylaltos</t>
  </si>
  <si>
    <t>Napernyős</t>
  </si>
  <si>
    <t>Az áruházlánc marketing osztálya vizsgálta, hogy a különféle motívumú díszpárnákat azonos arányban választották és vették-e a vevők 5%-os szignifikancia-szint mellett.</t>
  </si>
  <si>
    <t>Döntse el az alábbi állításokról, hogy igazak vagy hamisak!</t>
  </si>
  <si>
    <t>Szabadságfok 6-1= 5.</t>
  </si>
  <si>
    <t>Illeszkedésvizsgálatot kell lefolytatni.</t>
  </si>
  <si>
    <t>H0 –t elfogadjuk, nem egyenletesen választották és vették a különféle motívumú díszpárnákat a vevők 5%-os szignifikancia-szinten.</t>
  </si>
  <si>
    <t>H1 : Pi  = 0,17</t>
  </si>
  <si>
    <t>Cf : KHINÉGYZET.INVERZ (0,95;5)=11,07</t>
  </si>
  <si>
    <t>Nappali tagozatos egyetemi hallgatók ösztöndíját vizsgálták egy egyetemi évfolyamon, különböző szakokon, egy adott félévben. A vizsgálat eredménye a következő:</t>
  </si>
  <si>
    <t>Szak</t>
  </si>
  <si>
    <t>Hallgatók</t>
  </si>
  <si>
    <t>Ösztöndíjak</t>
  </si>
  <si>
    <t>átlaga (ezer Ft)</t>
  </si>
  <si>
    <t>szórása (ezer Ft)</t>
  </si>
  <si>
    <t>Kereskedelem és marketing</t>
  </si>
  <si>
    <t>Pénzügy és számvitel</t>
  </si>
  <si>
    <t>Emberi erőforrások</t>
  </si>
  <si>
    <t>Turizmus-vendéglátás</t>
  </si>
  <si>
    <t>SSB = 2303,69</t>
  </si>
  <si>
    <t>Az egyes hallgatók ösztöndíja az egyetem évfolyamának átlagától átlagosan 2470 Ft-tal tér el.</t>
  </si>
  <si>
    <t>Belső szórásnégyzet: 2250,59</t>
  </si>
  <si>
    <t>Vegyes kapcsolat van az ismérvek között. Az egyetemi szakon kívüli tényezőknek 29%-os a magyarázó ereje.</t>
  </si>
  <si>
    <r>
      <t> σ</t>
    </r>
    <r>
      <rPr>
        <vertAlign val="subscript"/>
        <sz val="11"/>
        <color theme="1"/>
        <rFont val="Aptos Narrow"/>
        <family val="2"/>
        <charset val="238"/>
        <scheme val="minor"/>
      </rPr>
      <t>K</t>
    </r>
    <r>
      <rPr>
        <vertAlign val="superscript"/>
        <sz val="11"/>
        <color theme="1"/>
        <rFont val="Aptos Narrow"/>
        <family val="2"/>
        <charset val="238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 = 3,09</t>
    </r>
  </si>
  <si>
    <t>H0: μ = 46 liter          H1: μ &lt; 46 liter</t>
  </si>
  <si>
    <t>Próbafüggvény értéke: − 2,74</t>
  </si>
  <si>
    <t>Ca (T.INVERZ 0,05; (30-1)) = − 1,70</t>
  </si>
  <si>
    <t>H0 -t elutasítjuk, 5 %-os szignifikancia-szint mellett igaz az az állítás, miszerint a lakásonkénti heti hulladék átlagos mennyisége legalább 46 liter.</t>
  </si>
  <si>
    <t>H0: μ = 46 liter           H1: μ &gt; 46 liter</t>
  </si>
  <si>
    <t>Próbafüggvény értéke: 2,74</t>
  </si>
  <si>
    <t>Cf (T.INVERZ 0,95; (30-1)) = 1,70</t>
  </si>
  <si>
    <t>H0 -t elutasítjuk, 5 %-os szignifikancia-szint mellett nem igaz, hogy a lakásonkénti heti hulladék átlagos mennyisége legalább 46 liter.</t>
  </si>
  <si>
    <t>Ca (NORM.S.INVERZ 0,05) = − 1,645</t>
  </si>
  <si>
    <t>H0: μ = 46 liter           H1: μ ≠ 46 liter</t>
  </si>
  <si>
    <t>Ca (T.INVERZ 0,025; (30-1)) = − 2,05</t>
  </si>
  <si>
    <t>Cf (T.INVERZ 0,975; (30-1)) = 2,05</t>
  </si>
  <si>
    <t>H0: μ = 46 liter         H1: μ &lt; 46 liter</t>
  </si>
  <si>
    <t>Egy vállalkozásnál vizsgálták a dolgozók élvezeti cikkekre fordított kiadását lakhely szerint. A minta adatai:</t>
  </si>
  <si>
    <t>Település</t>
  </si>
  <si>
    <t>típusa</t>
  </si>
  <si>
    <t>Háztartások</t>
  </si>
  <si>
    <t>száma (db)</t>
  </si>
  <si>
    <t>1 főre jutó évi</t>
  </si>
  <si>
    <t>kiadás átlaga (ezer Ft)</t>
  </si>
  <si>
    <t>kiadás szórása (ezer Ft)</t>
  </si>
  <si>
    <t>Főváros</t>
  </si>
  <si>
    <t>Városok</t>
  </si>
  <si>
    <t>Községek</t>
  </si>
  <si>
    <t>H1</t>
  </si>
  <si>
    <t>u1=u2=u3=u</t>
  </si>
  <si>
    <t>létezik olyan i és j amelyre nem igaz hogy Pij=Pi*Pj</t>
  </si>
  <si>
    <t>létezik olyan i amelyre nem igaz hogy P(Xi)=Pi</t>
  </si>
  <si>
    <t>létezik olyan j amelyre uj nem egyenlő u</t>
  </si>
  <si>
    <t>SB</t>
  </si>
  <si>
    <t>Próbafüggvény értéke:</t>
  </si>
  <si>
    <t>Releváns kritikus érték:</t>
  </si>
  <si>
    <r>
      <t xml:space="preserve">Döntés a </t>
    </r>
    <r>
      <rPr>
        <i/>
        <sz val="11"/>
        <color theme="1"/>
        <rFont val="Aptos Narrow"/>
        <family val="2"/>
        <charset val="238"/>
        <scheme val="minor"/>
      </rPr>
      <t>H</t>
    </r>
    <r>
      <rPr>
        <i/>
        <vertAlign val="subscript"/>
        <sz val="11"/>
        <color theme="1"/>
        <rFont val="Aptos Narrow"/>
        <family val="2"/>
        <charset val="238"/>
        <scheme val="minor"/>
      </rPr>
      <t>0</t>
    </r>
    <r>
      <rPr>
        <sz val="11"/>
        <color theme="1"/>
        <rFont val="Aptos Narrow"/>
        <family val="2"/>
        <charset val="238"/>
        <scheme val="minor"/>
      </rPr>
      <t xml:space="preserve"> -ról:</t>
    </r>
  </si>
  <si>
    <t>elutasítás, tehát vegyes kapcsolat van a lakhely és élvezeti cikkekre fordított kiadás között</t>
  </si>
  <si>
    <t>elfogadás, tehát nincs kapcsolat az ismérvek között</t>
  </si>
  <si>
    <t>elfogadés, tehát van kapcsolat az simérvek között</t>
  </si>
  <si>
    <t>elutasítás, tehát nincs kapcsolat a lakhely és az élvezeti cikkekre fordított kiadás között</t>
  </si>
  <si>
    <t>Egy településen a lakossági vízfogyasztásról reprezentatív felmérést készítettek. A felmérés során a lakások 6%-át vizsgálták meg. A sokaság normális eloszlása feltételezhető. A mintába került lakások vízfogyasztás szerinti megoszlása a következő:</t>
  </si>
  <si>
    <t>Vízfogyasztás</t>
  </si>
  <si>
    <r>
      <t>(m</t>
    </r>
    <r>
      <rPr>
        <vertAlign val="superscript"/>
        <sz val="11"/>
        <color theme="1"/>
        <rFont val="Aptos Narrow"/>
        <family val="2"/>
        <charset val="238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)         </t>
    </r>
  </si>
  <si>
    <t>Lakások száma (darab) </t>
  </si>
  <si>
    <t>5 -</t>
  </si>
  <si>
    <t>15-</t>
  </si>
  <si>
    <t>25 -</t>
  </si>
  <si>
    <t>35 -</t>
  </si>
  <si>
    <t>45 -</t>
  </si>
  <si>
    <r>
      <t>A mintába került 35 m</t>
    </r>
    <r>
      <rPr>
        <vertAlign val="superscript"/>
        <sz val="11"/>
        <color theme="1"/>
        <rFont val="Aptos Narrow"/>
        <family val="2"/>
        <charset val="238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-nél kisebb lakások aránya:</t>
    </r>
  </si>
  <si>
    <t>%</t>
  </si>
  <si>
    <r>
      <t>A 35 m</t>
    </r>
    <r>
      <rPr>
        <vertAlign val="superscript"/>
        <sz val="11"/>
        <color theme="1"/>
        <rFont val="Aptos Narrow"/>
        <family val="2"/>
        <charset val="238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-nél kisebb vízfogyasztású lakások aránya 95%-os megbízhatósági szinten</t>
    </r>
  </si>
  <si>
    <t xml:space="preserve">% és </t>
  </si>
  <si>
    <t>% közé esik</t>
  </si>
  <si>
    <r>
      <t>A 35 m</t>
    </r>
    <r>
      <rPr>
        <vertAlign val="superscript"/>
        <sz val="11"/>
        <color theme="1"/>
        <rFont val="Aptos Narrow"/>
        <family val="2"/>
        <charset val="238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-nél kisebb vízfogyasztású lakások száma 95%-os megbízhatósági szinten</t>
    </r>
  </si>
  <si>
    <t>db (egész szám) és</t>
  </si>
  <si>
    <t>db (egész szám) közé esik</t>
  </si>
  <si>
    <t xml:space="preserve">nagy minta -&gt; z </t>
  </si>
  <si>
    <t>átlag</t>
  </si>
  <si>
    <t>szórás</t>
  </si>
  <si>
    <r>
      <t xml:space="preserve">Egy kerületi önkormányzat a lakásonkénti hulladék heti mennyiségét becsülendő 30 elemű véletlen mintát vett, aminek eredménye (liter/hét): </t>
    </r>
    <r>
      <rPr>
        <sz val="11"/>
        <color rgb="FFFF0000"/>
        <rFont val="Aptos Narrow"/>
        <family val="2"/>
        <scheme val="minor"/>
      </rPr>
      <t xml:space="preserve">x átlag = 42; </t>
    </r>
    <r>
      <rPr>
        <i/>
        <sz val="11"/>
        <color rgb="FFFF0000"/>
        <rFont val="Aptos Narrow"/>
        <family val="2"/>
        <scheme val="minor"/>
      </rPr>
      <t>s</t>
    </r>
    <r>
      <rPr>
        <sz val="11"/>
        <color rgb="FFFF0000"/>
        <rFont val="Aptos Narrow"/>
        <family val="2"/>
        <scheme val="minor"/>
      </rPr>
      <t xml:space="preserve"> = 8</t>
    </r>
    <r>
      <rPr>
        <sz val="11"/>
        <color theme="1"/>
        <rFont val="Aptos Narrow"/>
        <family val="2"/>
        <charset val="238"/>
        <scheme val="minor"/>
      </rPr>
      <t>.</t>
    </r>
  </si>
  <si>
    <r>
      <rPr>
        <sz val="11"/>
        <color rgb="FFFF0000"/>
        <rFont val="Aptos Narrow"/>
        <family val="2"/>
        <scheme val="minor"/>
      </rPr>
      <t>5%</t>
    </r>
    <r>
      <rPr>
        <sz val="11"/>
        <color theme="1"/>
        <rFont val="Aptos Narrow"/>
        <family val="2"/>
        <charset val="238"/>
        <scheme val="minor"/>
      </rPr>
      <t>-os szignifikancia-szint esetén válassza ki a helyes megoldás(oka)t!</t>
    </r>
  </si>
  <si>
    <r>
      <t>Alátámasztja-e a minta azt a véleményt, miszerint a lakásonkénti heti hulladék átlagos mennyisége legalább 46 liter, ha a hulladék mennyiségének</t>
    </r>
    <r>
      <rPr>
        <sz val="11"/>
        <color rgb="FFFF0000"/>
        <rFont val="Aptos Narrow"/>
        <family val="2"/>
        <scheme val="minor"/>
      </rPr>
      <t xml:space="preserve"> normális eloszlását</t>
    </r>
    <r>
      <rPr>
        <sz val="11"/>
        <color theme="1"/>
        <rFont val="Aptos Narrow"/>
        <family val="2"/>
        <charset val="238"/>
        <scheme val="minor"/>
      </rPr>
      <t xml:space="preserve"> feltételezzük?</t>
    </r>
  </si>
  <si>
    <t>kis minta-&gt;t inverz</t>
  </si>
  <si>
    <t>alfa</t>
  </si>
  <si>
    <t>s/gyök n</t>
  </si>
  <si>
    <t>n</t>
  </si>
  <si>
    <r>
      <t xml:space="preserve">Ellenőrizze </t>
    </r>
    <r>
      <rPr>
        <sz val="11"/>
        <color rgb="FFFF0000"/>
        <rFont val="Aptos Narrow"/>
        <family val="2"/>
        <scheme val="minor"/>
      </rPr>
      <t>5%</t>
    </r>
    <r>
      <rPr>
        <sz val="11"/>
        <color theme="1"/>
        <rFont val="Aptos Narrow"/>
        <family val="2"/>
        <charset val="238"/>
        <scheme val="minor"/>
      </rPr>
      <t>-os szignifikancia-szinten, hogy a lakhelyhatással van-e a dolgozók élvezeti cikketre fordított kiadására! Adja meg a vizsgálat során felmerült kiemelt eredményeket (két tizedesjegy pontossággal, vesszővel elválasztva), vagy válassza ki a megfelelőt a felsoroltakból!</t>
    </r>
  </si>
  <si>
    <t>elutasítom</t>
  </si>
  <si>
    <t>Egy egyetemi oktató az első zárthelyi dolgozat után kiválasztott hallgatókat mindhárom szakról. Az eredményekről az alábbiak ismertek:</t>
  </si>
  <si>
    <t>  száma (fő)  </t>
  </si>
  <si>
    <t>Elért pontszám</t>
  </si>
  <si>
    <t>átlaga (pont)</t>
  </si>
  <si>
    <t>szórása (%)</t>
  </si>
  <si>
    <t>Gazdálkodás-menedzsment</t>
  </si>
  <si>
    <t>Pénzügy-számvitel</t>
  </si>
  <si>
    <t>Együtt</t>
  </si>
  <si>
    <t>5%-os szignifikancia-szinten vizsgálta, hogy az évfolyamon a három szakon azonos pontszámot értek-e el a hallgatók.</t>
  </si>
  <si>
    <t>A próbafüggvény értéke 0,0029.</t>
  </si>
  <si>
    <r>
      <t>S</t>
    </r>
    <r>
      <rPr>
        <i/>
        <vertAlign val="subscript"/>
        <sz val="11"/>
        <color theme="1"/>
        <rFont val="Aptos Narrow"/>
        <family val="2"/>
        <charset val="238"/>
        <scheme val="minor"/>
      </rPr>
      <t>B</t>
    </r>
    <r>
      <rPr>
        <sz val="11"/>
        <color theme="1"/>
        <rFont val="Aptos Narrow"/>
        <family val="2"/>
        <charset val="238"/>
        <scheme val="minor"/>
      </rPr>
      <t xml:space="preserve"> = 40 444,9972</t>
    </r>
  </si>
  <si>
    <r>
      <t>S</t>
    </r>
    <r>
      <rPr>
        <i/>
        <vertAlign val="subscript"/>
        <sz val="11"/>
        <color theme="1"/>
        <rFont val="Aptos Narrow"/>
        <family val="2"/>
        <charset val="238"/>
        <scheme val="minor"/>
      </rPr>
      <t>K</t>
    </r>
    <r>
      <rPr>
        <sz val="11"/>
        <color theme="1"/>
        <rFont val="Aptos Narrow"/>
        <family val="2"/>
        <charset val="238"/>
        <scheme val="minor"/>
      </rPr>
      <t xml:space="preserve"> = 118,2831</t>
    </r>
  </si>
  <si>
    <t>A próbafüggvény nevezője: 50,2901.</t>
  </si>
  <si>
    <t>Csak felső kritikus értéket kell keresni 1-alfa helyen.</t>
  </si>
  <si>
    <t>Döntse el, hogy az alábbi állítások közül melyek igazak és melyek hamisak!</t>
  </si>
  <si>
    <t>A tanulási idő várható értékének becslése során legfeljebb 1,8070 órát (közelítőleg 108 percet) tévedhetünk.</t>
  </si>
  <si>
    <t>Az átlagos tanulási idő 95%-os megbízhatósági szinten 16,19 és 19,81 óra közé esik.</t>
  </si>
  <si>
    <t>Átlagosan 0,9220 órát (közelítőleg 55 percet) tévedhetünk a tanulási idő várható értékének becslése során.</t>
  </si>
  <si>
    <t>A tanulási idő várható értékének becslése során átlagosan 0,9718 órát (közelítőleg 58 percet) tévedhetünk.</t>
  </si>
  <si>
    <t>A táblázatos érték a várható érték becslése során 1,9886.</t>
  </si>
  <si>
    <t>Karakterek száma / sms</t>
  </si>
  <si>
    <t>Küldött sms-ek száma</t>
  </si>
  <si>
    <t>Kapott sms-ek száma</t>
  </si>
  <si>
    <t>       - 50</t>
  </si>
  <si>
    <t>50,1 - 100</t>
  </si>
  <si>
    <t>100,1 - 150</t>
  </si>
  <si>
    <t>150,1 - 200</t>
  </si>
  <si>
    <t>200,1 - 250</t>
  </si>
  <si>
    <t>250,1 - 300</t>
  </si>
  <si>
    <t>              300,1 -</t>
  </si>
  <si>
    <t>Állítható-e 4%-os szignifikancia-szinten, hogy a küldött (1) és kapott (2) sms-ek karakterszámának szórása megegyezik? Az adatokat 4 tizedes pontossággal írja be, vagy válassza ki a megfelelőt a felsoroltakból!</t>
  </si>
  <si>
    <t>Az ellenhipotézis tartalma:</t>
  </si>
  <si>
    <t>A próbafüggvény értéke</t>
  </si>
  <si>
    <t>A teszthez számított alsó kritikus érték:</t>
  </si>
  <si>
    <t>A teszthez számított felső kritikus érték:</t>
  </si>
  <si>
    <t>4%-os szignifikancia-szinten az állítás, mely szerint a küldött és kapott sms-ek karakterszámának szórása megegyezik,</t>
  </si>
  <si>
    <t>elfogadásra került</t>
  </si>
  <si>
    <t>elutasításra került</t>
  </si>
  <si>
    <t>Egy felvételi előkészítő lebonyolítása során felmérést végeztek, hogy a 4., 6. és 8. osztályos tanulók melyik középiskolatípusban szeretnének továbbtanulni. Az eredmények az alábbi táblában láthatók (fő):</t>
  </si>
  <si>
    <t>Tanuló korosztálya /</t>
  </si>
  <si>
    <t>Választott középiskola típusa</t>
  </si>
  <si>
    <t>Budapesti</t>
  </si>
  <si>
    <t>állami</t>
  </si>
  <si>
    <t>Budapest</t>
  </si>
  <si>
    <t>környéki állami</t>
  </si>
  <si>
    <t>egyházi</t>
  </si>
  <si>
    <t>környéki egyházi</t>
  </si>
  <si>
    <t>4.osztályos</t>
  </si>
  <si>
    <t>6.osztályos</t>
  </si>
  <si>
    <t>8.osztályos</t>
  </si>
  <si>
    <t>Adja meg a vizsgálat során felmerült kiemelt eredményeket (két tizedesjegy pontossággal, vesszővel elválasztva; pl. 28,12), vagy válassza ki a megfelelőt a felsoroltakból!</t>
  </si>
  <si>
    <t>A tanulók korosztály szerinti hovatartozása és a választott középiskola típusa között</t>
  </si>
  <si>
    <t>típusú sztochasztikus kapcsolat van.</t>
  </si>
  <si>
    <t xml:space="preserve">Amennyiben a két ismérv független lenne egymástól, akkor a Budapest környéki állami középiskolák </t>
  </si>
  <si>
    <t>százalékát 4. osztályos tanulók választanák.</t>
  </si>
  <si>
    <r>
      <t xml:space="preserve">A </t>
    </r>
    <r>
      <rPr>
        <i/>
        <sz val="11"/>
        <color theme="1"/>
        <rFont val="Aptos Narrow"/>
        <family val="2"/>
        <charset val="238"/>
        <scheme val="minor"/>
      </rPr>
      <t>χ</t>
    </r>
    <r>
      <rPr>
        <i/>
        <vertAlign val="superscript"/>
        <sz val="11"/>
        <color theme="1"/>
        <rFont val="Aptos Narrow"/>
        <family val="2"/>
        <charset val="238"/>
        <scheme val="minor"/>
      </rPr>
      <t>2</t>
    </r>
    <r>
      <rPr>
        <i/>
        <vertAlign val="subscript"/>
        <sz val="11"/>
        <color theme="1"/>
        <rFont val="Aptos Narrow"/>
        <family val="2"/>
        <charset val="238"/>
        <scheme val="minor"/>
      </rPr>
      <t>34</t>
    </r>
    <r>
      <rPr>
        <sz val="11"/>
        <color theme="1"/>
        <rFont val="Aptos Narrow"/>
        <family val="2"/>
        <charset val="238"/>
        <scheme val="minor"/>
      </rPr>
      <t xml:space="preserve"> = </t>
    </r>
  </si>
  <si>
    <t xml:space="preserve">.  A  szorossági mutatószám gyök alatti számlálója: </t>
  </si>
  <si>
    <t xml:space="preserve">.  A két ismérv között </t>
  </si>
  <si>
    <t>kapcsolat van.</t>
  </si>
  <si>
    <t>közepes</t>
  </si>
  <si>
    <t>gyenge</t>
  </si>
  <si>
    <t>közepesnél gyengébb</t>
  </si>
  <si>
    <t>kapcsolat van</t>
  </si>
  <si>
    <r>
      <t xml:space="preserve">Kutatók vizsgálták az sms-kommunikációt. A véletlenszerűen kiválasztott üzenetekkel kapcsolatban tapasztalt adatok az alábbi táblázatban szerepelnek. A kutatás alapján elmondható, hogy az sms-ekben lévő karakterek száma </t>
    </r>
    <r>
      <rPr>
        <sz val="11"/>
        <color rgb="FFFF0000"/>
        <rFont val="Aptos Narrow"/>
        <family val="2"/>
        <scheme val="minor"/>
      </rPr>
      <t>normális eloszlás</t>
    </r>
    <r>
      <rPr>
        <sz val="11"/>
        <color theme="1"/>
        <rFont val="Aptos Narrow"/>
        <family val="2"/>
        <charset val="238"/>
        <scheme val="minor"/>
      </rPr>
      <t>t követ.</t>
    </r>
  </si>
  <si>
    <t>közép</t>
  </si>
  <si>
    <t>s1</t>
  </si>
  <si>
    <t>s2</t>
  </si>
  <si>
    <t>x1*közép</t>
  </si>
  <si>
    <t>x2*közép</t>
  </si>
  <si>
    <t>összesen</t>
  </si>
  <si>
    <r>
      <t>Tegyük fel, hogy a</t>
    </r>
    <r>
      <rPr>
        <sz val="11"/>
        <color rgb="FFFF0000"/>
        <rFont val="Aptos Narrow"/>
        <family val="2"/>
        <scheme val="minor"/>
      </rPr>
      <t xml:space="preserve"> 850 </t>
    </r>
    <r>
      <rPr>
        <sz val="11"/>
        <color theme="1"/>
        <rFont val="Aptos Narrow"/>
        <family val="2"/>
        <charset val="238"/>
        <scheme val="minor"/>
      </rPr>
      <t xml:space="preserve">fős másodéves évfolyamon üzleti statisztikát tanulók írásbeli számonkérés előtti átlagos felkészülési idejét becsüljük </t>
    </r>
    <r>
      <rPr>
        <sz val="11"/>
        <color rgb="FFFF0000"/>
        <rFont val="Aptos Narrow"/>
        <family val="2"/>
        <scheme val="minor"/>
      </rPr>
      <t>10%-os EV</t>
    </r>
    <r>
      <rPr>
        <sz val="11"/>
        <color theme="1"/>
        <rFont val="Aptos Narrow"/>
        <family val="2"/>
        <charset val="238"/>
        <scheme val="minor"/>
      </rPr>
      <t xml:space="preserve"> minta segítségével. A mintába került hallgatók </t>
    </r>
    <r>
      <rPr>
        <sz val="11"/>
        <color rgb="FFFF0000"/>
        <rFont val="Aptos Narrow"/>
        <family val="2"/>
        <scheme val="minor"/>
      </rPr>
      <t>átlagosan 18 órát</t>
    </r>
    <r>
      <rPr>
        <sz val="11"/>
        <color theme="1"/>
        <rFont val="Aptos Narrow"/>
        <family val="2"/>
        <charset val="238"/>
        <scheme val="minor"/>
      </rPr>
      <t xml:space="preserve"> fordítottak tanulásra a zh előtt, amitől az egyes diákok </t>
    </r>
    <r>
      <rPr>
        <sz val="11"/>
        <color rgb="FFFF0000"/>
        <rFont val="Aptos Narrow"/>
        <family val="2"/>
        <scheme val="minor"/>
      </rPr>
      <t>átlagosan 8,5 órával</t>
    </r>
    <r>
      <rPr>
        <sz val="11"/>
        <color theme="1"/>
        <rFont val="Aptos Narrow"/>
        <family val="2"/>
        <charset val="238"/>
        <scheme val="minor"/>
      </rPr>
      <t xml:space="preserve"> tértek el. A mintába került hallgatók közül </t>
    </r>
    <r>
      <rPr>
        <sz val="11"/>
        <color rgb="FFFF0000"/>
        <rFont val="Aptos Narrow"/>
        <family val="2"/>
        <scheme val="minor"/>
      </rPr>
      <t>63</t>
    </r>
    <r>
      <rPr>
        <sz val="11"/>
        <color theme="1"/>
        <rFont val="Aptos Narrow"/>
        <family val="2"/>
        <charset val="238"/>
        <scheme val="minor"/>
      </rPr>
      <t xml:space="preserve"> érte el a lehetséges pontszám felét. A felkészülési idő </t>
    </r>
    <r>
      <rPr>
        <sz val="11"/>
        <color rgb="FFFF0000"/>
        <rFont val="Aptos Narrow"/>
        <family val="2"/>
        <scheme val="minor"/>
      </rPr>
      <t>normális eloszlása</t>
    </r>
    <r>
      <rPr>
        <sz val="11"/>
        <color theme="1"/>
        <rFont val="Aptos Narrow"/>
        <family val="2"/>
        <charset val="238"/>
        <scheme val="minor"/>
      </rPr>
      <t xml:space="preserve"> feltételezhető, a becslés megbízhatósága legyen</t>
    </r>
    <r>
      <rPr>
        <sz val="11"/>
        <color rgb="FFFF0000"/>
        <rFont val="Aptos Narrow"/>
        <family val="2"/>
        <scheme val="minor"/>
      </rPr>
      <t xml:space="preserve"> 95%</t>
    </r>
    <r>
      <rPr>
        <sz val="11"/>
        <color theme="1"/>
        <rFont val="Aptos Narrow"/>
        <family val="2"/>
        <charset val="238"/>
        <scheme val="minor"/>
      </rPr>
      <t>.</t>
    </r>
  </si>
  <si>
    <r>
      <rPr>
        <sz val="11"/>
        <color rgb="FFFF0000"/>
        <rFont val="Symbol"/>
        <family val="1"/>
        <charset val="2"/>
      </rPr>
      <t>s</t>
    </r>
    <r>
      <rPr>
        <sz val="11"/>
        <color rgb="FFFF0000"/>
        <rFont val="Aptos Narrow"/>
        <family val="2"/>
        <charset val="238"/>
        <scheme val="minor"/>
      </rPr>
      <t>1 nem egyenlő</t>
    </r>
    <r>
      <rPr>
        <sz val="11"/>
        <color rgb="FFFF0000"/>
        <rFont val="Symbol"/>
        <family val="1"/>
        <charset val="2"/>
      </rPr>
      <t xml:space="preserve"> s</t>
    </r>
    <r>
      <rPr>
        <sz val="11"/>
        <color rgb="FFFF0000"/>
        <rFont val="Aptos Narrow"/>
        <family val="2"/>
        <charset val="238"/>
        <scheme val="minor"/>
      </rPr>
      <t>2</t>
    </r>
  </si>
  <si>
    <r>
      <t xml:space="preserve">Kétfajta instant kávé oldódási idejét tesztelték, melyből minden alkalommal azonos mennyiséget tettek 1 dl forrásban lévő vízbe. Az oldódási idők </t>
    </r>
    <r>
      <rPr>
        <sz val="11"/>
        <color rgb="FFFF0000"/>
        <rFont val="Aptos Narrow"/>
        <family val="2"/>
        <scheme val="minor"/>
      </rPr>
      <t>normális eloszlása</t>
    </r>
    <r>
      <rPr>
        <sz val="11"/>
        <color theme="1"/>
        <rFont val="Aptos Narrow"/>
        <family val="2"/>
        <charset val="238"/>
        <scheme val="minor"/>
      </rPr>
      <t xml:space="preserve"> és a szórások azonossága feltételezhető! A kísérletek eredményeit az alábbi táblázat tartalmazza:</t>
    </r>
  </si>
  <si>
    <r>
      <t>Egy reprezentatív felmérés során a bejáró dolgozók munkába járással kapcsolatos utazási</t>
    </r>
    <r>
      <rPr>
        <sz val="11"/>
        <color rgb="FFFF0000"/>
        <rFont val="Aptos Narrow"/>
        <family val="2"/>
        <scheme val="minor"/>
      </rPr>
      <t xml:space="preserve"> idejét becsülték</t>
    </r>
    <r>
      <rPr>
        <sz val="11"/>
        <color theme="1"/>
        <rFont val="Aptos Narrow"/>
        <family val="2"/>
        <charset val="238"/>
        <scheme val="minor"/>
      </rPr>
      <t>. A minta adatai a következők:</t>
    </r>
  </si>
  <si>
    <t>nagy minta -&gt; z táblázat</t>
  </si>
  <si>
    <r>
      <t xml:space="preserve">Döntse el, hogy az alábbi állítások közül melyek igazak és melyek hamisak </t>
    </r>
    <r>
      <rPr>
        <sz val="11"/>
        <color rgb="FFFF0000"/>
        <rFont val="Aptos Narrow"/>
        <family val="2"/>
        <scheme val="minor"/>
      </rPr>
      <t>98%</t>
    </r>
    <r>
      <rPr>
        <sz val="11"/>
        <color theme="1"/>
        <rFont val="Aptos Narrow"/>
        <family val="2"/>
        <charset val="238"/>
        <scheme val="minor"/>
      </rPr>
      <t>-os megbízhatósági szint mellett!</t>
    </r>
  </si>
  <si>
    <t>megbízhatósági szint</t>
  </si>
  <si>
    <t>maximum fél óra</t>
  </si>
  <si>
    <t>fél óra felett</t>
  </si>
  <si>
    <t>fél óra fölött</t>
  </si>
  <si>
    <t>aránybecslés becslés</t>
  </si>
  <si>
    <t>2. lépés</t>
  </si>
  <si>
    <t>standard hiba</t>
  </si>
  <si>
    <t>3. lépés</t>
  </si>
  <si>
    <t>táblázat</t>
  </si>
  <si>
    <t>4. lépés</t>
  </si>
  <si>
    <t>hibahatár</t>
  </si>
  <si>
    <t>5. lépés</t>
  </si>
  <si>
    <t>intervallum alsó</t>
  </si>
  <si>
    <t>intervallum felső</t>
  </si>
  <si>
    <t>Egy hírportál megvizsgálta, hogy a rendelkezésre álló sajtóorgánumok elérhetősége és az olvasásra fordított idő között milyen kapcsolat tapasztalható. A felmérés adatai a következők:</t>
  </si>
  <si>
    <t>Sajtóorgánum</t>
  </si>
  <si>
    <t>formátum</t>
  </si>
  <si>
    <t>Válaszadók</t>
  </si>
  <si>
    <t>Olvasásra fordított</t>
  </si>
  <si>
    <t>idő napi átlaga (perc)</t>
  </si>
  <si>
    <t>idő szórása (perc)</t>
  </si>
  <si>
    <t>Papír alapú</t>
  </si>
  <si>
    <t>Online</t>
  </si>
  <si>
    <t>Adja meg a vizsgálat során felmerült kiemelt eredményeket (két tizedesjegy pontossággal, vesszővel elválasztva), vagy válassza ki a megfelelőt a felsoroltakból!</t>
  </si>
  <si>
    <t>A mintába került egyének átlagosan</t>
  </si>
  <si>
    <t>percet töltöttek olvasással egy adott napon. Az SSK értéke:</t>
  </si>
  <si>
    <t>Az egyes egyének olvasási ideje az ugyanolyan sajtóorgánum-fajtát választók átlagától átlagosan</t>
  </si>
  <si>
    <t>perccel tér el</t>
  </si>
  <si>
    <t>Az online olvasókat jobban jellemzi az olvasási átlag, mert ebben a csoportban az eltérés az átlagostól</t>
  </si>
  <si>
    <t>Gyenge kapcsolat van a két vizsgált ismérv között, mert a szorossági mutatószám értéke</t>
  </si>
  <si>
    <t>szórás k számláló</t>
  </si>
  <si>
    <t>szórás k</t>
  </si>
  <si>
    <t>(belső szórás)</t>
  </si>
  <si>
    <t>szórás b</t>
  </si>
  <si>
    <t>számláló</t>
  </si>
  <si>
    <t>20 perc</t>
  </si>
  <si>
    <t>19,25 perc</t>
  </si>
  <si>
    <t>variencia</t>
  </si>
  <si>
    <t>H2</t>
  </si>
  <si>
    <t>H0</t>
  </si>
  <si>
    <t>u1=u2</t>
  </si>
  <si>
    <t>u1&gt;u2</t>
  </si>
  <si>
    <t>próbafüggyvény</t>
  </si>
  <si>
    <t>1-alfa/2</t>
  </si>
  <si>
    <t>P(Xi)=Pi</t>
  </si>
  <si>
    <t>P(xi) nem = Pi</t>
  </si>
  <si>
    <t>szigmák ismeretlenek,kis minták -&gt; t próba</t>
  </si>
  <si>
    <t>szórások azonosságának ellenőrzése</t>
  </si>
  <si>
    <t>szórás teszt</t>
  </si>
  <si>
    <t>s1=s2</t>
  </si>
  <si>
    <t>S1 nem egyenlő s2</t>
  </si>
  <si>
    <t>próbafüggvény</t>
  </si>
  <si>
    <t>szignifikancia szint</t>
  </si>
  <si>
    <t>n1 szabadságfoka</t>
  </si>
  <si>
    <t>n2 szabadságfoka</t>
  </si>
  <si>
    <t>alsó kritikus érték</t>
  </si>
  <si>
    <t>felső kritkus érték</t>
  </si>
  <si>
    <t>t próba= f.inverz</t>
  </si>
  <si>
    <t>H0 elfogadjuk</t>
  </si>
  <si>
    <t>A szórások azonosak</t>
  </si>
  <si>
    <t>szabadságfok</t>
  </si>
  <si>
    <t>becsült szórás</t>
  </si>
  <si>
    <t>(1. minta-2.minta)/standard hiba</t>
  </si>
  <si>
    <t>becsült szórás*gyök(1/1. elemszám+1/2. elemszám)</t>
  </si>
  <si>
    <t>felső</t>
  </si>
  <si>
    <t>T.INVERZ</t>
  </si>
  <si>
    <t>F.INVERZ</t>
  </si>
  <si>
    <t>H0 elutasítjuk</t>
  </si>
  <si>
    <t>jobboldali</t>
  </si>
  <si>
    <t>xi</t>
  </si>
  <si>
    <t>minta átlaga</t>
  </si>
  <si>
    <t>átlag=becsült arány</t>
  </si>
  <si>
    <t>mintabeli szórás</t>
  </si>
  <si>
    <t>200 fő</t>
  </si>
  <si>
    <t>relatív szórás</t>
  </si>
  <si>
    <t>elemszám</t>
  </si>
  <si>
    <t>k</t>
  </si>
  <si>
    <t>Pi</t>
  </si>
  <si>
    <t>azárt hamis mert az a H0</t>
  </si>
  <si>
    <t>vi*</t>
  </si>
  <si>
    <t>(vi-vi*)^2/vi*</t>
  </si>
  <si>
    <t>felső kritikus érték</t>
  </si>
  <si>
    <t>azonos arány</t>
  </si>
  <si>
    <t>norm.s.inverz</t>
  </si>
  <si>
    <t>SSK</t>
  </si>
  <si>
    <t>xj átlag-átlag</t>
  </si>
  <si>
    <t>teljes szórás</t>
  </si>
  <si>
    <t>szórás négyzet</t>
  </si>
  <si>
    <t>H^2</t>
  </si>
  <si>
    <t>u=46</t>
  </si>
  <si>
    <t>u&gt;46</t>
  </si>
  <si>
    <t>Egy egyetemen megvizsgálták 5000 hallgató esetében a nemük és a szakuk közötti kapcsolatot. A minta adatai a következők: </t>
  </si>
  <si>
    <t> Szak / Nem</t>
  </si>
  <si>
    <t>   Fiú   </t>
  </si>
  <si>
    <t>   Lány    </t>
  </si>
  <si>
    <t>Műszaki</t>
  </si>
  <si>
    <t>Közgazdasági</t>
  </si>
  <si>
    <t>Bölcsész</t>
  </si>
  <si>
    <t>Döntse el az állításokról, hogy igazak vagy hamisak!</t>
  </si>
  <si>
    <r>
      <t>f</t>
    </r>
    <r>
      <rPr>
        <i/>
        <vertAlign val="superscript"/>
        <sz val="11"/>
        <color theme="1"/>
        <rFont val="Aptos Narrow"/>
        <family val="2"/>
        <charset val="238"/>
        <scheme val="minor"/>
      </rPr>
      <t>*</t>
    </r>
    <r>
      <rPr>
        <i/>
        <vertAlign val="subscript"/>
        <sz val="11"/>
        <color theme="1"/>
        <rFont val="Aptos Narrow"/>
        <family val="2"/>
        <charset val="238"/>
        <scheme val="minor"/>
      </rPr>
      <t>32</t>
    </r>
    <r>
      <rPr>
        <sz val="11"/>
        <color theme="1"/>
        <rFont val="Aptos Narrow"/>
        <family val="2"/>
        <charset val="238"/>
        <scheme val="minor"/>
      </rPr>
      <t>  = 520</t>
    </r>
  </si>
  <si>
    <t>A hallgatók neme és a választott szak között közepes kapcsolat van, mert a kapcsolatszorossági mérőszám értéke 0,53. </t>
  </si>
  <si>
    <t>A Khi-négyzet értéke 2777 (2776,92).</t>
  </si>
  <si>
    <r>
      <t>χ</t>
    </r>
    <r>
      <rPr>
        <i/>
        <vertAlign val="superscript"/>
        <sz val="11"/>
        <color theme="1"/>
        <rFont val="Aptos Narrow"/>
        <family val="2"/>
        <charset val="238"/>
        <scheme val="minor"/>
      </rPr>
      <t>2</t>
    </r>
    <r>
      <rPr>
        <i/>
        <vertAlign val="subscript"/>
        <sz val="11"/>
        <color theme="1"/>
        <rFont val="Aptos Narrow"/>
        <family val="2"/>
        <charset val="238"/>
        <scheme val="minor"/>
      </rPr>
      <t>31</t>
    </r>
    <r>
      <rPr>
        <sz val="11"/>
        <color theme="1"/>
        <rFont val="Aptos Narrow"/>
        <family val="2"/>
        <charset val="238"/>
        <scheme val="minor"/>
      </rPr>
      <t xml:space="preserve"> = 520</t>
    </r>
  </si>
  <si>
    <r>
      <t>χ</t>
    </r>
    <r>
      <rPr>
        <i/>
        <vertAlign val="superscript"/>
        <sz val="11"/>
        <color theme="1"/>
        <rFont val="Aptos Narrow"/>
        <family val="2"/>
        <charset val="238"/>
        <scheme val="minor"/>
      </rPr>
      <t>2</t>
    </r>
    <r>
      <rPr>
        <i/>
        <vertAlign val="subscript"/>
        <sz val="11"/>
        <color theme="1"/>
        <rFont val="Aptos Narrow"/>
        <family val="2"/>
        <charset val="238"/>
        <scheme val="minor"/>
      </rPr>
      <t>21</t>
    </r>
    <r>
      <rPr>
        <sz val="11"/>
        <color theme="1"/>
        <rFont val="Aptos Narrow"/>
        <family val="2"/>
        <charset val="238"/>
        <scheme val="minor"/>
      </rPr>
      <t xml:space="preserve"> = 20</t>
    </r>
  </si>
  <si>
    <t>Egy konditeremben vizsgálták a nyitvatartási idő felülvizsgálata miatt, hogy a hét egyes napjain mekkora a látogatottság. A vendégek számáról egy átlagosnak vélt héten a következő adatokat kapták:</t>
  </si>
  <si>
    <t>Napok</t>
  </si>
  <si>
    <t>Látogatók száma, fő</t>
  </si>
  <si>
    <t>Hétfő</t>
  </si>
  <si>
    <t>Kedd</t>
  </si>
  <si>
    <t>Szerda</t>
  </si>
  <si>
    <t>Csütörtök</t>
  </si>
  <si>
    <t>Péntek</t>
  </si>
  <si>
    <t>Szombat</t>
  </si>
  <si>
    <t>Vasárnap</t>
  </si>
  <si>
    <t>Egyenletes eloszlás esetén a látogatók száma naponta (egész szám!) </t>
  </si>
  <si>
    <t>fő</t>
  </si>
  <si>
    <t>A konditeremben az egyes napok látogatottsága 4%-os szignifikancia-szinten</t>
  </si>
  <si>
    <t>A becslés során elkövetett átlagos tévedés</t>
  </si>
  <si>
    <t>gramm</t>
  </si>
  <si>
    <t>Megbízhatósági szorzó / táblázatos érték:</t>
  </si>
  <si>
    <t>A hibahatár</t>
  </si>
  <si>
    <t>A csomagok becsült maximális tömege 99%-os megbízhatósággal</t>
  </si>
  <si>
    <t>darab (egész számra kerekítve).</t>
  </si>
  <si>
    <t>A maximálisan előállítható csomagok száma</t>
  </si>
  <si>
    <t>Döntse el a megfelelő próbával, hogy az alábbi állítások igazak vagy hamisak! </t>
  </si>
  <si>
    <r>
      <t>H</t>
    </r>
    <r>
      <rPr>
        <i/>
        <vertAlign val="subscript"/>
        <sz val="11"/>
        <color theme="1"/>
        <rFont val="Aptos Narrow"/>
        <family val="2"/>
        <charset val="238"/>
        <scheme val="minor"/>
      </rPr>
      <t>0</t>
    </r>
    <r>
      <rPr>
        <sz val="11"/>
        <color theme="1"/>
        <rFont val="Aptos Narrow"/>
        <family val="2"/>
        <charset val="238"/>
        <scheme val="minor"/>
      </rPr>
      <t xml:space="preserve"> : </t>
    </r>
    <r>
      <rPr>
        <i/>
        <sz val="11"/>
        <color theme="1"/>
        <rFont val="Aptos Narrow"/>
        <family val="2"/>
        <charset val="238"/>
        <scheme val="minor"/>
      </rPr>
      <t>σ</t>
    </r>
    <r>
      <rPr>
        <sz val="11"/>
        <color theme="1"/>
        <rFont val="Aptos Narrow"/>
        <family val="2"/>
        <charset val="238"/>
        <scheme val="minor"/>
      </rPr>
      <t xml:space="preserve"> = 15 ; </t>
    </r>
    <r>
      <rPr>
        <i/>
        <sz val="11"/>
        <color theme="1"/>
        <rFont val="Aptos Narrow"/>
        <family val="2"/>
        <charset val="238"/>
        <scheme val="minor"/>
      </rPr>
      <t>H</t>
    </r>
    <r>
      <rPr>
        <i/>
        <vertAlign val="subscript"/>
        <sz val="11"/>
        <color theme="1"/>
        <rFont val="Aptos Narrow"/>
        <family val="2"/>
        <charset val="238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 xml:space="preserve"> : </t>
    </r>
    <r>
      <rPr>
        <i/>
        <sz val="11"/>
        <color theme="1"/>
        <rFont val="Aptos Narrow"/>
        <family val="2"/>
        <charset val="238"/>
        <scheme val="minor"/>
      </rPr>
      <t>σ</t>
    </r>
    <r>
      <rPr>
        <sz val="11"/>
        <color theme="1"/>
        <rFont val="Aptos Narrow"/>
        <family val="2"/>
        <charset val="238"/>
        <scheme val="minor"/>
      </rPr>
      <t xml:space="preserve"> &lt; 15</t>
    </r>
  </si>
  <si>
    <r>
      <t xml:space="preserve">A </t>
    </r>
    <r>
      <rPr>
        <i/>
        <sz val="11"/>
        <color theme="1"/>
        <rFont val="Aptos Narrow"/>
        <family val="2"/>
        <charset val="238"/>
        <scheme val="minor"/>
      </rPr>
      <t>H</t>
    </r>
    <r>
      <rPr>
        <i/>
        <vertAlign val="subscript"/>
        <sz val="11"/>
        <color theme="1"/>
        <rFont val="Aptos Narrow"/>
        <family val="2"/>
        <charset val="238"/>
        <scheme val="minor"/>
      </rPr>
      <t>0</t>
    </r>
    <r>
      <rPr>
        <sz val="11"/>
        <color theme="1"/>
        <rFont val="Aptos Narrow"/>
        <family val="2"/>
        <charset val="238"/>
        <scheme val="minor"/>
      </rPr>
      <t>  hipotézist elfogadjuk, mert a 133,33 értékű próbafüggvény meghaladja a 77,93-as alsó kritikus értéket.</t>
    </r>
  </si>
  <si>
    <t>A próbafüggvény értéke 177,78.</t>
  </si>
  <si>
    <t>Az elfogadási tartomány [ 74,22 ; 129,56 ].</t>
  </si>
  <si>
    <t>A felső kritikus érték 126,08.</t>
  </si>
  <si>
    <r>
      <t>Egy őstermelő vendéglátóhelyek részére szabványos kettő deciliteres mérőpohárral adagolt csomagokba 35 kg sózott, pirított tökmagot. A zacskókra milliliterben írta a töltőtömeget, de kíváncsi volt arra, hogy ez hány grammot tesz ki. FAE mintája</t>
    </r>
    <r>
      <rPr>
        <sz val="11"/>
        <color rgb="FFFF0000"/>
        <rFont val="Aptos Narrow"/>
        <family val="2"/>
        <scheme val="minor"/>
      </rPr>
      <t xml:space="preserve"> 15</t>
    </r>
    <r>
      <rPr>
        <sz val="11"/>
        <color theme="1"/>
        <rFont val="Aptos Narrow"/>
        <family val="2"/>
        <charset val="238"/>
        <scheme val="minor"/>
      </rPr>
      <t xml:space="preserve"> elemből állt; a csomagok átlagos töltőtömege</t>
    </r>
    <r>
      <rPr>
        <sz val="11"/>
        <color rgb="FFFF0000"/>
        <rFont val="Aptos Narrow"/>
        <family val="2"/>
        <scheme val="minor"/>
      </rPr>
      <t xml:space="preserve"> 49,5 gramm</t>
    </r>
    <r>
      <rPr>
        <sz val="11"/>
        <color theme="1"/>
        <rFont val="Aptos Narrow"/>
        <family val="2"/>
        <charset val="238"/>
        <scheme val="minor"/>
      </rPr>
      <t xml:space="preserve">, szórása </t>
    </r>
    <r>
      <rPr>
        <sz val="11"/>
        <color rgb="FFFF0000"/>
        <rFont val="Aptos Narrow"/>
        <family val="2"/>
        <scheme val="minor"/>
      </rPr>
      <t xml:space="preserve">4 gramm </t>
    </r>
    <r>
      <rPr>
        <sz val="11"/>
        <color theme="1"/>
        <rFont val="Aptos Narrow"/>
        <family val="2"/>
        <charset val="238"/>
        <scheme val="minor"/>
      </rPr>
      <t xml:space="preserve">volt. </t>
    </r>
    <r>
      <rPr>
        <sz val="11"/>
        <color rgb="FFFF0000"/>
        <rFont val="Aptos Narrow"/>
        <family val="2"/>
        <scheme val="minor"/>
      </rPr>
      <t>99%-</t>
    </r>
    <r>
      <rPr>
        <sz val="11"/>
        <color theme="1"/>
        <rFont val="Aptos Narrow"/>
        <family val="2"/>
        <charset val="238"/>
        <scheme val="minor"/>
      </rPr>
      <t>os megbízhatósági szint mellett adja meg a következő értékeket (két tizedesjegy pontossággal, vesszővel elválasztva)!</t>
    </r>
  </si>
  <si>
    <t>minta elemszám</t>
  </si>
  <si>
    <t>kis elemszám, t szorzó</t>
  </si>
  <si>
    <t>t szorzó</t>
  </si>
  <si>
    <t>alsó</t>
  </si>
  <si>
    <r>
      <t xml:space="preserve">Amennyiben </t>
    </r>
    <r>
      <rPr>
        <sz val="11"/>
        <color rgb="FFFF0000"/>
        <rFont val="Aptos Narrow"/>
        <family val="2"/>
        <scheme val="minor"/>
      </rPr>
      <t>4%</t>
    </r>
    <r>
      <rPr>
        <sz val="11"/>
        <color theme="1"/>
        <rFont val="Aptos Narrow"/>
        <family val="2"/>
        <charset val="238"/>
        <scheme val="minor"/>
      </rPr>
      <t>-os szignifikancia-szinten nem azonos arányban látogatják a vendégek a konditermet az egyes napokon, akkor a kevésbé látogatott napokon rövidítenék a nyitvatartást. A vizsgálat során felmerült eredményeket adja meg két tizedesjegy pontossággal, vesszővel elválasztva, vagy válasszon a felsoroltakból!</t>
    </r>
  </si>
  <si>
    <t>P(xi)=Pi</t>
  </si>
  <si>
    <t>létezik olyan i, amelyre nem igaz, hogy P(Xi)=Pi</t>
  </si>
  <si>
    <t>(ni-vi*)^2/vi*</t>
  </si>
  <si>
    <t>szign.</t>
  </si>
  <si>
    <t>elutasítjuk</t>
  </si>
  <si>
    <t>nem oszlik el egyenletesen, rövítik a nyitvatartást</t>
  </si>
  <si>
    <r>
      <t xml:space="preserve">A hatosztályos iskolába járó 16 éves budapesti gimnazisták intelligenciaszintjét (IQ-értékeit) vizsgálták, amelyről feltételezhetjük, hogy </t>
    </r>
    <r>
      <rPr>
        <sz val="11"/>
        <color rgb="FFFF0000"/>
        <rFont val="Aptos Narrow"/>
        <family val="2"/>
        <scheme val="minor"/>
      </rPr>
      <t>normális eloszlást</t>
    </r>
    <r>
      <rPr>
        <sz val="11"/>
        <color theme="1"/>
        <rFont val="Aptos Narrow"/>
        <family val="2"/>
        <charset val="238"/>
        <scheme val="minor"/>
      </rPr>
      <t xml:space="preserve"> követ, a szórása pedig </t>
    </r>
    <r>
      <rPr>
        <sz val="11"/>
        <color rgb="FFFF0000"/>
        <rFont val="Aptos Narrow"/>
        <family val="2"/>
        <scheme val="minor"/>
      </rPr>
      <t>15.</t>
    </r>
    <r>
      <rPr>
        <sz val="11"/>
        <color theme="1"/>
        <rFont val="Aptos Narrow"/>
        <family val="2"/>
        <charset val="238"/>
        <scheme val="minor"/>
      </rPr>
      <t xml:space="preserve"> Egy </t>
    </r>
    <r>
      <rPr>
        <sz val="11"/>
        <color rgb="FFFF0000"/>
        <rFont val="Aptos Narrow"/>
        <family val="2"/>
        <scheme val="minor"/>
      </rPr>
      <t>101</t>
    </r>
    <r>
      <rPr>
        <sz val="11"/>
        <color theme="1"/>
        <rFont val="Aptos Narrow"/>
        <family val="2"/>
        <charset val="238"/>
        <scheme val="minor"/>
      </rPr>
      <t xml:space="preserve"> fős véletlen mintában az átlagos érték </t>
    </r>
    <r>
      <rPr>
        <sz val="11"/>
        <color rgb="FFFF0000"/>
        <rFont val="Aptos Narrow"/>
        <family val="2"/>
        <scheme val="minor"/>
      </rPr>
      <t>117</t>
    </r>
    <r>
      <rPr>
        <sz val="11"/>
        <color theme="1"/>
        <rFont val="Aptos Narrow"/>
        <family val="2"/>
        <charset val="238"/>
        <scheme val="minor"/>
      </rPr>
      <t xml:space="preserve">, a </t>
    </r>
    <r>
      <rPr>
        <sz val="11"/>
        <color rgb="FFFF0000"/>
        <rFont val="Aptos Narrow"/>
        <family val="2"/>
        <scheme val="minor"/>
      </rPr>
      <t>szórás 20</t>
    </r>
    <r>
      <rPr>
        <sz val="11"/>
        <color theme="1"/>
        <rFont val="Aptos Narrow"/>
        <family val="2"/>
        <charset val="238"/>
        <scheme val="minor"/>
      </rPr>
      <t xml:space="preserve">. </t>
    </r>
    <r>
      <rPr>
        <sz val="11"/>
        <color rgb="FFFF0000"/>
        <rFont val="Aptos Narrow"/>
        <family val="2"/>
        <scheme val="minor"/>
      </rPr>
      <t>4%</t>
    </r>
    <r>
      <rPr>
        <sz val="11"/>
        <color theme="1"/>
        <rFont val="Aptos Narrow"/>
        <family val="2"/>
        <charset val="238"/>
        <scheme val="minor"/>
      </rPr>
      <t>-os szignifikancia-szinten vizsgálja meg azt a feltevést, hogy ebben az évfolyamban az IQ-szint szórása magasabb az összes 16 éves gimnazistára vonatkozó adatnál!</t>
    </r>
  </si>
  <si>
    <t>sokasági szórás</t>
  </si>
  <si>
    <t>H0 : s=</t>
  </si>
  <si>
    <t>H1: s&gt;</t>
  </si>
  <si>
    <t>Lakhely=területi ismérv+Tej=minőségi ismérv -&gt; asszociációs</t>
  </si>
  <si>
    <t>s=t=3</t>
  </si>
  <si>
    <t>khí négyzet</t>
  </si>
  <si>
    <t>C=</t>
  </si>
  <si>
    <t>s=</t>
  </si>
  <si>
    <t>t=</t>
  </si>
  <si>
    <t>Szak: minőségi+nem: minőségi -&gt; asszociációs</t>
  </si>
  <si>
    <t>C</t>
  </si>
  <si>
    <t>u1,u2,u3 nem egyenlő u-val</t>
  </si>
  <si>
    <t>nj</t>
  </si>
  <si>
    <t>xj átlag</t>
  </si>
  <si>
    <t>sj</t>
  </si>
  <si>
    <t>számláló szabadságfoka</t>
  </si>
  <si>
    <t>nevező szabadságfoka</t>
  </si>
  <si>
    <t>SK</t>
  </si>
  <si>
    <t>f próbafüffvény</t>
  </si>
  <si>
    <r>
      <t>Készítsen intervallumbecslést</t>
    </r>
    <r>
      <rPr>
        <sz val="11"/>
        <color rgb="FFFF0000"/>
        <rFont val="Aptos Narrow"/>
        <family val="2"/>
        <scheme val="minor"/>
      </rPr>
      <t xml:space="preserve"> 95%</t>
    </r>
    <r>
      <rPr>
        <sz val="11"/>
        <color theme="1"/>
        <rFont val="Aptos Narrow"/>
        <family val="2"/>
        <charset val="238"/>
        <scheme val="minor"/>
      </rPr>
      <t>-os megbízhatósággal a 35 m</t>
    </r>
    <r>
      <rPr>
        <vertAlign val="superscript"/>
        <sz val="11"/>
        <color theme="1"/>
        <rFont val="Aptos Narrow"/>
        <family val="2"/>
        <charset val="238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 xml:space="preserve">-nél kisebb vízfogyasztású lakások </t>
    </r>
    <r>
      <rPr>
        <sz val="11"/>
        <color rgb="FFFF0000"/>
        <rFont val="Aptos Narrow"/>
        <family val="2"/>
        <scheme val="minor"/>
      </rPr>
      <t>arányára</t>
    </r>
    <r>
      <rPr>
        <sz val="11"/>
        <color theme="1"/>
        <rFont val="Aptos Narrow"/>
        <family val="2"/>
        <charset val="238"/>
        <scheme val="minor"/>
      </rPr>
      <t xml:space="preserve"> és számára! Adja meg a következő adatokat (két tizedesjegy pontossággal, vesszővel elválasztva)!</t>
    </r>
  </si>
  <si>
    <t>35 m-nél kisebb</t>
  </si>
  <si>
    <t>arány</t>
  </si>
  <si>
    <t>nagy minta</t>
  </si>
  <si>
    <t xml:space="preserve"> +korrekciós tényező</t>
  </si>
  <si>
    <t>összes</t>
  </si>
  <si>
    <t>Darabáru-csomagoló gépet teszteltek, hogy a kalibrálás következtében hogyan változott a csomagolt mennyiség darabszáma.</t>
  </si>
  <si>
    <t>Kalibrálás előtt</t>
  </si>
  <si>
    <t>Kalibrálás után</t>
  </si>
  <si>
    <t>Minta elemszáma (db)</t>
  </si>
  <si>
    <t>Minta átlaga (db)</t>
  </si>
  <si>
    <t>Minta szórása (db)</t>
  </si>
  <si>
    <t>5%-os szignifikancia-szinten tesztelje azt az állítást, hogy a két sokaság szórása azonosnak tekinthető!</t>
  </si>
  <si>
    <t>5%-os szignifikancia-szinten azonosnak tekinthető kalibrálás előtt és után a csomagok szórása.</t>
  </si>
  <si>
    <t>A megbízhatósági szint 5%.</t>
  </si>
  <si>
    <t>Az elfogadási tartomány alsó értéke 0,39 (0,47).</t>
  </si>
  <si>
    <t>A próbafüggvény empírikus értéke 1,78 (0,56).</t>
  </si>
  <si>
    <t>Kétoldali a próba.</t>
  </si>
  <si>
    <t>s1 nem egyenlő s2</t>
  </si>
  <si>
    <t>SSK=2250,59</t>
  </si>
  <si>
    <t>Az egyes szakok átlagos ösztöndíja az egyetem évfolyamának átlagától átlagosan 1760 Ft-tal tér el.</t>
  </si>
  <si>
    <t>Vegyes kapcsolat van az ismérvek között. Az egyetemi szak 51%-ban magyarázza az ösztöndíjak ingadozását.</t>
  </si>
  <si>
    <t>külső szórás</t>
  </si>
  <si>
    <t>belső szórás</t>
  </si>
  <si>
    <t>egyes hallgatók ösztöndíja az ösztöndíj átlagtól átlagosan … tér el</t>
  </si>
  <si>
    <t>egyes szakok ösztöndíja az ösztöndíj átlagától átlagosan … tér el</t>
  </si>
  <si>
    <t>egyes hallgatók ösztöndíja a saját szakának átlagától átlagosan … tér el</t>
  </si>
  <si>
    <t>teljes átlag/teljes szórás*100</t>
  </si>
  <si>
    <t>1-H^2</t>
  </si>
  <si>
    <t>az egyetemi szak … magyarázza az ösztöndíjak ingadozásását</t>
  </si>
  <si>
    <t>szign=alfa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</si>
</sst>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6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  <font>
      <vertAlign val="subscript"/>
      <sz val="11"/>
      <color theme="1"/>
      <name val="Aptos Narrow"/>
      <family val="2"/>
      <charset val="238"/>
      <scheme val="minor"/>
    </font>
    <font>
      <vertAlign val="superscript"/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i/>
      <vertAlign val="subscript"/>
      <sz val="11"/>
      <color theme="1"/>
      <name val="Aptos Narrow"/>
      <family val="2"/>
      <charset val="238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vertAlign val="superscript"/>
      <sz val="11"/>
      <color theme="1"/>
      <name val="Aptos Narrow"/>
      <family val="2"/>
      <charset val="238"/>
      <scheme val="minor"/>
    </font>
    <font>
      <sz val="11"/>
      <color rgb="FFFF0000"/>
      <name val="Symbol"/>
      <family val="1"/>
      <charset val="2"/>
    </font>
    <font>
      <sz val="11"/>
      <color rgb="FFFF0000"/>
      <name val="Aptos Narrow"/>
      <family val="1"/>
      <charset val="2"/>
      <scheme val="minor"/>
    </font>
    <font>
      <sz val="11"/>
      <name val="Aptos Narrow"/>
      <family val="2"/>
      <charset val="238"/>
      <scheme val="minor"/>
    </font>
    <font>
      <sz val="11"/>
      <color theme="8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/>
    <xf numFmtId="0" fontId="8" fillId="0" borderId="0" xfId="0" applyFont="1"/>
    <xf numFmtId="9" fontId="0" fillId="0" borderId="0" xfId="0" applyNumberFormat="1"/>
    <xf numFmtId="0" fontId="5" fillId="0" borderId="0" xfId="0" applyFont="1"/>
    <xf numFmtId="16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9" fontId="13" fillId="0" borderId="0" xfId="0" applyNumberFormat="1" applyFont="1"/>
    <xf numFmtId="164" fontId="13" fillId="0" borderId="0" xfId="0" applyNumberFormat="1" applyFont="1"/>
    <xf numFmtId="2" fontId="13" fillId="0" borderId="0" xfId="0" applyNumberFormat="1" applyFo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2" fontId="13" fillId="3" borderId="0" xfId="0" applyNumberFormat="1" applyFont="1" applyFill="1"/>
    <xf numFmtId="10" fontId="0" fillId="0" borderId="0" xfId="0" applyNumberFormat="1"/>
    <xf numFmtId="0" fontId="13" fillId="3" borderId="0" xfId="0" applyFont="1" applyFill="1"/>
    <xf numFmtId="10" fontId="1" fillId="0" borderId="0" xfId="0" applyNumberFormat="1" applyFont="1"/>
    <xf numFmtId="0" fontId="0" fillId="4" borderId="0" xfId="0" applyFill="1"/>
    <xf numFmtId="9" fontId="13" fillId="0" borderId="0" xfId="1" applyFont="1"/>
    <xf numFmtId="165" fontId="13" fillId="0" borderId="0" xfId="1" applyNumberFormat="1" applyFont="1"/>
    <xf numFmtId="10" fontId="13" fillId="0" borderId="0" xfId="0" applyNumberFormat="1" applyFont="1"/>
    <xf numFmtId="10" fontId="0" fillId="0" borderId="0" xfId="1" applyNumberFormat="1" applyFont="1"/>
    <xf numFmtId="2" fontId="0" fillId="0" borderId="0" xfId="0" applyNumberFormat="1"/>
    <xf numFmtId="0" fontId="13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" fontId="1" fillId="0" borderId="0" xfId="0" applyNumberFormat="1" applyFont="1"/>
    <xf numFmtId="0" fontId="0" fillId="3" borderId="0" xfId="0" applyFill="1"/>
    <xf numFmtId="1" fontId="13" fillId="0" borderId="0" xfId="0" applyNumberFormat="1" applyFont="1"/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 vertical="center" wrapText="1"/>
    </xf>
    <xf numFmtId="10" fontId="13" fillId="3" borderId="0" xfId="1" applyNumberFormat="1" applyFont="1" applyFill="1"/>
    <xf numFmtId="10" fontId="13" fillId="3" borderId="0" xfId="0" applyNumberFormat="1" applyFont="1" applyFill="1"/>
    <xf numFmtId="1" fontId="13" fillId="3" borderId="0" xfId="0" applyNumberFormat="1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304800</xdr:colOff>
          <xdr:row>8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304800</xdr:colOff>
          <xdr:row>9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304800</xdr:colOff>
          <xdr:row>11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13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68580</xdr:colOff>
          <xdr:row>14</xdr:row>
          <xdr:rowOff>45720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D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68580</xdr:colOff>
          <xdr:row>18</xdr:row>
          <xdr:rowOff>45720</xdr:rowOff>
        </xdr:to>
        <xdr:sp macro="" textlink="">
          <xdr:nvSpPr>
            <xdr:cNvPr id="12290" name="Control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D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68580</xdr:colOff>
          <xdr:row>20</xdr:row>
          <xdr:rowOff>45720</xdr:rowOff>
        </xdr:to>
        <xdr:sp macro="" textlink="">
          <xdr:nvSpPr>
            <xdr:cNvPr id="12291" name="Control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D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68580</xdr:colOff>
          <xdr:row>22</xdr:row>
          <xdr:rowOff>45720</xdr:rowOff>
        </xdr:to>
        <xdr:sp macro="" textlink="">
          <xdr:nvSpPr>
            <xdr:cNvPr id="12292" name="Control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D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7" Type="http://schemas.openxmlformats.org/officeDocument/2006/relationships/control" Target="../activeX/activeX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8.xml"/><Relationship Id="rId5" Type="http://schemas.openxmlformats.org/officeDocument/2006/relationships/control" Target="../activeX/activeX7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788A-31A6-4730-A389-CC39A68DD95F}">
  <sheetPr codeName="Munka1">
    <tabColor rgb="FFFFFF00"/>
  </sheetPr>
  <dimension ref="A1:Q28"/>
  <sheetViews>
    <sheetView topLeftCell="A4" workbookViewId="0">
      <selection activeCell="D24" sqref="D24"/>
    </sheetView>
  </sheetViews>
  <sheetFormatPr defaultRowHeight="14.4" x14ac:dyDescent="0.3"/>
  <cols>
    <col min="3" max="3" width="11.77734375" customWidth="1"/>
    <col min="6" max="6" width="20.44140625" customWidth="1"/>
    <col min="7" max="7" width="12.5546875" customWidth="1"/>
  </cols>
  <sheetData>
    <row r="1" spans="1:17" x14ac:dyDescent="0.3">
      <c r="A1" t="s">
        <v>226</v>
      </c>
    </row>
    <row r="2" spans="1:17" ht="57.6" customHeight="1" x14ac:dyDescent="0.3">
      <c r="A2" s="39" t="s">
        <v>0</v>
      </c>
      <c r="B2" s="2" t="s">
        <v>1</v>
      </c>
      <c r="C2" s="2" t="s">
        <v>3</v>
      </c>
      <c r="D2" s="2" t="s">
        <v>3</v>
      </c>
      <c r="F2" s="5" t="s">
        <v>276</v>
      </c>
      <c r="G2" s="2" t="s">
        <v>287</v>
      </c>
    </row>
    <row r="3" spans="1:17" ht="51" customHeight="1" x14ac:dyDescent="0.3">
      <c r="A3" s="39"/>
      <c r="B3" s="2" t="s">
        <v>2</v>
      </c>
      <c r="C3" s="2" t="s">
        <v>4</v>
      </c>
      <c r="D3" s="2" t="s">
        <v>5</v>
      </c>
      <c r="F3" s="5" t="s">
        <v>277</v>
      </c>
      <c r="Q3" s="3"/>
    </row>
    <row r="4" spans="1:17" ht="28.8" x14ac:dyDescent="0.3">
      <c r="A4" s="1" t="s">
        <v>6</v>
      </c>
      <c r="B4" s="2">
        <v>8</v>
      </c>
      <c r="C4" s="2">
        <v>6.75</v>
      </c>
      <c r="D4" s="2">
        <v>1.04</v>
      </c>
    </row>
    <row r="5" spans="1:17" ht="28.8" x14ac:dyDescent="0.3">
      <c r="A5" s="1" t="s">
        <v>7</v>
      </c>
      <c r="B5" s="2">
        <v>6</v>
      </c>
      <c r="C5" s="2">
        <v>4.55</v>
      </c>
      <c r="D5" s="2">
        <v>0.98</v>
      </c>
    </row>
    <row r="6" spans="1:17" x14ac:dyDescent="0.3">
      <c r="A6" t="s">
        <v>8</v>
      </c>
    </row>
    <row r="8" spans="1:17" x14ac:dyDescent="0.3">
      <c r="C8" t="s">
        <v>9</v>
      </c>
      <c r="F8" t="s">
        <v>10</v>
      </c>
      <c r="I8" t="s">
        <v>11</v>
      </c>
      <c r="M8" t="s">
        <v>12</v>
      </c>
      <c r="P8" t="s">
        <v>13</v>
      </c>
    </row>
    <row r="9" spans="1:17" x14ac:dyDescent="0.3">
      <c r="C9" t="s">
        <v>14</v>
      </c>
      <c r="F9" s="3">
        <v>4.0117000000000003</v>
      </c>
      <c r="I9" s="3">
        <v>2.3027000000000002</v>
      </c>
      <c r="M9" t="s">
        <v>18</v>
      </c>
      <c r="P9" s="3" t="s">
        <v>19</v>
      </c>
    </row>
    <row r="10" spans="1:17" x14ac:dyDescent="0.3">
      <c r="C10" s="3" t="s">
        <v>15</v>
      </c>
      <c r="M10" s="3" t="s">
        <v>153</v>
      </c>
      <c r="P10" t="s">
        <v>20</v>
      </c>
    </row>
    <row r="11" spans="1:17" x14ac:dyDescent="0.3">
      <c r="C11" t="s">
        <v>16</v>
      </c>
    </row>
    <row r="12" spans="1:17" x14ac:dyDescent="0.3">
      <c r="C12" t="s">
        <v>17</v>
      </c>
      <c r="G12" s="13" t="s">
        <v>278</v>
      </c>
      <c r="H12" s="13" t="s">
        <v>296</v>
      </c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3">
      <c r="C13" t="s">
        <v>295</v>
      </c>
      <c r="G13" s="13" t="s">
        <v>269</v>
      </c>
      <c r="H13" s="13" t="s">
        <v>279</v>
      </c>
      <c r="I13" s="13" t="s">
        <v>112</v>
      </c>
      <c r="J13" s="13" t="s">
        <v>280</v>
      </c>
      <c r="K13" s="13"/>
      <c r="L13" s="13"/>
      <c r="M13" s="13"/>
      <c r="N13" s="13"/>
      <c r="O13" s="13"/>
      <c r="P13" s="13"/>
      <c r="Q13" s="13"/>
    </row>
    <row r="14" spans="1:17" x14ac:dyDescent="0.3">
      <c r="C14" s="13" t="s">
        <v>269</v>
      </c>
      <c r="D14" s="21" t="s">
        <v>270</v>
      </c>
      <c r="E14" s="13" t="s">
        <v>112</v>
      </c>
      <c r="F14" s="13" t="s">
        <v>271</v>
      </c>
      <c r="G14" s="13" t="s">
        <v>281</v>
      </c>
      <c r="H14" s="13">
        <f>D4^2/D5^2</f>
        <v>1.1261974177426075</v>
      </c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3">
      <c r="C15" s="13" t="s">
        <v>272</v>
      </c>
      <c r="D15" s="23">
        <f>(C4-C5)/D20</f>
        <v>4.0117040622849327</v>
      </c>
      <c r="E15" s="13" t="s">
        <v>292</v>
      </c>
      <c r="F15" s="13"/>
      <c r="G15" s="13" t="s">
        <v>282</v>
      </c>
      <c r="H15" s="14">
        <v>0.02</v>
      </c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3">
      <c r="C16" s="13" t="s">
        <v>149</v>
      </c>
      <c r="D16" s="14">
        <v>0.02</v>
      </c>
      <c r="E16" s="13"/>
      <c r="F16" s="13"/>
      <c r="G16" s="13" t="s">
        <v>283</v>
      </c>
      <c r="H16" s="13">
        <f>B4-1</f>
        <v>7</v>
      </c>
      <c r="I16" s="13"/>
      <c r="J16" s="13"/>
      <c r="K16" s="13"/>
      <c r="L16" s="13"/>
      <c r="M16" s="13"/>
      <c r="N16" s="13"/>
      <c r="O16" s="13"/>
      <c r="P16" s="13"/>
      <c r="Q16" s="13"/>
    </row>
    <row r="17" spans="3:17" x14ac:dyDescent="0.3">
      <c r="C17" s="13" t="s">
        <v>273</v>
      </c>
      <c r="D17" s="13">
        <f>1-D16/2</f>
        <v>0.99</v>
      </c>
      <c r="E17" s="13"/>
      <c r="F17" s="13"/>
      <c r="G17" s="13" t="s">
        <v>284</v>
      </c>
      <c r="H17" s="13">
        <f>B5-1</f>
        <v>5</v>
      </c>
      <c r="I17" s="13"/>
      <c r="J17" s="13"/>
      <c r="K17" s="13"/>
      <c r="L17" s="13"/>
      <c r="M17" s="13"/>
      <c r="N17" s="13"/>
      <c r="O17" s="13"/>
      <c r="P17" s="13"/>
      <c r="Q17" s="13"/>
    </row>
    <row r="18" spans="3:17" x14ac:dyDescent="0.3">
      <c r="C18" s="13" t="s">
        <v>290</v>
      </c>
      <c r="D18" s="13">
        <f>B4+B5-2</f>
        <v>12</v>
      </c>
      <c r="E18" s="13"/>
      <c r="F18" s="13"/>
      <c r="G18" s="13" t="s">
        <v>285</v>
      </c>
      <c r="H18" s="13">
        <f>_xlfn.F.INV(H15/2,H16,H17)</f>
        <v>0.13404043248409853</v>
      </c>
      <c r="I18" s="13"/>
      <c r="J18" s="13"/>
      <c r="K18" s="13"/>
      <c r="L18" s="13"/>
      <c r="M18" s="13"/>
      <c r="N18" s="13"/>
      <c r="O18" s="13"/>
      <c r="P18" s="13"/>
      <c r="Q18" s="13"/>
    </row>
    <row r="19" spans="3:17" x14ac:dyDescent="0.3">
      <c r="C19" s="13" t="s">
        <v>291</v>
      </c>
      <c r="D19" s="13">
        <f>SQRT(((B4-1)*D4^2+(B5-1)*D5^2)/D18)</f>
        <v>1.0154309429990795</v>
      </c>
      <c r="E19" s="13"/>
      <c r="F19" s="13"/>
      <c r="G19" s="13" t="s">
        <v>286</v>
      </c>
      <c r="H19" s="13">
        <f>_xlfn.F.INV(1-H15/2,H16,H17)</f>
        <v>10.455510891760888</v>
      </c>
      <c r="I19" s="13"/>
      <c r="J19" s="13"/>
      <c r="K19" s="13"/>
      <c r="L19" s="13"/>
      <c r="M19" s="13"/>
      <c r="N19" s="13"/>
      <c r="O19" s="13"/>
      <c r="P19" s="13"/>
      <c r="Q19" s="13"/>
    </row>
    <row r="20" spans="3:17" x14ac:dyDescent="0.3">
      <c r="C20" s="13" t="s">
        <v>236</v>
      </c>
      <c r="D20" s="13">
        <f>D19*SQRT(1/B4+1/B5)</f>
        <v>0.54839538655973386</v>
      </c>
      <c r="E20" s="13" t="s">
        <v>293</v>
      </c>
      <c r="F20" s="13"/>
      <c r="G20" s="13" t="s">
        <v>288</v>
      </c>
      <c r="H20" s="13" t="s">
        <v>289</v>
      </c>
      <c r="I20" s="13"/>
      <c r="J20" s="13"/>
      <c r="K20" s="13"/>
      <c r="L20" s="13"/>
      <c r="M20" s="13"/>
      <c r="N20" s="13"/>
      <c r="O20" s="13"/>
      <c r="P20" s="13"/>
      <c r="Q20" s="13"/>
    </row>
    <row r="21" spans="3:17" x14ac:dyDescent="0.3">
      <c r="C21" s="13" t="s">
        <v>298</v>
      </c>
      <c r="D21" s="13" t="s">
        <v>294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3:17" x14ac:dyDescent="0.3">
      <c r="C22" s="13" t="s">
        <v>294</v>
      </c>
      <c r="D22" s="23">
        <f>_xlfn.T.INV(1-D16,D18)</f>
        <v>2.3027216838060842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3:17" x14ac:dyDescent="0.3">
      <c r="C23" s="13" t="s">
        <v>297</v>
      </c>
      <c r="D23" s="13" t="str">
        <f>P9</f>
        <v>A nescafé kávé lassabban oldódik mint a tchibo káva 2%-os szign.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3:17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3:17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3:17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3:17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3:17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</sheetData>
  <mergeCells count="1">
    <mergeCell ref="A2:A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45720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13</xdr:row>
                <xdr:rowOff>45720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304800</xdr:colOff>
                <xdr:row>11</xdr:row>
                <xdr:rowOff>45720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1</xdr:col>
                <xdr:colOff>304800</xdr:colOff>
                <xdr:row>9</xdr:row>
                <xdr:rowOff>45720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1</xdr:col>
                <xdr:colOff>304800</xdr:colOff>
                <xdr:row>8</xdr:row>
                <xdr:rowOff>45720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87B-339A-4847-A7CB-732A3C1FF2D3}">
  <sheetPr>
    <tabColor rgb="FFFFFF00"/>
  </sheetPr>
  <dimension ref="A1:O26"/>
  <sheetViews>
    <sheetView topLeftCell="A4" workbookViewId="0">
      <selection activeCell="N13" sqref="N13"/>
    </sheetView>
  </sheetViews>
  <sheetFormatPr defaultRowHeight="14.4" x14ac:dyDescent="0.3"/>
  <cols>
    <col min="1" max="1" width="13" customWidth="1"/>
    <col min="7" max="7" width="13.33203125" customWidth="1"/>
    <col min="11" max="11" width="14.88671875" customWidth="1"/>
  </cols>
  <sheetData>
    <row r="1" spans="1:15" x14ac:dyDescent="0.3">
      <c r="A1" t="s">
        <v>227</v>
      </c>
      <c r="M1" s="3" t="s">
        <v>234</v>
      </c>
    </row>
    <row r="2" spans="1:15" x14ac:dyDescent="0.3">
      <c r="M2" s="3" t="s">
        <v>228</v>
      </c>
      <c r="O2" t="s">
        <v>313</v>
      </c>
    </row>
    <row r="3" spans="1:15" ht="28.8" x14ac:dyDescent="0.3">
      <c r="A3" s="2" t="s">
        <v>21</v>
      </c>
      <c r="B3" s="2" t="s">
        <v>23</v>
      </c>
      <c r="C3" s="13" t="s">
        <v>299</v>
      </c>
      <c r="D3" s="13"/>
      <c r="E3" s="13"/>
      <c r="F3" s="13"/>
      <c r="G3" s="13" t="s">
        <v>232</v>
      </c>
      <c r="H3" s="13" t="s">
        <v>233</v>
      </c>
      <c r="I3" s="13"/>
      <c r="J3" s="13" t="s">
        <v>231</v>
      </c>
      <c r="K3" s="13"/>
      <c r="L3" s="13"/>
      <c r="M3" s="13"/>
      <c r="N3" s="13"/>
    </row>
    <row r="4" spans="1:15" x14ac:dyDescent="0.3">
      <c r="A4" s="1"/>
      <c r="B4" s="1"/>
      <c r="C4" s="13"/>
      <c r="D4" s="13"/>
      <c r="E4" s="13"/>
      <c r="F4" s="13" t="s">
        <v>223</v>
      </c>
      <c r="G4" s="13">
        <f>B6+B7</f>
        <v>54</v>
      </c>
      <c r="H4" s="13">
        <f>B8+B9+B10</f>
        <v>90</v>
      </c>
      <c r="I4" s="13"/>
      <c r="J4" s="13"/>
      <c r="K4" s="13"/>
      <c r="L4" s="13"/>
      <c r="M4" s="13"/>
      <c r="N4" s="13"/>
    </row>
    <row r="5" spans="1:15" ht="28.8" x14ac:dyDescent="0.3">
      <c r="A5" s="2" t="s">
        <v>22</v>
      </c>
      <c r="B5" s="2" t="s">
        <v>24</v>
      </c>
      <c r="C5" s="13"/>
      <c r="D5" s="13"/>
      <c r="E5" s="13"/>
      <c r="F5" s="13" t="s">
        <v>301</v>
      </c>
      <c r="G5" s="25">
        <f>G4/$B$11</f>
        <v>0.375</v>
      </c>
      <c r="H5" s="13">
        <f>H4/$B$11*100</f>
        <v>62.5</v>
      </c>
      <c r="I5" s="13"/>
      <c r="J5" s="13" t="s">
        <v>235</v>
      </c>
      <c r="K5" s="13" t="s">
        <v>236</v>
      </c>
      <c r="L5" s="15">
        <f>G6/SQRT(B11)</f>
        <v>4.0343576522993925E-2</v>
      </c>
      <c r="M5" s="13"/>
      <c r="N5" s="13"/>
    </row>
    <row r="6" spans="1:15" x14ac:dyDescent="0.3">
      <c r="A6" s="2" t="s">
        <v>25</v>
      </c>
      <c r="B6" s="2">
        <v>14</v>
      </c>
      <c r="C6" s="13">
        <v>15</v>
      </c>
      <c r="D6" s="13"/>
      <c r="E6" s="16"/>
      <c r="F6" s="13" t="s">
        <v>302</v>
      </c>
      <c r="G6" s="13">
        <f>SQRT(G5*(1-G5))</f>
        <v>0.48412291827592713</v>
      </c>
      <c r="H6" s="13"/>
      <c r="I6" s="13"/>
      <c r="J6" s="13" t="s">
        <v>237</v>
      </c>
      <c r="K6" s="13" t="s">
        <v>238</v>
      </c>
      <c r="L6" s="13">
        <f>_xlfn.NORM.S.INV(1-L13/2)</f>
        <v>2.3263478740408408</v>
      </c>
      <c r="M6" s="13"/>
      <c r="N6" s="13"/>
    </row>
    <row r="7" spans="1:15" x14ac:dyDescent="0.3">
      <c r="A7" s="2" t="s">
        <v>26</v>
      </c>
      <c r="B7" s="2">
        <v>40</v>
      </c>
      <c r="C7" s="13">
        <f>C6+10</f>
        <v>25</v>
      </c>
      <c r="D7" s="13"/>
      <c r="E7" s="16"/>
      <c r="F7" s="13"/>
      <c r="G7" s="13"/>
      <c r="H7" s="13"/>
      <c r="I7" s="13"/>
      <c r="J7" s="13" t="s">
        <v>239</v>
      </c>
      <c r="K7" s="13" t="s">
        <v>240</v>
      </c>
      <c r="L7" s="13">
        <f>L5*L6</f>
        <v>9.3853193475470886E-2</v>
      </c>
      <c r="M7" s="13"/>
      <c r="N7" s="13" t="s">
        <v>303</v>
      </c>
      <c r="O7">
        <f>144/200</f>
        <v>0.72</v>
      </c>
    </row>
    <row r="8" spans="1:15" x14ac:dyDescent="0.3">
      <c r="A8" s="2" t="s">
        <v>27</v>
      </c>
      <c r="B8" s="2">
        <v>34</v>
      </c>
      <c r="C8" s="13">
        <f t="shared" ref="C8:C10" si="0">C7+10</f>
        <v>35</v>
      </c>
      <c r="D8" s="13"/>
      <c r="E8" s="16"/>
      <c r="F8" s="13"/>
      <c r="G8" s="13"/>
      <c r="H8" s="13"/>
      <c r="I8" s="13"/>
      <c r="J8" s="13" t="s">
        <v>241</v>
      </c>
      <c r="K8" s="13" t="s">
        <v>242</v>
      </c>
      <c r="L8" s="26">
        <f>G5-L7</f>
        <v>0.28114680652452911</v>
      </c>
      <c r="M8" s="13">
        <f>B11*L8</f>
        <v>40.485140139532191</v>
      </c>
      <c r="N8" s="13"/>
    </row>
    <row r="9" spans="1:15" x14ac:dyDescent="0.3">
      <c r="A9" s="2" t="s">
        <v>28</v>
      </c>
      <c r="B9" s="2">
        <v>32</v>
      </c>
      <c r="C9" s="13">
        <f t="shared" si="0"/>
        <v>45</v>
      </c>
      <c r="D9" s="13"/>
      <c r="E9" s="16"/>
      <c r="F9" s="13"/>
      <c r="G9" s="13"/>
      <c r="H9" s="13"/>
      <c r="I9" s="13"/>
      <c r="J9" s="13"/>
      <c r="K9" s="13" t="s">
        <v>243</v>
      </c>
      <c r="L9" s="26">
        <f>G5+L7</f>
        <v>0.46885319347547089</v>
      </c>
      <c r="M9" s="13">
        <f>B11*L9</f>
        <v>67.514859860467809</v>
      </c>
      <c r="N9" s="13"/>
    </row>
    <row r="10" spans="1:15" ht="28.8" x14ac:dyDescent="0.3">
      <c r="A10" s="1" t="s">
        <v>29</v>
      </c>
      <c r="B10" s="2">
        <v>24</v>
      </c>
      <c r="C10" s="13">
        <f t="shared" si="0"/>
        <v>55</v>
      </c>
      <c r="D10" s="13"/>
      <c r="E10" s="16"/>
      <c r="F10" s="13"/>
      <c r="G10" s="13"/>
      <c r="H10" s="13"/>
      <c r="I10" s="13"/>
      <c r="J10" s="13"/>
      <c r="K10" s="13"/>
      <c r="L10" s="13"/>
      <c r="M10" s="13"/>
      <c r="N10" s="13"/>
    </row>
    <row r="11" spans="1:15" x14ac:dyDescent="0.3">
      <c r="A11" s="2" t="s">
        <v>30</v>
      </c>
      <c r="B11" s="2">
        <v>144</v>
      </c>
      <c r="C11" s="13" t="s">
        <v>300</v>
      </c>
      <c r="D11" s="16">
        <f>SUMPRODUCT(C6:C10,B6:B10)/B11</f>
        <v>35.833333333333336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3">
      <c r="C12" s="13"/>
      <c r="D12" s="13"/>
      <c r="E12" s="13"/>
      <c r="F12" s="13"/>
      <c r="G12" s="13"/>
      <c r="H12" s="13"/>
      <c r="I12" s="13"/>
      <c r="J12" s="13"/>
      <c r="K12" s="13" t="s">
        <v>230</v>
      </c>
      <c r="L12" s="14">
        <v>0.98</v>
      </c>
      <c r="M12" s="13"/>
      <c r="N12" s="13"/>
    </row>
    <row r="13" spans="1:15" x14ac:dyDescent="0.3">
      <c r="A13" t="s">
        <v>229</v>
      </c>
      <c r="K13" s="13" t="s">
        <v>149</v>
      </c>
      <c r="L13" s="14">
        <f>1-L12</f>
        <v>2.0000000000000018E-2</v>
      </c>
    </row>
    <row r="18" spans="1:13" x14ac:dyDescent="0.3">
      <c r="A18" t="s">
        <v>31</v>
      </c>
      <c r="K18" s="3" t="b">
        <v>1</v>
      </c>
      <c r="L18" s="20">
        <f>L9</f>
        <v>0.46885319347547089</v>
      </c>
    </row>
    <row r="19" spans="1:13" x14ac:dyDescent="0.3">
      <c r="K19" s="3"/>
    </row>
    <row r="20" spans="1:13" x14ac:dyDescent="0.3">
      <c r="A20" t="s">
        <v>32</v>
      </c>
      <c r="K20" s="3" t="b">
        <v>1</v>
      </c>
      <c r="L20" s="27">
        <f>G5</f>
        <v>0.375</v>
      </c>
    </row>
    <row r="21" spans="1:13" x14ac:dyDescent="0.3">
      <c r="K21" s="3"/>
    </row>
    <row r="22" spans="1:13" x14ac:dyDescent="0.3">
      <c r="A22" t="s">
        <v>33</v>
      </c>
      <c r="K22" s="3" t="b">
        <v>0</v>
      </c>
      <c r="L22">
        <f>N8</f>
        <v>0</v>
      </c>
      <c r="M22">
        <f>N9</f>
        <v>0</v>
      </c>
    </row>
    <row r="23" spans="1:13" x14ac:dyDescent="0.3">
      <c r="K23" s="3"/>
    </row>
    <row r="24" spans="1:13" x14ac:dyDescent="0.3">
      <c r="A24" t="s">
        <v>34</v>
      </c>
      <c r="K24" s="3" t="b">
        <v>0</v>
      </c>
      <c r="L24" t="s">
        <v>240</v>
      </c>
      <c r="M24" s="27">
        <f>L7</f>
        <v>9.3853193475470886E-2</v>
      </c>
    </row>
    <row r="25" spans="1:13" x14ac:dyDescent="0.3">
      <c r="K25" s="3"/>
    </row>
    <row r="26" spans="1:13" x14ac:dyDescent="0.3">
      <c r="A26" t="s">
        <v>35</v>
      </c>
      <c r="K26" s="3" t="b">
        <v>1</v>
      </c>
      <c r="L26" t="s">
        <v>236</v>
      </c>
      <c r="M26" s="10">
        <f>L5</f>
        <v>4.0343576522993925E-2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48E7-DB0F-4CAA-8511-D4F206A97030}">
  <sheetPr>
    <tabColor rgb="FFFFFF00"/>
  </sheetPr>
  <dimension ref="A1:Q16"/>
  <sheetViews>
    <sheetView workbookViewId="0">
      <selection activeCell="M14" sqref="M14"/>
    </sheetView>
  </sheetViews>
  <sheetFormatPr defaultRowHeight="14.4" x14ac:dyDescent="0.3"/>
  <cols>
    <col min="1" max="1" width="12.5546875" customWidth="1"/>
    <col min="2" max="2" width="11.33203125" customWidth="1"/>
    <col min="3" max="3" width="11.21875" customWidth="1"/>
    <col min="4" max="4" width="12.6640625" customWidth="1"/>
    <col min="6" max="6" width="15.21875" customWidth="1"/>
  </cols>
  <sheetData>
    <row r="1" spans="1:17" x14ac:dyDescent="0.3">
      <c r="A1" t="s">
        <v>244</v>
      </c>
    </row>
    <row r="2" spans="1:17" ht="28.8" x14ac:dyDescent="0.3">
      <c r="A2" s="1" t="s">
        <v>245</v>
      </c>
      <c r="B2" s="2" t="s">
        <v>247</v>
      </c>
      <c r="C2" s="2" t="s">
        <v>248</v>
      </c>
      <c r="D2" s="2" t="s">
        <v>248</v>
      </c>
      <c r="E2" s="13" t="s">
        <v>143</v>
      </c>
      <c r="F2" s="13" t="s">
        <v>260</v>
      </c>
      <c r="G2" s="13" t="s">
        <v>261</v>
      </c>
      <c r="H2" s="13" t="s">
        <v>263</v>
      </c>
      <c r="I2" s="13" t="s">
        <v>263</v>
      </c>
      <c r="J2" s="13" t="s">
        <v>144</v>
      </c>
      <c r="K2" s="13" t="s">
        <v>268</v>
      </c>
      <c r="L2" s="13" t="s">
        <v>304</v>
      </c>
      <c r="M2" s="13"/>
      <c r="N2" s="13"/>
      <c r="O2" s="13"/>
      <c r="P2" s="13"/>
      <c r="Q2" s="13"/>
    </row>
    <row r="3" spans="1:17" ht="28.8" x14ac:dyDescent="0.3">
      <c r="A3" s="1" t="s">
        <v>246</v>
      </c>
      <c r="B3" s="2" t="s">
        <v>24</v>
      </c>
      <c r="C3" s="2" t="s">
        <v>249</v>
      </c>
      <c r="D3" s="2" t="s">
        <v>250</v>
      </c>
      <c r="E3" s="13"/>
      <c r="F3" s="13"/>
      <c r="G3" s="13">
        <f>SQRT(F6/B6)</f>
        <v>5.3576922584543345</v>
      </c>
      <c r="H3" s="13" t="s">
        <v>264</v>
      </c>
      <c r="I3" s="13">
        <f>SQRT(H6/B6)</f>
        <v>19.250668437592438</v>
      </c>
      <c r="J3" s="16">
        <f>SQRT(J5)</f>
        <v>19.982319725958224</v>
      </c>
      <c r="K3" s="13">
        <f>G3^2/J5</f>
        <v>7.1889211757207819E-2</v>
      </c>
      <c r="L3" s="13">
        <f>J3/E6*100</f>
        <v>57.51460765892449</v>
      </c>
      <c r="M3" s="13"/>
      <c r="N3" s="13"/>
      <c r="O3" s="13"/>
      <c r="P3" s="13"/>
      <c r="Q3" s="13"/>
    </row>
    <row r="4" spans="1:17" x14ac:dyDescent="0.3">
      <c r="A4" s="17" t="s">
        <v>251</v>
      </c>
      <c r="B4" s="18">
        <v>125</v>
      </c>
      <c r="C4" s="18">
        <v>28</v>
      </c>
      <c r="D4" s="18">
        <v>18</v>
      </c>
      <c r="E4" s="13">
        <f>C4*B4</f>
        <v>3500</v>
      </c>
      <c r="F4" s="13">
        <f>B4*(C4-$E$6)^2</f>
        <v>5683.5635345877008</v>
      </c>
      <c r="G4" s="13"/>
      <c r="H4" s="13">
        <f>B4*D4^2</f>
        <v>40500</v>
      </c>
      <c r="I4" s="13"/>
      <c r="J4" s="13" t="s">
        <v>267</v>
      </c>
      <c r="K4" s="16">
        <f>SQRT(K3)</f>
        <v>0.26812163612287582</v>
      </c>
      <c r="L4" s="13"/>
      <c r="M4" s="13"/>
      <c r="N4" s="13"/>
      <c r="O4" s="13"/>
      <c r="P4" s="13"/>
      <c r="Q4" s="13"/>
    </row>
    <row r="5" spans="1:17" x14ac:dyDescent="0.3">
      <c r="A5" s="17" t="s">
        <v>252</v>
      </c>
      <c r="B5" s="18">
        <v>198</v>
      </c>
      <c r="C5" s="18">
        <v>39</v>
      </c>
      <c r="D5" s="18">
        <v>20</v>
      </c>
      <c r="E5" s="13">
        <f>C5*B5</f>
        <v>7722</v>
      </c>
      <c r="F5" s="13">
        <f>B5*(C5-$E$6)^2</f>
        <v>3588.1082920376862</v>
      </c>
      <c r="G5" s="13"/>
      <c r="H5" s="13">
        <f>B5*D5^2</f>
        <v>79200</v>
      </c>
      <c r="I5" s="13"/>
      <c r="J5" s="13">
        <f>I3^2+G3^2</f>
        <v>399.29310163041919</v>
      </c>
      <c r="K5" s="13"/>
      <c r="L5" s="13"/>
      <c r="M5" s="13"/>
      <c r="N5" s="13"/>
      <c r="O5" s="13"/>
      <c r="P5" s="13"/>
      <c r="Q5" s="13"/>
    </row>
    <row r="6" spans="1:17" x14ac:dyDescent="0.3">
      <c r="A6" s="1" t="s">
        <v>41</v>
      </c>
      <c r="B6" s="2">
        <v>323</v>
      </c>
      <c r="C6" s="1"/>
      <c r="E6" s="16">
        <f>SUM(E4:E5)/B6</f>
        <v>34.743034055727556</v>
      </c>
      <c r="F6" s="19">
        <f>SUM(F4:F5)</f>
        <v>9271.6718266253865</v>
      </c>
      <c r="G6" s="13"/>
      <c r="H6" s="13">
        <f>SUM(H4:H5)</f>
        <v>119700</v>
      </c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3"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3">
      <c r="A8" t="s">
        <v>253</v>
      </c>
    </row>
    <row r="10" spans="1:17" x14ac:dyDescent="0.3">
      <c r="A10" t="s">
        <v>254</v>
      </c>
      <c r="D10" s="3">
        <v>34.74</v>
      </c>
      <c r="F10" t="s">
        <v>255</v>
      </c>
      <c r="K10" s="6">
        <f>F6</f>
        <v>9271.6718266253865</v>
      </c>
      <c r="L10" s="3"/>
    </row>
    <row r="12" spans="1:17" x14ac:dyDescent="0.3">
      <c r="A12" t="s">
        <v>256</v>
      </c>
      <c r="H12" t="s">
        <v>262</v>
      </c>
      <c r="J12" s="6">
        <f>I3</f>
        <v>19.250668437592438</v>
      </c>
      <c r="K12" t="s">
        <v>257</v>
      </c>
    </row>
    <row r="14" spans="1:17" x14ac:dyDescent="0.3">
      <c r="A14" t="s">
        <v>258</v>
      </c>
      <c r="H14" s="20">
        <v>0.49359999999999998</v>
      </c>
      <c r="I14" s="12" t="s">
        <v>265</v>
      </c>
      <c r="J14" t="s">
        <v>266</v>
      </c>
      <c r="K14" s="22">
        <v>0.51280000000000003</v>
      </c>
      <c r="M14">
        <f>J3/C5*100</f>
        <v>51.236717246046723</v>
      </c>
    </row>
    <row r="16" spans="1:17" x14ac:dyDescent="0.3">
      <c r="A16" t="s">
        <v>259</v>
      </c>
      <c r="G16" s="6">
        <f>K4</f>
        <v>0.26812163612287582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6616-C5AF-447E-AF94-7601B5A58881}">
  <sheetPr>
    <tabColor rgb="FFFFFF00"/>
  </sheetPr>
  <dimension ref="A1:V13"/>
  <sheetViews>
    <sheetView tabSelected="1" workbookViewId="0">
      <selection activeCell="O4" sqref="O4"/>
    </sheetView>
  </sheetViews>
  <sheetFormatPr defaultRowHeight="14.4" x14ac:dyDescent="0.3"/>
  <cols>
    <col min="1" max="1" width="18.77734375" customWidth="1"/>
    <col min="7" max="7" width="9.44140625" customWidth="1"/>
    <col min="8" max="8" width="12.109375" bestFit="1" customWidth="1"/>
    <col min="9" max="9" width="9.5546875" bestFit="1" customWidth="1"/>
    <col min="10" max="11" width="10.5546875" bestFit="1" customWidth="1"/>
    <col min="14" max="14" width="12.109375" bestFit="1" customWidth="1"/>
  </cols>
  <sheetData>
    <row r="1" spans="1:22" x14ac:dyDescent="0.3">
      <c r="A1" t="s">
        <v>36</v>
      </c>
    </row>
    <row r="2" spans="1:22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13" t="s">
        <v>377</v>
      </c>
      <c r="G2" s="13" t="s">
        <v>378</v>
      </c>
      <c r="H2" s="13" t="s">
        <v>37</v>
      </c>
      <c r="I2" s="13" t="s">
        <v>38</v>
      </c>
      <c r="J2" s="13" t="s">
        <v>39</v>
      </c>
      <c r="K2" s="13" t="s">
        <v>40</v>
      </c>
      <c r="L2" s="13" t="s">
        <v>41</v>
      </c>
      <c r="M2" s="13"/>
      <c r="N2" s="13" t="s">
        <v>37</v>
      </c>
      <c r="O2" s="13" t="s">
        <v>38</v>
      </c>
      <c r="P2" s="13" t="s">
        <v>39</v>
      </c>
      <c r="Q2" s="13" t="s">
        <v>40</v>
      </c>
      <c r="R2" s="13" t="s">
        <v>41</v>
      </c>
      <c r="S2" s="13"/>
      <c r="T2" s="13"/>
      <c r="U2" s="13"/>
      <c r="V2" s="13"/>
    </row>
    <row r="3" spans="1:22" x14ac:dyDescent="0.3">
      <c r="A3" t="s">
        <v>42</v>
      </c>
      <c r="B3">
        <v>50</v>
      </c>
      <c r="C3">
        <v>100</v>
      </c>
      <c r="D3">
        <v>100</v>
      </c>
      <c r="E3">
        <v>250</v>
      </c>
      <c r="F3" s="13"/>
      <c r="G3" s="13"/>
      <c r="H3" s="13" t="s">
        <v>42</v>
      </c>
      <c r="I3" s="33">
        <f>$L3*I$6/$L$6</f>
        <v>17.094017094017094</v>
      </c>
      <c r="J3" s="33">
        <f t="shared" ref="J3:K3" si="0">$L3*J$6/$L$6</f>
        <v>79.059829059829056</v>
      </c>
      <c r="K3" s="33">
        <f t="shared" si="0"/>
        <v>153.84615384615384</v>
      </c>
      <c r="L3" s="13">
        <v>250</v>
      </c>
      <c r="M3" s="13"/>
      <c r="N3" s="13" t="s">
        <v>42</v>
      </c>
      <c r="O3" s="13">
        <f>(I3-B3)^2/I3</f>
        <v>63.344017094017104</v>
      </c>
      <c r="P3" s="13">
        <f t="shared" ref="O3:Q5" si="1">(J3-C3)^2/J3</f>
        <v>5.5463155463155491</v>
      </c>
      <c r="Q3" s="13">
        <f t="shared" si="1"/>
        <v>18.846153846153843</v>
      </c>
      <c r="R3" s="13"/>
      <c r="S3" s="13"/>
      <c r="T3" s="13"/>
      <c r="U3" s="13"/>
      <c r="V3" s="13"/>
    </row>
    <row r="4" spans="1:22" x14ac:dyDescent="0.3">
      <c r="A4" t="s">
        <v>43</v>
      </c>
      <c r="B4">
        <v>20</v>
      </c>
      <c r="C4">
        <v>200</v>
      </c>
      <c r="D4">
        <v>300</v>
      </c>
      <c r="E4">
        <v>520</v>
      </c>
      <c r="F4" s="13"/>
      <c r="G4" s="13"/>
      <c r="H4" s="13" t="s">
        <v>43</v>
      </c>
      <c r="I4" s="33">
        <f>$L4*I$6/$L$6</f>
        <v>35.555555555555557</v>
      </c>
      <c r="J4" s="33">
        <f>$L4*J$6/$L$6</f>
        <v>164.44444444444446</v>
      </c>
      <c r="K4" s="33">
        <f t="shared" ref="I4:K5" si="2">$L4*K$6/$L$6</f>
        <v>320</v>
      </c>
      <c r="L4" s="13">
        <v>520</v>
      </c>
      <c r="M4" s="13"/>
      <c r="N4" s="13" t="s">
        <v>43</v>
      </c>
      <c r="O4" s="13">
        <f t="shared" si="1"/>
        <v>6.8055555555555562</v>
      </c>
      <c r="P4" s="13">
        <f t="shared" si="1"/>
        <v>7.6876876876876814</v>
      </c>
      <c r="Q4" s="13">
        <f t="shared" si="1"/>
        <v>1.25</v>
      </c>
      <c r="R4" s="13"/>
      <c r="S4" s="13"/>
      <c r="T4" s="13"/>
      <c r="U4" s="13"/>
      <c r="V4" s="13"/>
    </row>
    <row r="5" spans="1:22" x14ac:dyDescent="0.3">
      <c r="A5" t="s">
        <v>44</v>
      </c>
      <c r="B5">
        <v>10</v>
      </c>
      <c r="C5">
        <v>70</v>
      </c>
      <c r="D5" s="32">
        <v>320</v>
      </c>
      <c r="E5">
        <v>400</v>
      </c>
      <c r="F5" s="13"/>
      <c r="G5" s="13"/>
      <c r="H5" s="13" t="s">
        <v>44</v>
      </c>
      <c r="I5" s="33">
        <f t="shared" si="2"/>
        <v>27.350427350427349</v>
      </c>
      <c r="J5" s="33">
        <f t="shared" si="2"/>
        <v>126.4957264957265</v>
      </c>
      <c r="K5" s="33">
        <f>$L5*K$6/$L$6</f>
        <v>246.15384615384616</v>
      </c>
      <c r="L5" s="13">
        <v>400</v>
      </c>
      <c r="M5" s="13"/>
      <c r="N5" s="13" t="s">
        <v>44</v>
      </c>
      <c r="O5" s="13">
        <f t="shared" si="1"/>
        <v>11.006677350427349</v>
      </c>
      <c r="P5" s="13">
        <f t="shared" si="1"/>
        <v>25.232212982212985</v>
      </c>
      <c r="Q5" s="13">
        <f t="shared" si="1"/>
        <v>22.15384615384615</v>
      </c>
      <c r="R5" s="13"/>
      <c r="S5" s="13"/>
      <c r="T5" s="13"/>
      <c r="U5" s="13"/>
      <c r="V5" s="13"/>
    </row>
    <row r="6" spans="1:22" x14ac:dyDescent="0.3">
      <c r="A6" t="s">
        <v>41</v>
      </c>
      <c r="B6">
        <v>80</v>
      </c>
      <c r="C6">
        <v>370</v>
      </c>
      <c r="D6">
        <v>720</v>
      </c>
      <c r="E6">
        <v>1170</v>
      </c>
      <c r="F6" s="13"/>
      <c r="G6" s="13"/>
      <c r="H6" s="13" t="s">
        <v>41</v>
      </c>
      <c r="I6" s="13">
        <v>80</v>
      </c>
      <c r="J6" s="13">
        <v>370</v>
      </c>
      <c r="K6" s="13">
        <v>720</v>
      </c>
      <c r="L6" s="13">
        <v>1170</v>
      </c>
      <c r="M6" s="13"/>
      <c r="N6" s="13" t="s">
        <v>41</v>
      </c>
      <c r="O6" s="13"/>
      <c r="P6" s="13"/>
      <c r="Q6" s="13"/>
      <c r="R6" s="19">
        <f>SUM(O3:Q5)</f>
        <v>161.87246621621622</v>
      </c>
      <c r="S6" s="13"/>
      <c r="T6" s="13"/>
      <c r="U6" s="13"/>
      <c r="V6" s="13"/>
    </row>
    <row r="8" spans="1:22" x14ac:dyDescent="0.3">
      <c r="A8" t="s">
        <v>45</v>
      </c>
      <c r="E8" t="s">
        <v>49</v>
      </c>
      <c r="H8" s="3">
        <v>320</v>
      </c>
      <c r="O8" t="s">
        <v>52</v>
      </c>
    </row>
    <row r="9" spans="1:22" x14ac:dyDescent="0.3">
      <c r="A9" s="3" t="s">
        <v>46</v>
      </c>
      <c r="E9" t="s">
        <v>50</v>
      </c>
      <c r="M9" s="3">
        <v>161.87</v>
      </c>
      <c r="O9" t="s">
        <v>53</v>
      </c>
    </row>
    <row r="10" spans="1:22" x14ac:dyDescent="0.3">
      <c r="A10" t="s">
        <v>47</v>
      </c>
      <c r="E10" t="s">
        <v>51</v>
      </c>
      <c r="I10" s="3">
        <v>0.26</v>
      </c>
      <c r="O10" s="3" t="s">
        <v>54</v>
      </c>
    </row>
    <row r="11" spans="1:22" x14ac:dyDescent="0.3">
      <c r="A11" t="s">
        <v>48</v>
      </c>
      <c r="O11" t="s">
        <v>55</v>
      </c>
    </row>
    <row r="12" spans="1:22" x14ac:dyDescent="0.3">
      <c r="G12" s="13" t="s">
        <v>379</v>
      </c>
      <c r="H12" s="16">
        <f>SQRT((R6)/(E6*2))</f>
        <v>0.26301381639329829</v>
      </c>
      <c r="I12" s="13"/>
      <c r="J12" s="13"/>
      <c r="O12" t="s">
        <v>56</v>
      </c>
    </row>
    <row r="13" spans="1:22" x14ac:dyDescent="0.3">
      <c r="A13" s="13" t="s">
        <v>376</v>
      </c>
      <c r="G13" s="13"/>
      <c r="H13" s="13"/>
      <c r="I13" s="13"/>
      <c r="J1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00C8-7B21-4FF7-A351-1785615E0355}">
  <sheetPr>
    <tabColor rgb="FFFFFF00"/>
  </sheetPr>
  <dimension ref="A1:R24"/>
  <sheetViews>
    <sheetView workbookViewId="0">
      <selection activeCell="K8" sqref="K8"/>
    </sheetView>
  </sheetViews>
  <sheetFormatPr defaultRowHeight="14.4" x14ac:dyDescent="0.3"/>
  <cols>
    <col min="1" max="1" width="13.44140625" customWidth="1"/>
    <col min="10" max="10" width="11.6640625" customWidth="1"/>
    <col min="13" max="13" width="11.5546875" bestFit="1" customWidth="1"/>
  </cols>
  <sheetData>
    <row r="1" spans="1:18" x14ac:dyDescent="0.3">
      <c r="A1" t="s">
        <v>57</v>
      </c>
    </row>
    <row r="2" spans="1:18" x14ac:dyDescent="0.3">
      <c r="J2" t="s">
        <v>307</v>
      </c>
      <c r="K2" s="28">
        <f>1/6</f>
        <v>0.16666666666666666</v>
      </c>
    </row>
    <row r="3" spans="1:18" x14ac:dyDescent="0.3">
      <c r="A3" t="s">
        <v>58</v>
      </c>
      <c r="B3" t="s">
        <v>59</v>
      </c>
      <c r="D3" s="13" t="s">
        <v>309</v>
      </c>
      <c r="E3" t="s">
        <v>310</v>
      </c>
      <c r="H3" t="s">
        <v>306</v>
      </c>
      <c r="I3" s="13">
        <v>6</v>
      </c>
      <c r="J3" s="13" t="s">
        <v>269</v>
      </c>
      <c r="K3" s="13" t="s">
        <v>274</v>
      </c>
      <c r="L3" s="13" t="s">
        <v>112</v>
      </c>
      <c r="M3" s="13" t="s">
        <v>275</v>
      </c>
      <c r="N3" s="13"/>
      <c r="O3" s="13"/>
      <c r="P3" s="13"/>
      <c r="Q3" s="13"/>
      <c r="R3" s="13"/>
    </row>
    <row r="4" spans="1:18" x14ac:dyDescent="0.3">
      <c r="A4" t="s">
        <v>60</v>
      </c>
      <c r="B4">
        <v>302</v>
      </c>
      <c r="D4" s="13">
        <f>$K$2*$B$10</f>
        <v>290</v>
      </c>
      <c r="E4" s="13">
        <f>(B4-D4)^2/D4</f>
        <v>0.49655172413793103</v>
      </c>
      <c r="F4" s="13"/>
      <c r="G4" s="13"/>
      <c r="H4" s="13"/>
      <c r="I4" s="13"/>
      <c r="J4" s="13" t="s">
        <v>290</v>
      </c>
      <c r="K4" s="13">
        <f>F15</f>
        <v>5</v>
      </c>
      <c r="L4" s="13"/>
      <c r="M4" s="13"/>
      <c r="N4" s="13"/>
      <c r="O4" s="13"/>
      <c r="P4" s="13"/>
      <c r="Q4" s="13"/>
      <c r="R4" s="13"/>
    </row>
    <row r="5" spans="1:18" x14ac:dyDescent="0.3">
      <c r="A5" t="s">
        <v>61</v>
      </c>
      <c r="B5">
        <v>308</v>
      </c>
      <c r="D5" s="13">
        <f t="shared" ref="D5:D9" si="0">$K$2*$B$10</f>
        <v>290</v>
      </c>
      <c r="E5" s="13">
        <f t="shared" ref="E5:E9" si="1">(B5-D5)^2/D5</f>
        <v>1.1172413793103448</v>
      </c>
      <c r="F5" s="13"/>
      <c r="G5" s="13"/>
      <c r="H5" s="13"/>
      <c r="I5" s="13"/>
      <c r="J5" s="13" t="s">
        <v>281</v>
      </c>
      <c r="K5" s="13">
        <f>E10</f>
        <v>6.7862068965517253</v>
      </c>
      <c r="L5" s="13"/>
      <c r="M5" s="13"/>
      <c r="N5" s="13"/>
      <c r="O5" s="13"/>
      <c r="P5" s="13"/>
      <c r="Q5" s="13"/>
      <c r="R5" s="13"/>
    </row>
    <row r="6" spans="1:18" x14ac:dyDescent="0.3">
      <c r="A6" t="s">
        <v>62</v>
      </c>
      <c r="B6">
        <v>310</v>
      </c>
      <c r="D6" s="13">
        <f t="shared" si="0"/>
        <v>290</v>
      </c>
      <c r="E6" s="13">
        <f t="shared" si="1"/>
        <v>1.3793103448275863</v>
      </c>
      <c r="F6" s="13"/>
      <c r="G6" s="13"/>
      <c r="H6" s="13"/>
      <c r="I6" s="13"/>
      <c r="J6" s="13" t="s">
        <v>282</v>
      </c>
      <c r="K6" s="14">
        <v>0.05</v>
      </c>
      <c r="L6" s="13"/>
      <c r="M6" s="13"/>
      <c r="N6" s="13"/>
      <c r="O6" s="13"/>
      <c r="P6" s="13"/>
      <c r="Q6" s="13"/>
      <c r="R6" s="13"/>
    </row>
    <row r="7" spans="1:18" x14ac:dyDescent="0.3">
      <c r="A7" t="s">
        <v>63</v>
      </c>
      <c r="B7">
        <v>280</v>
      </c>
      <c r="D7" s="13">
        <f t="shared" si="0"/>
        <v>290</v>
      </c>
      <c r="E7" s="13">
        <f t="shared" si="1"/>
        <v>0.34482758620689657</v>
      </c>
      <c r="F7" s="13"/>
      <c r="G7" s="13"/>
      <c r="H7" s="13"/>
      <c r="I7" s="13"/>
      <c r="J7" s="13" t="s">
        <v>311</v>
      </c>
      <c r="K7" s="13">
        <f>_xlfn.CHISQ.INV(1-K6,K4)</f>
        <v>11.070497693516351</v>
      </c>
      <c r="L7" s="13"/>
      <c r="M7" s="13"/>
      <c r="N7" s="13"/>
      <c r="O7" s="13"/>
      <c r="P7" s="13"/>
      <c r="Q7" s="13"/>
      <c r="R7" s="13"/>
    </row>
    <row r="8" spans="1:18" x14ac:dyDescent="0.3">
      <c r="A8" t="s">
        <v>64</v>
      </c>
      <c r="B8">
        <v>260</v>
      </c>
      <c r="D8" s="13">
        <f t="shared" si="0"/>
        <v>290</v>
      </c>
      <c r="E8" s="13">
        <f t="shared" si="1"/>
        <v>3.103448275862069</v>
      </c>
      <c r="F8" s="13"/>
      <c r="G8" s="13"/>
      <c r="H8" s="13"/>
      <c r="I8" s="13"/>
      <c r="J8" s="13" t="s">
        <v>288</v>
      </c>
      <c r="K8" s="13" t="s">
        <v>312</v>
      </c>
      <c r="L8" s="13"/>
      <c r="M8" s="13"/>
      <c r="N8" s="13"/>
      <c r="O8" s="13"/>
      <c r="P8" s="13"/>
      <c r="Q8" s="13"/>
      <c r="R8" s="13"/>
    </row>
    <row r="9" spans="1:18" x14ac:dyDescent="0.3">
      <c r="A9" t="s">
        <v>65</v>
      </c>
      <c r="B9">
        <v>280</v>
      </c>
      <c r="D9" s="13">
        <f t="shared" si="0"/>
        <v>290</v>
      </c>
      <c r="E9" s="13">
        <f t="shared" si="1"/>
        <v>0.34482758620689657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3">
      <c r="A10" t="s">
        <v>305</v>
      </c>
      <c r="B10" s="13">
        <f>SUM(B4:B9)</f>
        <v>1740</v>
      </c>
      <c r="D10" s="13">
        <f>SUM(D4:D9)</f>
        <v>1740</v>
      </c>
      <c r="E10" s="13">
        <f>SUM(E4:E9)</f>
        <v>6.7862068965517253</v>
      </c>
    </row>
    <row r="11" spans="1:18" x14ac:dyDescent="0.3">
      <c r="A11" t="s">
        <v>66</v>
      </c>
    </row>
    <row r="13" spans="1:18" x14ac:dyDescent="0.3">
      <c r="A13" t="s">
        <v>67</v>
      </c>
    </row>
    <row r="14" spans="1:18" x14ac:dyDescent="0.3">
      <c r="M14" s="3"/>
    </row>
    <row r="15" spans="1:18" x14ac:dyDescent="0.3">
      <c r="A15" t="s">
        <v>68</v>
      </c>
      <c r="E15" s="3">
        <f>COUNT(B4:B9)</f>
        <v>6</v>
      </c>
      <c r="F15" s="3">
        <f>E15-1</f>
        <v>5</v>
      </c>
      <c r="M15" s="3" t="b">
        <v>1</v>
      </c>
    </row>
    <row r="16" spans="1:18" x14ac:dyDescent="0.3">
      <c r="M16" s="3"/>
    </row>
    <row r="17" spans="1:14" x14ac:dyDescent="0.3">
      <c r="A17" t="s">
        <v>69</v>
      </c>
      <c r="M17" s="3" t="b">
        <v>1</v>
      </c>
    </row>
    <row r="18" spans="1:14" x14ac:dyDescent="0.3">
      <c r="M18" s="3"/>
    </row>
    <row r="19" spans="1:14" x14ac:dyDescent="0.3">
      <c r="A19" t="s">
        <v>70</v>
      </c>
      <c r="M19" s="3" t="b">
        <v>0</v>
      </c>
      <c r="N19" t="str">
        <f>J8</f>
        <v>H0 elfogadjuk</v>
      </c>
    </row>
    <row r="20" spans="1:14" x14ac:dyDescent="0.3">
      <c r="M20" s="3"/>
    </row>
    <row r="21" spans="1:14" x14ac:dyDescent="0.3">
      <c r="A21" t="s">
        <v>71</v>
      </c>
      <c r="M21" s="3" t="b">
        <v>0</v>
      </c>
      <c r="N21" t="s">
        <v>308</v>
      </c>
    </row>
    <row r="22" spans="1:14" x14ac:dyDescent="0.3">
      <c r="M22" s="3"/>
    </row>
    <row r="23" spans="1:14" x14ac:dyDescent="0.3">
      <c r="A23" t="s">
        <v>72</v>
      </c>
      <c r="M23" s="3" t="b">
        <v>1</v>
      </c>
    </row>
    <row r="24" spans="1:14" x14ac:dyDescent="0.3">
      <c r="M2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B2E8-4C8A-4D20-8D80-D9986B3F1815}">
  <sheetPr>
    <tabColor rgb="FFFFFF00"/>
  </sheetPr>
  <dimension ref="A1:N22"/>
  <sheetViews>
    <sheetView topLeftCell="A3" workbookViewId="0">
      <selection activeCell="N12" sqref="N12"/>
    </sheetView>
  </sheetViews>
  <sheetFormatPr defaultRowHeight="14.4" x14ac:dyDescent="0.3"/>
  <cols>
    <col min="1" max="1" width="13.5546875" customWidth="1"/>
    <col min="3" max="3" width="12.44140625" customWidth="1"/>
    <col min="4" max="4" width="14.6640625" customWidth="1"/>
    <col min="5" max="5" width="9.5546875" bestFit="1" customWidth="1"/>
    <col min="7" max="7" width="12" bestFit="1" customWidth="1"/>
    <col min="12" max="12" width="10.6640625" customWidth="1"/>
  </cols>
  <sheetData>
    <row r="1" spans="1:14" x14ac:dyDescent="0.3">
      <c r="A1" t="s">
        <v>73</v>
      </c>
    </row>
    <row r="2" spans="1:14" x14ac:dyDescent="0.3">
      <c r="N2" s="3" t="s">
        <v>142</v>
      </c>
    </row>
    <row r="3" spans="1:14" x14ac:dyDescent="0.3">
      <c r="A3" s="39" t="s">
        <v>74</v>
      </c>
      <c r="B3" s="2" t="s">
        <v>75</v>
      </c>
      <c r="C3" s="2" t="s">
        <v>76</v>
      </c>
      <c r="D3" s="2" t="s">
        <v>76</v>
      </c>
      <c r="E3" s="29" t="s">
        <v>143</v>
      </c>
    </row>
    <row r="4" spans="1:14" x14ac:dyDescent="0.3">
      <c r="A4" s="39"/>
      <c r="B4" s="1"/>
      <c r="C4" s="1"/>
      <c r="D4" s="1"/>
      <c r="E4" s="13">
        <f>SUMPRODUCT(C6:C9,B6:B9)/B10</f>
        <v>28.702281879194626</v>
      </c>
      <c r="G4" s="13" t="s">
        <v>314</v>
      </c>
      <c r="H4" s="13" cm="1">
        <f t="array" ref="H4">SUMPRODUCT(B6:B9,E6:E9^2)</f>
        <v>2303.6861208053706</v>
      </c>
    </row>
    <row r="5" spans="1:14" ht="28.8" x14ac:dyDescent="0.3">
      <c r="A5" s="39"/>
      <c r="B5" s="2" t="s">
        <v>24</v>
      </c>
      <c r="C5" s="2" t="s">
        <v>77</v>
      </c>
      <c r="D5" s="2" t="s">
        <v>78</v>
      </c>
      <c r="E5" s="29" t="s">
        <v>315</v>
      </c>
      <c r="F5" s="5"/>
      <c r="G5" s="29" t="s">
        <v>263</v>
      </c>
      <c r="H5" s="13">
        <f>SQRT(D12/B10)</f>
        <v>1.7380811760377144</v>
      </c>
      <c r="L5" t="s">
        <v>414</v>
      </c>
      <c r="M5" t="s">
        <v>417</v>
      </c>
    </row>
    <row r="6" spans="1:14" ht="28.8" x14ac:dyDescent="0.3">
      <c r="A6" s="1" t="s">
        <v>79</v>
      </c>
      <c r="B6" s="2">
        <v>245</v>
      </c>
      <c r="C6" s="2">
        <v>28.7</v>
      </c>
      <c r="D6" s="2">
        <v>2.2000000000000002</v>
      </c>
      <c r="E6" s="16">
        <f>C6-$E$4</f>
        <v>-2.2818791946264128E-3</v>
      </c>
      <c r="F6" s="3"/>
      <c r="G6" s="13" t="s">
        <v>261</v>
      </c>
      <c r="H6" s="13">
        <f>SQRT(H4/B10)</f>
        <v>1.7584641410359276</v>
      </c>
      <c r="L6" t="s">
        <v>415</v>
      </c>
      <c r="M6" t="s">
        <v>418</v>
      </c>
    </row>
    <row r="7" spans="1:14" ht="28.8" x14ac:dyDescent="0.3">
      <c r="A7" s="1" t="s">
        <v>80</v>
      </c>
      <c r="B7" s="2">
        <v>185</v>
      </c>
      <c r="C7" s="2">
        <v>31.5</v>
      </c>
      <c r="D7" s="2">
        <v>1.8</v>
      </c>
      <c r="E7" s="16">
        <f t="shared" ref="E7:E9" si="0">C7-$E$4</f>
        <v>2.7977181208053743</v>
      </c>
      <c r="F7" s="3"/>
      <c r="G7" s="13" t="s">
        <v>317</v>
      </c>
      <c r="H7" s="13">
        <f>H5^2+H6^2</f>
        <v>6.1131223098058669</v>
      </c>
      <c r="L7" t="s">
        <v>316</v>
      </c>
      <c r="M7" t="s">
        <v>416</v>
      </c>
    </row>
    <row r="8" spans="1:14" ht="28.8" x14ac:dyDescent="0.3">
      <c r="A8" s="1" t="s">
        <v>81</v>
      </c>
      <c r="B8" s="2">
        <v>169</v>
      </c>
      <c r="C8" s="2">
        <v>27.2</v>
      </c>
      <c r="D8" s="2">
        <v>0.9</v>
      </c>
      <c r="E8" s="16">
        <f t="shared" si="0"/>
        <v>-1.5022818791946264</v>
      </c>
      <c r="F8" s="3"/>
      <c r="L8" t="s">
        <v>304</v>
      </c>
      <c r="M8" t="s">
        <v>419</v>
      </c>
    </row>
    <row r="9" spans="1:14" ht="28.8" x14ac:dyDescent="0.3">
      <c r="A9" s="1" t="s">
        <v>82</v>
      </c>
      <c r="B9" s="2">
        <v>146</v>
      </c>
      <c r="C9" s="2">
        <v>26.9</v>
      </c>
      <c r="D9" s="2">
        <v>1.5</v>
      </c>
      <c r="E9" s="16">
        <f t="shared" si="0"/>
        <v>-1.8022818791946271</v>
      </c>
      <c r="F9" s="3"/>
      <c r="L9" t="s">
        <v>318</v>
      </c>
      <c r="M9" t="s">
        <v>421</v>
      </c>
    </row>
    <row r="10" spans="1:14" x14ac:dyDescent="0.3">
      <c r="A10" s="1" t="s">
        <v>41</v>
      </c>
      <c r="B10" s="2">
        <v>745</v>
      </c>
      <c r="C10" s="1"/>
      <c r="D10" s="1"/>
    </row>
    <row r="12" spans="1:14" x14ac:dyDescent="0.3">
      <c r="A12" t="s">
        <v>83</v>
      </c>
      <c r="B12" s="3" t="b">
        <v>0</v>
      </c>
      <c r="D12" s="13">
        <f>B6*D6^2+B7*D7^2+B8*D8^2+B9*D9^2</f>
        <v>2250.59</v>
      </c>
      <c r="E12" cm="1">
        <f t="array" ref="E12">SUMPRODUCT(B6:B9,D6:D9^2)</f>
        <v>2250.59</v>
      </c>
    </row>
    <row r="14" spans="1:14" x14ac:dyDescent="0.3">
      <c r="A14" t="s">
        <v>84</v>
      </c>
      <c r="H14" s="3" t="b">
        <v>1</v>
      </c>
      <c r="I14" s="13" t="s">
        <v>316</v>
      </c>
      <c r="J14" s="13"/>
      <c r="K14" s="13">
        <f>SQRT(H7)</f>
        <v>2.4724729138669783</v>
      </c>
      <c r="L14" s="13">
        <f>K14*1000</f>
        <v>2472.4729138669782</v>
      </c>
    </row>
    <row r="15" spans="1:14" x14ac:dyDescent="0.3">
      <c r="A15" t="s">
        <v>412</v>
      </c>
      <c r="H15" s="3" t="b">
        <v>1</v>
      </c>
      <c r="I15" s="13" t="s">
        <v>261</v>
      </c>
      <c r="J15" s="13"/>
      <c r="K15" s="33">
        <f>H6*1000</f>
        <v>1758.4641410359277</v>
      </c>
    </row>
    <row r="16" spans="1:14" x14ac:dyDescent="0.3">
      <c r="A16" t="s">
        <v>85</v>
      </c>
      <c r="D16" s="3" t="b">
        <v>0</v>
      </c>
      <c r="E16" s="13">
        <f>H5^2</f>
        <v>3.0209261744966445</v>
      </c>
    </row>
    <row r="18" spans="1:13" ht="16.8" x14ac:dyDescent="0.35">
      <c r="A18" t="s">
        <v>87</v>
      </c>
      <c r="D18" s="3" t="b">
        <v>1</v>
      </c>
      <c r="E18" s="13">
        <f>H6^2</f>
        <v>3.0921961353092229</v>
      </c>
    </row>
    <row r="20" spans="1:13" x14ac:dyDescent="0.3">
      <c r="A20" t="s">
        <v>86</v>
      </c>
      <c r="J20" s="3" t="b">
        <v>0</v>
      </c>
      <c r="L20" s="13" t="s">
        <v>420</v>
      </c>
      <c r="M20" s="24">
        <f>1-M21</f>
        <v>0.4941707398281352</v>
      </c>
    </row>
    <row r="21" spans="1:13" x14ac:dyDescent="0.3">
      <c r="A21" t="s">
        <v>413</v>
      </c>
      <c r="J21" s="3" t="b">
        <v>1</v>
      </c>
      <c r="L21" s="13" t="s">
        <v>318</v>
      </c>
      <c r="M21" s="24">
        <f>H6^2/H7</f>
        <v>0.5058292601718648</v>
      </c>
    </row>
    <row r="22" spans="1:13" x14ac:dyDescent="0.3">
      <c r="A22" t="s">
        <v>411</v>
      </c>
      <c r="C22" s="3" t="b">
        <v>0</v>
      </c>
      <c r="D22" s="13">
        <f>H4</f>
        <v>2303.6861208053706</v>
      </c>
    </row>
  </sheetData>
  <mergeCells count="1">
    <mergeCell ref="A3:A5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B0C9-C7B1-45C5-8624-4AA985C21790}">
  <sheetPr>
    <tabColor rgb="FFFFFF00"/>
  </sheetPr>
  <dimension ref="A1:V29"/>
  <sheetViews>
    <sheetView workbookViewId="0">
      <selection activeCell="N14" sqref="N14"/>
    </sheetView>
  </sheetViews>
  <sheetFormatPr defaultRowHeight="14.4" x14ac:dyDescent="0.3"/>
  <cols>
    <col min="17" max="17" width="13.6640625" customWidth="1"/>
  </cols>
  <sheetData>
    <row r="1" spans="1:22" x14ac:dyDescent="0.3">
      <c r="A1" t="s">
        <v>145</v>
      </c>
    </row>
    <row r="2" spans="1:22" x14ac:dyDescent="0.3">
      <c r="A2" t="s">
        <v>147</v>
      </c>
    </row>
    <row r="3" spans="1:22" x14ac:dyDescent="0.3">
      <c r="A3" s="7" t="s">
        <v>146</v>
      </c>
    </row>
    <row r="4" spans="1:22" x14ac:dyDescent="0.3">
      <c r="P4" s="13" t="s">
        <v>269</v>
      </c>
      <c r="Q4" s="13" t="s">
        <v>319</v>
      </c>
      <c r="R4" s="13" t="s">
        <v>112</v>
      </c>
      <c r="S4" t="s">
        <v>320</v>
      </c>
      <c r="T4" t="s">
        <v>148</v>
      </c>
      <c r="V4" t="s">
        <v>298</v>
      </c>
    </row>
    <row r="5" spans="1:22" x14ac:dyDescent="0.3">
      <c r="A5" t="s">
        <v>88</v>
      </c>
      <c r="P5" s="13" t="s">
        <v>149</v>
      </c>
      <c r="Q5" s="14">
        <v>0.05</v>
      </c>
      <c r="R5" s="13"/>
    </row>
    <row r="6" spans="1:22" x14ac:dyDescent="0.3">
      <c r="A6" t="s">
        <v>89</v>
      </c>
      <c r="M6" t="b">
        <v>0</v>
      </c>
      <c r="P6" s="13" t="s">
        <v>143</v>
      </c>
      <c r="Q6" s="13">
        <v>42</v>
      </c>
      <c r="R6" s="13"/>
    </row>
    <row r="7" spans="1:22" x14ac:dyDescent="0.3">
      <c r="A7" t="s">
        <v>90</v>
      </c>
      <c r="P7" s="13" t="s">
        <v>144</v>
      </c>
      <c r="Q7" s="13">
        <v>8</v>
      </c>
      <c r="R7" s="13"/>
    </row>
    <row r="8" spans="1:22" x14ac:dyDescent="0.3">
      <c r="A8" t="s">
        <v>91</v>
      </c>
      <c r="P8" s="13" t="s">
        <v>150</v>
      </c>
      <c r="Q8" s="13">
        <f>Q7/SQRT(Q9)</f>
        <v>1.4605934866804429</v>
      </c>
      <c r="R8" s="13"/>
    </row>
    <row r="9" spans="1:22" x14ac:dyDescent="0.3">
      <c r="P9" s="13" t="s">
        <v>151</v>
      </c>
      <c r="Q9" s="13">
        <v>30</v>
      </c>
      <c r="R9" s="13"/>
    </row>
    <row r="10" spans="1:22" x14ac:dyDescent="0.3">
      <c r="A10" s="3" t="s">
        <v>92</v>
      </c>
      <c r="B10" s="3"/>
      <c r="C10" s="3"/>
      <c r="D10" s="3"/>
      <c r="E10" s="3"/>
      <c r="P10" s="13" t="s">
        <v>236</v>
      </c>
      <c r="Q10" s="13">
        <f>Q7/SQRT(Q9)</f>
        <v>1.4605934866804429</v>
      </c>
      <c r="R10" s="13"/>
    </row>
    <row r="11" spans="1:22" x14ac:dyDescent="0.3">
      <c r="A11" s="3" t="s">
        <v>93</v>
      </c>
      <c r="B11" s="3"/>
      <c r="C11" s="3"/>
      <c r="D11" s="3"/>
      <c r="E11" s="3"/>
      <c r="M11" t="b">
        <v>1</v>
      </c>
      <c r="P11" s="13" t="s">
        <v>281</v>
      </c>
      <c r="Q11" s="16">
        <f>(46-Q6)/Q8</f>
        <v>2.7386127875258306</v>
      </c>
      <c r="R11" s="13"/>
    </row>
    <row r="12" spans="1:22" x14ac:dyDescent="0.3">
      <c r="A12" s="3" t="s">
        <v>94</v>
      </c>
      <c r="B12" s="3"/>
      <c r="C12" s="3"/>
      <c r="D12" s="3"/>
      <c r="E12" s="3"/>
      <c r="P12" s="13" t="s">
        <v>294</v>
      </c>
      <c r="Q12" s="16">
        <f>_xlfn.T.INV(1-Q5,Q9-1)</f>
        <v>1.6991270265334968</v>
      </c>
      <c r="R12" s="13"/>
    </row>
    <row r="13" spans="1:22" x14ac:dyDescent="0.3">
      <c r="A13" s="3" t="s">
        <v>95</v>
      </c>
      <c r="B13" s="3"/>
      <c r="C13" s="3"/>
      <c r="D13" s="3"/>
      <c r="E13" s="3"/>
    </row>
    <row r="15" spans="1:22" x14ac:dyDescent="0.3">
      <c r="A15" t="s">
        <v>88</v>
      </c>
    </row>
    <row r="16" spans="1:22" x14ac:dyDescent="0.3">
      <c r="A16" t="s">
        <v>89</v>
      </c>
    </row>
    <row r="17" spans="1:13" x14ac:dyDescent="0.3">
      <c r="A17" t="s">
        <v>96</v>
      </c>
      <c r="M17" t="b">
        <v>0</v>
      </c>
    </row>
    <row r="18" spans="1:13" x14ac:dyDescent="0.3">
      <c r="A18" t="s">
        <v>95</v>
      </c>
    </row>
    <row r="20" spans="1:13" x14ac:dyDescent="0.3">
      <c r="A20" t="s">
        <v>97</v>
      </c>
    </row>
    <row r="21" spans="1:13" x14ac:dyDescent="0.3">
      <c r="A21" t="s">
        <v>93</v>
      </c>
    </row>
    <row r="22" spans="1:13" x14ac:dyDescent="0.3">
      <c r="A22" t="s">
        <v>98</v>
      </c>
      <c r="M22" t="b">
        <v>0</v>
      </c>
    </row>
    <row r="23" spans="1:13" x14ac:dyDescent="0.3">
      <c r="A23" t="s">
        <v>99</v>
      </c>
    </row>
    <row r="24" spans="1:13" x14ac:dyDescent="0.3">
      <c r="A24" t="s">
        <v>95</v>
      </c>
    </row>
    <row r="26" spans="1:13" x14ac:dyDescent="0.3">
      <c r="A26" t="s">
        <v>100</v>
      </c>
    </row>
    <row r="27" spans="1:13" x14ac:dyDescent="0.3">
      <c r="A27" t="s">
        <v>89</v>
      </c>
      <c r="M27" t="b">
        <v>0</v>
      </c>
    </row>
    <row r="28" spans="1:13" x14ac:dyDescent="0.3">
      <c r="A28" t="s">
        <v>90</v>
      </c>
    </row>
    <row r="29" spans="1:13" x14ac:dyDescent="0.3">
      <c r="A2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1A98-7F1D-4DBD-8E6D-2F85DC8E5672}">
  <sheetPr codeName="Munka2">
    <tabColor rgb="FFFFFF00"/>
  </sheetPr>
  <dimension ref="A1:T13"/>
  <sheetViews>
    <sheetView workbookViewId="0">
      <selection activeCell="G7" sqref="G7"/>
    </sheetView>
  </sheetViews>
  <sheetFormatPr defaultRowHeight="14.4" x14ac:dyDescent="0.3"/>
  <cols>
    <col min="2" max="2" width="11" customWidth="1"/>
    <col min="3" max="3" width="13.77734375" customWidth="1"/>
    <col min="4" max="4" width="13.5546875" customWidth="1"/>
    <col min="6" max="6" width="21.109375" customWidth="1"/>
    <col min="7" max="7" width="10.6640625" customWidth="1"/>
    <col min="15" max="15" width="11" customWidth="1"/>
  </cols>
  <sheetData>
    <row r="1" spans="1:20" x14ac:dyDescent="0.3">
      <c r="A1" t="s">
        <v>101</v>
      </c>
    </row>
    <row r="2" spans="1:20" x14ac:dyDescent="0.3">
      <c r="A2" s="1" t="s">
        <v>102</v>
      </c>
      <c r="B2" s="2" t="s">
        <v>104</v>
      </c>
      <c r="C2" s="2" t="s">
        <v>106</v>
      </c>
      <c r="D2" s="2" t="s">
        <v>106</v>
      </c>
      <c r="E2" s="13"/>
      <c r="F2" s="13" t="s">
        <v>269</v>
      </c>
      <c r="G2" s="13" t="s">
        <v>113</v>
      </c>
      <c r="H2" s="13" t="s">
        <v>112</v>
      </c>
      <c r="I2" s="13" t="s">
        <v>384</v>
      </c>
      <c r="J2" s="13"/>
      <c r="K2" s="13"/>
      <c r="L2" s="13" t="s">
        <v>117</v>
      </c>
      <c r="M2" s="13" cm="1">
        <f t="array" ref="M2">SUMPRODUCT(B4:B6-1,D4:D6^2)</f>
        <v>754.44</v>
      </c>
      <c r="N2" s="13"/>
      <c r="O2" s="13"/>
      <c r="P2" s="13"/>
    </row>
    <row r="3" spans="1:20" ht="28.8" x14ac:dyDescent="0.3">
      <c r="A3" s="1" t="s">
        <v>103</v>
      </c>
      <c r="B3" s="2" t="s">
        <v>105</v>
      </c>
      <c r="C3" s="2" t="s">
        <v>107</v>
      </c>
      <c r="D3" s="2" t="s">
        <v>108</v>
      </c>
      <c r="E3" s="13"/>
      <c r="F3" s="13" t="s">
        <v>388</v>
      </c>
      <c r="G3" s="13">
        <f>3-1</f>
        <v>2</v>
      </c>
      <c r="H3" s="13"/>
      <c r="I3" s="13"/>
      <c r="J3" s="13"/>
      <c r="K3" s="13"/>
      <c r="L3" s="13" t="s">
        <v>390</v>
      </c>
      <c r="M3" s="13" cm="1">
        <f t="array" ref="M3">SUMPRODUCT(B4:B6,(C4:C6-M4)^2)</f>
        <v>55.41942857142849</v>
      </c>
      <c r="N3" s="13"/>
      <c r="O3" s="13"/>
      <c r="P3" s="13"/>
    </row>
    <row r="4" spans="1:20" x14ac:dyDescent="0.3">
      <c r="A4" s="1" t="s">
        <v>109</v>
      </c>
      <c r="B4" s="2">
        <v>14</v>
      </c>
      <c r="C4" s="2">
        <v>33.4</v>
      </c>
      <c r="D4" s="2">
        <v>3.6</v>
      </c>
      <c r="E4" s="13"/>
      <c r="F4" s="13" t="s">
        <v>389</v>
      </c>
      <c r="G4" s="13">
        <f>B7-3</f>
        <v>67</v>
      </c>
      <c r="H4" s="13"/>
      <c r="I4" s="13"/>
      <c r="J4" s="13"/>
      <c r="K4" s="13"/>
      <c r="L4" s="13" t="s">
        <v>143</v>
      </c>
      <c r="M4" s="13">
        <f>SUMPRODUCT(B4:B6,C4:C6)/B7</f>
        <v>31.702857142857141</v>
      </c>
      <c r="N4" s="13"/>
      <c r="O4" s="13"/>
      <c r="P4" s="13"/>
    </row>
    <row r="5" spans="1:20" x14ac:dyDescent="0.3">
      <c r="A5" s="1" t="s">
        <v>110</v>
      </c>
      <c r="B5" s="2">
        <v>30</v>
      </c>
      <c r="C5" s="2">
        <v>31</v>
      </c>
      <c r="D5" s="2">
        <v>3.2</v>
      </c>
      <c r="E5" s="13"/>
      <c r="F5" s="13" t="s">
        <v>391</v>
      </c>
      <c r="G5" s="13">
        <f>(M3/G3)/(M2/G4)</f>
        <v>2.4608330114294765</v>
      </c>
      <c r="H5" s="13"/>
      <c r="I5" s="13"/>
      <c r="J5" s="13"/>
      <c r="K5" s="13"/>
      <c r="L5" s="13"/>
      <c r="M5" s="13"/>
      <c r="N5" s="13"/>
      <c r="O5" s="13"/>
      <c r="P5" s="13"/>
    </row>
    <row r="6" spans="1:20" x14ac:dyDescent="0.3">
      <c r="A6" s="1" t="s">
        <v>111</v>
      </c>
      <c r="B6" s="2">
        <v>26</v>
      </c>
      <c r="C6" s="2">
        <v>31.6</v>
      </c>
      <c r="D6" s="2">
        <v>3.4</v>
      </c>
      <c r="E6" s="13"/>
      <c r="F6" s="13" t="s">
        <v>149</v>
      </c>
      <c r="G6" s="14">
        <v>0.05</v>
      </c>
      <c r="H6" s="13"/>
      <c r="I6" s="13"/>
      <c r="J6" s="13"/>
      <c r="K6" s="13"/>
      <c r="L6" s="13"/>
      <c r="M6" s="13"/>
      <c r="N6" s="13"/>
      <c r="O6" s="13"/>
      <c r="P6" s="13"/>
    </row>
    <row r="7" spans="1:20" x14ac:dyDescent="0.3">
      <c r="A7" s="1" t="s">
        <v>41</v>
      </c>
      <c r="B7" s="2">
        <v>70</v>
      </c>
      <c r="C7" s="1"/>
      <c r="D7" s="1"/>
      <c r="E7" s="13"/>
      <c r="F7" s="13" t="s">
        <v>294</v>
      </c>
      <c r="G7" s="13">
        <f>_xlfn.F.INV(1-G6,G3,G4)</f>
        <v>3.1337623149713294</v>
      </c>
      <c r="H7" s="13"/>
      <c r="I7" s="13"/>
      <c r="J7" s="13"/>
      <c r="K7" s="13"/>
      <c r="L7" s="13"/>
      <c r="M7" s="13"/>
      <c r="N7" s="13"/>
      <c r="O7" s="13"/>
      <c r="P7" s="13"/>
    </row>
    <row r="8" spans="1:20" x14ac:dyDescent="0.3">
      <c r="B8" s="13" t="s">
        <v>385</v>
      </c>
      <c r="C8" s="13" t="s">
        <v>386</v>
      </c>
      <c r="D8" s="13" t="s">
        <v>387</v>
      </c>
    </row>
    <row r="9" spans="1:20" x14ac:dyDescent="0.3">
      <c r="A9" t="s">
        <v>152</v>
      </c>
    </row>
    <row r="10" spans="1:20" ht="15.6" x14ac:dyDescent="0.35">
      <c r="A10" s="1" t="s">
        <v>112</v>
      </c>
      <c r="B10" t="s">
        <v>113</v>
      </c>
      <c r="G10" t="s">
        <v>117</v>
      </c>
      <c r="H10" s="6">
        <v>754.44</v>
      </c>
      <c r="J10" t="s">
        <v>118</v>
      </c>
      <c r="L10" s="3">
        <v>2.46</v>
      </c>
      <c r="N10" t="s">
        <v>119</v>
      </c>
      <c r="P10" s="3">
        <v>3.13</v>
      </c>
      <c r="R10" t="s">
        <v>120</v>
      </c>
      <c r="T10" t="s">
        <v>121</v>
      </c>
    </row>
    <row r="11" spans="1:20" x14ac:dyDescent="0.3">
      <c r="B11" t="s">
        <v>114</v>
      </c>
      <c r="T11" s="3" t="s">
        <v>122</v>
      </c>
    </row>
    <row r="12" spans="1:20" x14ac:dyDescent="0.3">
      <c r="B12" t="s">
        <v>115</v>
      </c>
      <c r="T12" t="s">
        <v>123</v>
      </c>
    </row>
    <row r="13" spans="1:20" x14ac:dyDescent="0.3">
      <c r="B13" s="3" t="s">
        <v>116</v>
      </c>
      <c r="T1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FAFE-4307-41A7-9F2F-48AA3783571B}">
  <sheetPr>
    <tabColor rgb="FFFFFF00"/>
  </sheetPr>
  <dimension ref="A1:M13"/>
  <sheetViews>
    <sheetView workbookViewId="0">
      <selection activeCell="G7" sqref="G7"/>
    </sheetView>
  </sheetViews>
  <sheetFormatPr defaultRowHeight="14.4" x14ac:dyDescent="0.3"/>
  <cols>
    <col min="5" max="5" width="17.33203125" customWidth="1"/>
    <col min="7" max="7" width="7.44140625" customWidth="1"/>
    <col min="8" max="8" width="12" customWidth="1"/>
    <col min="9" max="9" width="18.5546875" customWidth="1"/>
  </cols>
  <sheetData>
    <row r="1" spans="1:13" x14ac:dyDescent="0.3">
      <c r="A1" t="s">
        <v>125</v>
      </c>
    </row>
    <row r="2" spans="1:13" ht="43.2" x14ac:dyDescent="0.3">
      <c r="A2" s="2" t="s">
        <v>126</v>
      </c>
      <c r="B2" s="1" t="s">
        <v>127</v>
      </c>
      <c r="C2" s="2" t="s">
        <v>128</v>
      </c>
      <c r="D2" s="13" t="s">
        <v>299</v>
      </c>
      <c r="E2" s="13" t="s">
        <v>393</v>
      </c>
      <c r="F2" s="13">
        <f>SUM(C3:C5)</f>
        <v>80</v>
      </c>
      <c r="G2" s="13"/>
      <c r="H2" s="13"/>
      <c r="I2" s="13"/>
      <c r="J2" s="13"/>
      <c r="K2" s="13" t="s">
        <v>395</v>
      </c>
      <c r="L2" s="13"/>
    </row>
    <row r="3" spans="1:13" x14ac:dyDescent="0.3">
      <c r="A3" s="2" t="s">
        <v>129</v>
      </c>
      <c r="B3" s="1">
        <v>14.9</v>
      </c>
      <c r="C3" s="2">
        <v>10</v>
      </c>
      <c r="D3" s="13">
        <v>10</v>
      </c>
      <c r="E3" s="13" t="s">
        <v>394</v>
      </c>
      <c r="F3" s="36">
        <f>F2/C8</f>
        <v>0.66666666666666663</v>
      </c>
      <c r="G3" s="13"/>
      <c r="H3" s="13" t="s">
        <v>236</v>
      </c>
      <c r="I3" s="13" t="s">
        <v>396</v>
      </c>
      <c r="J3" s="13">
        <f>SQRT((F3*(1-F3))/C8)*SQRT(1-0.06)</f>
        <v>4.1722185234485745E-2</v>
      </c>
      <c r="K3" s="13"/>
      <c r="L3" s="13"/>
    </row>
    <row r="4" spans="1:13" x14ac:dyDescent="0.3">
      <c r="A4" s="2" t="s">
        <v>130</v>
      </c>
      <c r="B4" s="1">
        <v>24.9</v>
      </c>
      <c r="C4" s="2">
        <v>38</v>
      </c>
      <c r="D4" s="13">
        <f>D3+10</f>
        <v>20</v>
      </c>
      <c r="E4" s="13" t="s">
        <v>230</v>
      </c>
      <c r="F4" s="14">
        <v>0.95</v>
      </c>
      <c r="G4" s="13"/>
      <c r="H4" s="13" t="s">
        <v>238</v>
      </c>
      <c r="I4" s="13">
        <f>_xlfn.NORM.S.INV(1-F5/2)</f>
        <v>1.9599639845400536</v>
      </c>
      <c r="J4" s="13"/>
      <c r="K4" s="13"/>
      <c r="L4" s="13"/>
    </row>
    <row r="5" spans="1:13" x14ac:dyDescent="0.3">
      <c r="A5" s="2" t="s">
        <v>131</v>
      </c>
      <c r="B5" s="1">
        <v>34.9</v>
      </c>
      <c r="C5" s="2">
        <v>32</v>
      </c>
      <c r="D5" s="13">
        <f t="shared" ref="D5:D7" si="0">D4+10</f>
        <v>30</v>
      </c>
      <c r="E5" s="13" t="s">
        <v>149</v>
      </c>
      <c r="F5" s="14">
        <f>1-F4</f>
        <v>5.0000000000000044E-2</v>
      </c>
      <c r="G5" s="13"/>
      <c r="H5" s="13" t="s">
        <v>144</v>
      </c>
      <c r="I5" s="13">
        <f>SQRT(F3*(1-F3))</f>
        <v>0.47140452079103168</v>
      </c>
      <c r="J5" s="13"/>
      <c r="K5" s="13"/>
      <c r="L5" s="13"/>
    </row>
    <row r="6" spans="1:13" x14ac:dyDescent="0.3">
      <c r="A6" s="2" t="s">
        <v>132</v>
      </c>
      <c r="B6" s="4">
        <v>44.9</v>
      </c>
      <c r="C6" s="2">
        <v>28</v>
      </c>
      <c r="D6" s="13">
        <f t="shared" si="0"/>
        <v>40</v>
      </c>
      <c r="E6" s="13" t="s">
        <v>364</v>
      </c>
      <c r="F6" s="37">
        <f>F3-I6</f>
        <v>0.58489268625076574</v>
      </c>
      <c r="G6" s="38">
        <f>E8*F6</f>
        <v>1169.7853725015316</v>
      </c>
      <c r="H6" s="13" t="s">
        <v>240</v>
      </c>
      <c r="I6" s="13">
        <f>J3*I4</f>
        <v>8.1773980415900865E-2</v>
      </c>
      <c r="J6" s="13"/>
      <c r="K6" s="13"/>
      <c r="L6" s="13"/>
    </row>
    <row r="7" spans="1:13" x14ac:dyDescent="0.3">
      <c r="A7" s="2" t="s">
        <v>133</v>
      </c>
      <c r="B7" s="1"/>
      <c r="C7" s="2">
        <v>12</v>
      </c>
      <c r="D7" s="13">
        <f t="shared" si="0"/>
        <v>50</v>
      </c>
      <c r="E7" s="13" t="s">
        <v>294</v>
      </c>
      <c r="F7" s="37">
        <f>F3+I6</f>
        <v>0.74844064708256752</v>
      </c>
      <c r="G7" s="38">
        <f>E8*F7</f>
        <v>1496.8812941651349</v>
      </c>
      <c r="H7" s="13"/>
      <c r="I7" s="13"/>
      <c r="J7" s="13"/>
      <c r="K7" s="13"/>
      <c r="L7" s="13"/>
    </row>
    <row r="8" spans="1:13" x14ac:dyDescent="0.3">
      <c r="A8" s="1" t="s">
        <v>41</v>
      </c>
      <c r="B8" s="1"/>
      <c r="C8" s="2">
        <v>120</v>
      </c>
      <c r="D8" s="13"/>
      <c r="E8" s="13">
        <f>C8/0.06</f>
        <v>2000</v>
      </c>
      <c r="F8" s="13" t="s">
        <v>397</v>
      </c>
      <c r="G8" s="13"/>
      <c r="H8" s="13"/>
      <c r="I8" s="13"/>
      <c r="J8" s="13"/>
      <c r="K8" s="13"/>
      <c r="L8" s="13"/>
    </row>
    <row r="10" spans="1:13" ht="16.2" x14ac:dyDescent="0.3">
      <c r="A10" t="s">
        <v>392</v>
      </c>
    </row>
    <row r="11" spans="1:13" ht="16.2" x14ac:dyDescent="0.3">
      <c r="A11" t="s">
        <v>134</v>
      </c>
      <c r="F11" s="3">
        <v>66.67</v>
      </c>
      <c r="G11" t="s">
        <v>135</v>
      </c>
    </row>
    <row r="12" spans="1:13" ht="16.2" x14ac:dyDescent="0.3">
      <c r="A12" t="s">
        <v>136</v>
      </c>
      <c r="I12" s="3">
        <v>58.49</v>
      </c>
      <c r="J12" t="s">
        <v>137</v>
      </c>
      <c r="K12" s="3">
        <v>74.8</v>
      </c>
      <c r="L12" t="s">
        <v>138</v>
      </c>
    </row>
    <row r="13" spans="1:13" ht="16.2" x14ac:dyDescent="0.3">
      <c r="A13" t="s">
        <v>139</v>
      </c>
      <c r="I13" s="3">
        <v>1170</v>
      </c>
      <c r="J13" t="s">
        <v>140</v>
      </c>
      <c r="L13" s="3">
        <v>1497</v>
      </c>
      <c r="M13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DEBA-B193-4F40-BF1E-6A44B0A82F94}">
  <dimension ref="A1:D22"/>
  <sheetViews>
    <sheetView workbookViewId="0">
      <selection activeCell="E6" sqref="E6:E9"/>
    </sheetView>
  </sheetViews>
  <sheetFormatPr defaultRowHeight="14.4" x14ac:dyDescent="0.3"/>
  <cols>
    <col min="1" max="1" width="29" customWidth="1"/>
  </cols>
  <sheetData>
    <row r="1" spans="1:4" x14ac:dyDescent="0.3">
      <c r="A1" t="s">
        <v>154</v>
      </c>
    </row>
    <row r="3" spans="1:4" ht="28.8" x14ac:dyDescent="0.3">
      <c r="A3" s="39" t="s">
        <v>74</v>
      </c>
      <c r="B3" s="2" t="s">
        <v>75</v>
      </c>
      <c r="C3" s="2" t="s">
        <v>156</v>
      </c>
      <c r="D3" s="2" t="s">
        <v>156</v>
      </c>
    </row>
    <row r="4" spans="1:4" x14ac:dyDescent="0.3">
      <c r="A4" s="39"/>
      <c r="B4" s="1"/>
      <c r="C4" s="1"/>
      <c r="D4" s="1"/>
    </row>
    <row r="5" spans="1:4" ht="28.8" x14ac:dyDescent="0.3">
      <c r="A5" s="39"/>
      <c r="B5" s="2" t="s">
        <v>155</v>
      </c>
      <c r="C5" s="2" t="s">
        <v>157</v>
      </c>
      <c r="D5" s="2" t="s">
        <v>158</v>
      </c>
    </row>
    <row r="6" spans="1:4" x14ac:dyDescent="0.3">
      <c r="A6" s="1" t="s">
        <v>81</v>
      </c>
      <c r="B6" s="2">
        <v>39</v>
      </c>
      <c r="C6" s="2">
        <v>34.409999999999997</v>
      </c>
      <c r="D6" s="2">
        <v>21.27</v>
      </c>
    </row>
    <row r="7" spans="1:4" x14ac:dyDescent="0.3">
      <c r="A7" s="1" t="s">
        <v>159</v>
      </c>
      <c r="B7" s="2">
        <v>31</v>
      </c>
      <c r="C7" s="2">
        <v>35.94</v>
      </c>
      <c r="D7" s="2">
        <v>18.670000000000002</v>
      </c>
    </row>
    <row r="8" spans="1:4" x14ac:dyDescent="0.3">
      <c r="A8" s="1" t="s">
        <v>160</v>
      </c>
      <c r="B8" s="2">
        <v>35</v>
      </c>
      <c r="C8" s="2">
        <v>36.909999999999997</v>
      </c>
      <c r="D8" s="2">
        <v>19.399999999999999</v>
      </c>
    </row>
    <row r="9" spans="1:4" x14ac:dyDescent="0.3">
      <c r="A9" s="1" t="s">
        <v>161</v>
      </c>
      <c r="B9" s="2">
        <v>105</v>
      </c>
    </row>
    <row r="11" spans="1:4" x14ac:dyDescent="0.3">
      <c r="A11" t="s">
        <v>162</v>
      </c>
    </row>
    <row r="12" spans="1:4" x14ac:dyDescent="0.3">
      <c r="A12" t="s">
        <v>67</v>
      </c>
    </row>
    <row r="13" spans="1:4" x14ac:dyDescent="0.3">
      <c r="D13" s="3"/>
    </row>
    <row r="14" spans="1:4" x14ac:dyDescent="0.3">
      <c r="A14" t="s">
        <v>163</v>
      </c>
      <c r="D14" s="3" t="b">
        <v>0</v>
      </c>
    </row>
    <row r="15" spans="1:4" x14ac:dyDescent="0.3">
      <c r="D15" s="3"/>
    </row>
    <row r="16" spans="1:4" ht="15.6" x14ac:dyDescent="0.35">
      <c r="A16" s="9" t="s">
        <v>164</v>
      </c>
      <c r="D16" s="3" t="b">
        <v>0</v>
      </c>
    </row>
    <row r="17" spans="1:4" x14ac:dyDescent="0.3">
      <c r="D17" s="3"/>
    </row>
    <row r="18" spans="1:4" ht="15.6" x14ac:dyDescent="0.35">
      <c r="A18" s="9" t="s">
        <v>165</v>
      </c>
      <c r="D18" s="3" t="b">
        <v>0</v>
      </c>
    </row>
    <row r="19" spans="1:4" x14ac:dyDescent="0.3">
      <c r="D19" s="3"/>
    </row>
    <row r="20" spans="1:4" x14ac:dyDescent="0.3">
      <c r="A20" t="s">
        <v>166</v>
      </c>
      <c r="D20" s="3" t="b">
        <v>1</v>
      </c>
    </row>
    <row r="21" spans="1:4" x14ac:dyDescent="0.3">
      <c r="D21" s="3"/>
    </row>
    <row r="22" spans="1:4" x14ac:dyDescent="0.3">
      <c r="A22" t="s">
        <v>167</v>
      </c>
      <c r="D22" s="3" t="b">
        <v>1</v>
      </c>
    </row>
  </sheetData>
  <mergeCells count="1"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C5F-6A0A-4786-BADA-39B2931A5205}">
  <sheetPr>
    <tabColor rgb="FFFFFF00"/>
  </sheetPr>
  <dimension ref="A1:J18"/>
  <sheetViews>
    <sheetView topLeftCell="A4" workbookViewId="0">
      <selection activeCell="J8" sqref="J8"/>
    </sheetView>
  </sheetViews>
  <sheetFormatPr defaultRowHeight="14.4" x14ac:dyDescent="0.3"/>
  <cols>
    <col min="5" max="5" width="14" customWidth="1"/>
    <col min="7" max="7" width="13.21875" customWidth="1"/>
  </cols>
  <sheetData>
    <row r="1" spans="1:10" x14ac:dyDescent="0.3">
      <c r="A1" t="s">
        <v>398</v>
      </c>
    </row>
    <row r="3" spans="1:10" ht="28.8" x14ac:dyDescent="0.3">
      <c r="A3" s="1"/>
      <c r="B3" s="2" t="s">
        <v>399</v>
      </c>
      <c r="C3" s="2" t="s">
        <v>400</v>
      </c>
      <c r="E3" t="s">
        <v>269</v>
      </c>
      <c r="F3" t="s">
        <v>279</v>
      </c>
      <c r="G3" t="s">
        <v>112</v>
      </c>
      <c r="H3" t="s">
        <v>410</v>
      </c>
    </row>
    <row r="4" spans="1:10" ht="43.2" x14ac:dyDescent="0.3">
      <c r="A4" s="1" t="s">
        <v>401</v>
      </c>
      <c r="B4" s="2">
        <v>16</v>
      </c>
      <c r="C4" s="2">
        <v>50</v>
      </c>
      <c r="E4" t="s">
        <v>422</v>
      </c>
      <c r="F4" s="8">
        <v>0.05</v>
      </c>
      <c r="G4" t="s">
        <v>364</v>
      </c>
      <c r="H4">
        <f>_xlfn.F.INV(F4/2,B4-1,C4-1)</f>
        <v>0.39188263842579169</v>
      </c>
    </row>
    <row r="5" spans="1:10" ht="43.2" x14ac:dyDescent="0.3">
      <c r="A5" s="1" t="s">
        <v>402</v>
      </c>
      <c r="B5" s="2">
        <v>21</v>
      </c>
      <c r="C5" s="2">
        <v>23</v>
      </c>
      <c r="F5" s="8"/>
      <c r="G5" t="s">
        <v>294</v>
      </c>
      <c r="H5">
        <f>_xlfn.F.INV(1-F4/2,B4-1,C4-1)</f>
        <v>2.1149010158032864</v>
      </c>
      <c r="J5" s="28"/>
    </row>
    <row r="6" spans="1:10" ht="43.2" x14ac:dyDescent="0.3">
      <c r="A6" s="1" t="s">
        <v>403</v>
      </c>
      <c r="B6" s="2">
        <v>8</v>
      </c>
      <c r="C6" s="2">
        <v>6</v>
      </c>
      <c r="E6" t="s">
        <v>281</v>
      </c>
      <c r="F6" s="28">
        <f>B6^2/C6^2</f>
        <v>1.7777777777777777</v>
      </c>
      <c r="G6" t="s">
        <v>288</v>
      </c>
    </row>
    <row r="8" spans="1:10" x14ac:dyDescent="0.3">
      <c r="A8" t="s">
        <v>404</v>
      </c>
    </row>
    <row r="10" spans="1:10" x14ac:dyDescent="0.3">
      <c r="A10" t="s">
        <v>405</v>
      </c>
      <c r="J10" s="3" t="b">
        <v>1</v>
      </c>
    </row>
    <row r="11" spans="1:10" x14ac:dyDescent="0.3">
      <c r="J11" s="3"/>
    </row>
    <row r="12" spans="1:10" x14ac:dyDescent="0.3">
      <c r="A12" t="s">
        <v>406</v>
      </c>
      <c r="J12" s="3" t="b">
        <v>0</v>
      </c>
    </row>
    <row r="13" spans="1:10" x14ac:dyDescent="0.3">
      <c r="J13" s="3"/>
    </row>
    <row r="14" spans="1:10" x14ac:dyDescent="0.3">
      <c r="A14" t="s">
        <v>407</v>
      </c>
      <c r="J14" s="3" t="b">
        <v>1</v>
      </c>
    </row>
    <row r="15" spans="1:10" x14ac:dyDescent="0.3">
      <c r="J15" s="3"/>
    </row>
    <row r="16" spans="1:10" x14ac:dyDescent="0.3">
      <c r="A16" t="s">
        <v>408</v>
      </c>
      <c r="J16" s="3" t="b">
        <v>1</v>
      </c>
    </row>
    <row r="17" spans="1:10" x14ac:dyDescent="0.3">
      <c r="J17" s="3"/>
    </row>
    <row r="18" spans="1:10" x14ac:dyDescent="0.3">
      <c r="A18" t="s">
        <v>409</v>
      </c>
      <c r="J18" s="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E2EA-F9DE-4CD3-A403-9075E6D60065}">
  <dimension ref="A1:K16"/>
  <sheetViews>
    <sheetView workbookViewId="0">
      <selection activeCell="A15" sqref="A15:D23"/>
    </sheetView>
  </sheetViews>
  <sheetFormatPr defaultRowHeight="14.4" x14ac:dyDescent="0.3"/>
  <cols>
    <col min="1" max="1" width="12" customWidth="1"/>
  </cols>
  <sheetData>
    <row r="1" spans="1:11" x14ac:dyDescent="0.3">
      <c r="A1" t="s">
        <v>224</v>
      </c>
    </row>
    <row r="3" spans="1:11" x14ac:dyDescent="0.3">
      <c r="A3" t="s">
        <v>168</v>
      </c>
      <c r="K3" s="3"/>
    </row>
    <row r="4" spans="1:11" x14ac:dyDescent="0.3">
      <c r="K4" s="3"/>
    </row>
    <row r="5" spans="1:11" x14ac:dyDescent="0.3">
      <c r="A5" t="s">
        <v>169</v>
      </c>
      <c r="K5" s="3" t="b">
        <v>0</v>
      </c>
    </row>
    <row r="6" spans="1:11" x14ac:dyDescent="0.3">
      <c r="K6" s="3"/>
    </row>
    <row r="7" spans="1:11" x14ac:dyDescent="0.3">
      <c r="A7" t="s">
        <v>170</v>
      </c>
      <c r="K7" s="3" t="b">
        <v>0</v>
      </c>
    </row>
    <row r="8" spans="1:11" x14ac:dyDescent="0.3">
      <c r="K8" s="3"/>
    </row>
    <row r="9" spans="1:11" x14ac:dyDescent="0.3">
      <c r="A9" t="s">
        <v>171</v>
      </c>
      <c r="K9" s="3" t="b">
        <v>0</v>
      </c>
    </row>
    <row r="10" spans="1:11" x14ac:dyDescent="0.3">
      <c r="K10" s="3"/>
    </row>
    <row r="11" spans="1:11" x14ac:dyDescent="0.3">
      <c r="A11" t="s">
        <v>172</v>
      </c>
      <c r="K11" s="3" t="b">
        <v>0</v>
      </c>
    </row>
    <row r="13" spans="1:11" x14ac:dyDescent="0.3">
      <c r="A13" t="s">
        <v>173</v>
      </c>
      <c r="K13" s="3" t="b">
        <v>1</v>
      </c>
    </row>
    <row r="15" spans="1:11" x14ac:dyDescent="0.3">
      <c r="B15" s="8"/>
    </row>
    <row r="16" spans="1:11" x14ac:dyDescent="0.3">
      <c r="B16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07D1-D21E-4ECF-8A7F-E49089A9F16D}">
  <dimension ref="A1:U16"/>
  <sheetViews>
    <sheetView workbookViewId="0">
      <selection activeCell="M21" sqref="M21"/>
    </sheetView>
  </sheetViews>
  <sheetFormatPr defaultRowHeight="14.4" x14ac:dyDescent="0.3"/>
  <cols>
    <col min="1" max="1" width="12.109375" customWidth="1"/>
    <col min="7" max="7" width="10.21875" customWidth="1"/>
  </cols>
  <sheetData>
    <row r="1" spans="1:21" x14ac:dyDescent="0.3">
      <c r="A1" t="s">
        <v>217</v>
      </c>
    </row>
    <row r="2" spans="1:21" ht="43.2" x14ac:dyDescent="0.3">
      <c r="A2" s="2" t="s">
        <v>174</v>
      </c>
      <c r="B2" s="2" t="s">
        <v>175</v>
      </c>
      <c r="C2" s="2" t="s">
        <v>176</v>
      </c>
      <c r="D2" s="29" t="s">
        <v>218</v>
      </c>
      <c r="E2" s="29" t="s">
        <v>221</v>
      </c>
      <c r="F2" s="29" t="s">
        <v>222</v>
      </c>
      <c r="G2" s="29" t="s">
        <v>219</v>
      </c>
      <c r="H2" s="29" t="s">
        <v>220</v>
      </c>
    </row>
    <row r="3" spans="1:21" x14ac:dyDescent="0.3">
      <c r="A3" s="2" t="s">
        <v>177</v>
      </c>
      <c r="B3" s="2">
        <v>5</v>
      </c>
      <c r="C3" s="2">
        <v>7</v>
      </c>
      <c r="D3" s="13">
        <v>25</v>
      </c>
      <c r="E3" s="13">
        <f>D3*B3</f>
        <v>125</v>
      </c>
      <c r="F3" s="13">
        <f>C3*D3</f>
        <v>175</v>
      </c>
      <c r="G3" s="13">
        <f>SQRT(((E3-E10)^2+(E4-E10)^2+(E5-E10)^2+(E6-E7)^2+(E8-E10)^2+(E9-E10)^2)/B10)</f>
        <v>419.66913079675794</v>
      </c>
      <c r="H3" s="13">
        <f>SQRT(((F3-F10)^2+(F4-F10)^2+(F5-F10)^2+(F6-F10)^2+(F7-F10)^2+(F8-F10)^2+(F9-F10)^2)/C10)</f>
        <v>697.04679182964469</v>
      </c>
    </row>
    <row r="4" spans="1:21" x14ac:dyDescent="0.3">
      <c r="A4" s="2" t="s">
        <v>178</v>
      </c>
      <c r="B4" s="2">
        <v>18</v>
      </c>
      <c r="C4" s="2">
        <v>15</v>
      </c>
      <c r="D4" s="13">
        <v>75</v>
      </c>
      <c r="E4" s="13">
        <f t="shared" ref="E4:E9" si="0">D4*B4</f>
        <v>1350</v>
      </c>
      <c r="F4" s="13">
        <f t="shared" ref="F4:F9" si="1">C4*D4</f>
        <v>1125</v>
      </c>
      <c r="G4" s="13"/>
      <c r="H4" s="13"/>
    </row>
    <row r="5" spans="1:21" x14ac:dyDescent="0.3">
      <c r="A5" s="2" t="s">
        <v>179</v>
      </c>
      <c r="B5" s="2">
        <v>21</v>
      </c>
      <c r="C5" s="2">
        <v>19</v>
      </c>
      <c r="D5" s="13">
        <f>D4+50</f>
        <v>125</v>
      </c>
      <c r="E5" s="13">
        <f t="shared" si="0"/>
        <v>2625</v>
      </c>
      <c r="F5" s="13">
        <f t="shared" si="1"/>
        <v>2375</v>
      </c>
      <c r="G5" s="13"/>
      <c r="H5" s="13"/>
    </row>
    <row r="6" spans="1:21" x14ac:dyDescent="0.3">
      <c r="A6" s="2" t="s">
        <v>180</v>
      </c>
      <c r="B6" s="2">
        <v>28</v>
      </c>
      <c r="C6" s="2">
        <v>26</v>
      </c>
      <c r="D6" s="13">
        <f t="shared" ref="D6:D9" si="2">D5+50</f>
        <v>175</v>
      </c>
      <c r="E6" s="13">
        <f t="shared" si="0"/>
        <v>4900</v>
      </c>
      <c r="F6" s="13">
        <f t="shared" si="1"/>
        <v>4550</v>
      </c>
      <c r="G6" s="13"/>
      <c r="H6" s="13"/>
    </row>
    <row r="7" spans="1:21" x14ac:dyDescent="0.3">
      <c r="A7" s="2" t="s">
        <v>181</v>
      </c>
      <c r="B7" s="2">
        <v>15</v>
      </c>
      <c r="C7" s="2">
        <v>18</v>
      </c>
      <c r="D7" s="13">
        <f t="shared" si="2"/>
        <v>225</v>
      </c>
      <c r="E7" s="13">
        <f t="shared" si="0"/>
        <v>3375</v>
      </c>
      <c r="F7" s="13">
        <f t="shared" si="1"/>
        <v>4050</v>
      </c>
      <c r="G7" s="13"/>
      <c r="H7" s="13"/>
    </row>
    <row r="8" spans="1:21" x14ac:dyDescent="0.3">
      <c r="A8" s="2" t="s">
        <v>182</v>
      </c>
      <c r="B8" s="2">
        <v>10</v>
      </c>
      <c r="C8" s="2">
        <v>9</v>
      </c>
      <c r="D8" s="13">
        <f t="shared" si="2"/>
        <v>275</v>
      </c>
      <c r="E8" s="13">
        <f t="shared" si="0"/>
        <v>2750</v>
      </c>
      <c r="F8" s="13">
        <f t="shared" si="1"/>
        <v>2475</v>
      </c>
      <c r="G8" s="13"/>
      <c r="H8" s="13"/>
    </row>
    <row r="9" spans="1:21" x14ac:dyDescent="0.3">
      <c r="A9" s="1" t="s">
        <v>183</v>
      </c>
      <c r="B9" s="2">
        <v>4</v>
      </c>
      <c r="C9" s="2">
        <v>6</v>
      </c>
      <c r="D9" s="13">
        <f t="shared" si="2"/>
        <v>325</v>
      </c>
      <c r="E9" s="13">
        <f t="shared" si="0"/>
        <v>1300</v>
      </c>
      <c r="F9" s="13">
        <f t="shared" si="1"/>
        <v>1950</v>
      </c>
      <c r="G9" s="13"/>
      <c r="H9" s="13"/>
    </row>
    <row r="10" spans="1:21" x14ac:dyDescent="0.3">
      <c r="A10" s="1" t="s">
        <v>223</v>
      </c>
      <c r="B10" s="2">
        <f>SUM(B3:B9)</f>
        <v>101</v>
      </c>
      <c r="C10" s="2">
        <f>SUM(C3:C9)</f>
        <v>100</v>
      </c>
      <c r="D10" s="13"/>
      <c r="E10" s="13">
        <f>SUM(E3:E9)/B10</f>
        <v>162.62376237623764</v>
      </c>
      <c r="F10" s="13">
        <f>SUM(F3:F9)/C10</f>
        <v>167</v>
      </c>
      <c r="G10" s="13"/>
      <c r="H10" s="13"/>
    </row>
    <row r="11" spans="1:21" x14ac:dyDescent="0.3">
      <c r="B11" s="3">
        <v>1</v>
      </c>
      <c r="C11" s="5">
        <v>2</v>
      </c>
    </row>
    <row r="12" spans="1:21" x14ac:dyDescent="0.3">
      <c r="A12" t="s">
        <v>184</v>
      </c>
    </row>
    <row r="14" spans="1:21" x14ac:dyDescent="0.3">
      <c r="A14" t="s">
        <v>185</v>
      </c>
      <c r="D14" s="11" t="s">
        <v>225</v>
      </c>
      <c r="F14" t="s">
        <v>186</v>
      </c>
      <c r="H14" s="3">
        <v>0.89149999999999996</v>
      </c>
      <c r="J14" t="s">
        <v>187</v>
      </c>
      <c r="N14" s="3">
        <v>0.66100000000000003</v>
      </c>
      <c r="O14" t="s">
        <v>188</v>
      </c>
      <c r="S14" s="3">
        <v>1.5136000000000001</v>
      </c>
      <c r="U14" t="s">
        <v>189</v>
      </c>
    </row>
    <row r="15" spans="1:21" x14ac:dyDescent="0.3">
      <c r="G15" s="10"/>
      <c r="K15" s="10"/>
      <c r="O15" s="10"/>
      <c r="U15" s="3" t="s">
        <v>190</v>
      </c>
    </row>
    <row r="16" spans="1:21" x14ac:dyDescent="0.3">
      <c r="U16" s="12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E07B-AA2C-46A3-A864-7E71BA5BA484}">
  <sheetPr codeName="Munka2"/>
  <dimension ref="A1:L24"/>
  <sheetViews>
    <sheetView workbookViewId="0">
      <selection activeCell="H19" sqref="H19"/>
    </sheetView>
  </sheetViews>
  <sheetFormatPr defaultRowHeight="14.4" x14ac:dyDescent="0.3"/>
  <cols>
    <col min="1" max="1" width="12.33203125" customWidth="1"/>
    <col min="2" max="2" width="12.88671875" customWidth="1"/>
    <col min="3" max="3" width="13.44140625" customWidth="1"/>
    <col min="4" max="4" width="11" customWidth="1"/>
    <col min="5" max="5" width="12.109375" customWidth="1"/>
    <col min="9" max="9" width="11.21875" bestFit="1" customWidth="1"/>
  </cols>
  <sheetData>
    <row r="1" spans="1:10" x14ac:dyDescent="0.3">
      <c r="A1" t="s">
        <v>192</v>
      </c>
    </row>
    <row r="2" spans="1:10" ht="28.8" x14ac:dyDescent="0.3">
      <c r="A2" s="1" t="s">
        <v>193</v>
      </c>
      <c r="B2" s="2" t="s">
        <v>195</v>
      </c>
      <c r="C2" s="2" t="s">
        <v>197</v>
      </c>
      <c r="D2" s="2" t="s">
        <v>195</v>
      </c>
      <c r="E2" s="2" t="s">
        <v>197</v>
      </c>
      <c r="F2" s="40" t="s">
        <v>41</v>
      </c>
      <c r="H2" s="3"/>
    </row>
    <row r="3" spans="1:10" ht="43.2" x14ac:dyDescent="0.3">
      <c r="A3" s="1" t="s">
        <v>194</v>
      </c>
      <c r="B3" s="2" t="s">
        <v>196</v>
      </c>
      <c r="C3" s="2" t="s">
        <v>198</v>
      </c>
      <c r="D3" s="2" t="s">
        <v>199</v>
      </c>
      <c r="E3" s="2" t="s">
        <v>200</v>
      </c>
      <c r="F3" s="40"/>
      <c r="G3" s="2"/>
    </row>
    <row r="4" spans="1:10" x14ac:dyDescent="0.3">
      <c r="A4" s="1" t="s">
        <v>201</v>
      </c>
      <c r="B4" s="2">
        <v>41</v>
      </c>
      <c r="C4" s="2">
        <v>23</v>
      </c>
      <c r="D4" s="2">
        <v>19</v>
      </c>
      <c r="E4" s="2">
        <v>8</v>
      </c>
      <c r="F4" s="2">
        <v>91</v>
      </c>
    </row>
    <row r="5" spans="1:10" x14ac:dyDescent="0.3">
      <c r="A5" s="1" t="s">
        <v>202</v>
      </c>
      <c r="B5" s="2">
        <v>32</v>
      </c>
      <c r="C5" s="2">
        <v>21</v>
      </c>
      <c r="D5" s="2">
        <v>16</v>
      </c>
      <c r="E5" s="2">
        <v>9</v>
      </c>
      <c r="F5" s="2">
        <v>78</v>
      </c>
    </row>
    <row r="6" spans="1:10" x14ac:dyDescent="0.3">
      <c r="A6" s="1" t="s">
        <v>203</v>
      </c>
      <c r="B6" s="2">
        <v>50</v>
      </c>
      <c r="C6" s="2">
        <v>35</v>
      </c>
      <c r="D6" s="2">
        <v>31</v>
      </c>
      <c r="E6" s="2">
        <v>15</v>
      </c>
      <c r="F6" s="2">
        <v>131</v>
      </c>
    </row>
    <row r="7" spans="1:10" x14ac:dyDescent="0.3">
      <c r="A7" s="1" t="s">
        <v>41</v>
      </c>
      <c r="B7" s="2">
        <v>123</v>
      </c>
      <c r="C7" s="2">
        <v>79</v>
      </c>
      <c r="D7" s="2">
        <v>66</v>
      </c>
      <c r="E7" s="2">
        <v>32</v>
      </c>
      <c r="F7" s="2">
        <v>300</v>
      </c>
    </row>
    <row r="9" spans="1:10" x14ac:dyDescent="0.3">
      <c r="A9" t="s">
        <v>204</v>
      </c>
    </row>
    <row r="10" spans="1:10" x14ac:dyDescent="0.3">
      <c r="A10" t="s">
        <v>205</v>
      </c>
      <c r="I10" s="3" t="s">
        <v>46</v>
      </c>
      <c r="J10" t="s">
        <v>206</v>
      </c>
    </row>
    <row r="11" spans="1:10" x14ac:dyDescent="0.3">
      <c r="I11" s="12" t="s">
        <v>48</v>
      </c>
    </row>
    <row r="12" spans="1:10" x14ac:dyDescent="0.3">
      <c r="I12" t="s">
        <v>47</v>
      </c>
    </row>
    <row r="13" spans="1:10" x14ac:dyDescent="0.3">
      <c r="A13" t="s">
        <v>207</v>
      </c>
    </row>
    <row r="14" spans="1:10" x14ac:dyDescent="0.3">
      <c r="D14" s="3">
        <v>30.33</v>
      </c>
    </row>
    <row r="15" spans="1:10" x14ac:dyDescent="0.3">
      <c r="A15" t="s">
        <v>208</v>
      </c>
    </row>
    <row r="17" spans="1:12" ht="16.8" x14ac:dyDescent="0.35">
      <c r="A17" t="s">
        <v>209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B18" s="3">
        <v>0.08</v>
      </c>
    </row>
    <row r="19" spans="1:12" x14ac:dyDescent="0.3">
      <c r="A19" t="s">
        <v>210</v>
      </c>
      <c r="D19" s="3">
        <v>1.4</v>
      </c>
    </row>
    <row r="21" spans="1:12" x14ac:dyDescent="0.3">
      <c r="A21" t="s">
        <v>211</v>
      </c>
      <c r="C21" t="s">
        <v>213</v>
      </c>
      <c r="E21" t="s">
        <v>216</v>
      </c>
    </row>
    <row r="22" spans="1:12" x14ac:dyDescent="0.3">
      <c r="A22" t="s">
        <v>212</v>
      </c>
      <c r="C22" s="3" t="s">
        <v>214</v>
      </c>
    </row>
    <row r="23" spans="1:12" x14ac:dyDescent="0.3">
      <c r="C23" t="s">
        <v>56</v>
      </c>
    </row>
    <row r="24" spans="1:12" x14ac:dyDescent="0.3">
      <c r="C24" t="s">
        <v>215</v>
      </c>
    </row>
  </sheetData>
  <mergeCells count="1">
    <mergeCell ref="F2:F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92" r:id="rId3" name="Control 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1</xdr:col>
                <xdr:colOff>68580</xdr:colOff>
                <xdr:row>22</xdr:row>
                <xdr:rowOff>45720</xdr:rowOff>
              </to>
            </anchor>
          </controlPr>
        </control>
      </mc:Choice>
      <mc:Fallback>
        <control shapeId="12292" r:id="rId3" name="Control 4"/>
      </mc:Fallback>
    </mc:AlternateContent>
    <mc:AlternateContent xmlns:mc="http://schemas.openxmlformats.org/markup-compatibility/2006">
      <mc:Choice Requires="x14">
        <control shapeId="12291" r:id="rId5" name="Control 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68580</xdr:colOff>
                <xdr:row>20</xdr:row>
                <xdr:rowOff>45720</xdr:rowOff>
              </to>
            </anchor>
          </controlPr>
        </control>
      </mc:Choice>
      <mc:Fallback>
        <control shapeId="12291" r:id="rId5" name="Control 3"/>
      </mc:Fallback>
    </mc:AlternateContent>
    <mc:AlternateContent xmlns:mc="http://schemas.openxmlformats.org/markup-compatibility/2006">
      <mc:Choice Requires="x14">
        <control shapeId="12290" r:id="rId6" name="Control 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1</xdr:col>
                <xdr:colOff>68580</xdr:colOff>
                <xdr:row>18</xdr:row>
                <xdr:rowOff>45720</xdr:rowOff>
              </to>
            </anchor>
          </controlPr>
        </control>
      </mc:Choice>
      <mc:Fallback>
        <control shapeId="12290" r:id="rId6" name="Control 2"/>
      </mc:Fallback>
    </mc:AlternateContent>
    <mc:AlternateContent xmlns:mc="http://schemas.openxmlformats.org/markup-compatibility/2006">
      <mc:Choice Requires="x14">
        <control shapeId="12289" r:id="rId7" name="Control 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68580</xdr:colOff>
                <xdr:row>14</xdr:row>
                <xdr:rowOff>45720</xdr:rowOff>
              </to>
            </anchor>
          </controlPr>
        </control>
      </mc:Choice>
      <mc:Fallback>
        <control shapeId="12289" r:id="rId7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58E6-4675-43E1-B5F6-ED82FE29C1DE}">
  <sheetPr>
    <tabColor rgb="FFFFFF00"/>
  </sheetPr>
  <dimension ref="A1:Q19"/>
  <sheetViews>
    <sheetView workbookViewId="0">
      <selection activeCell="L5" sqref="L5"/>
    </sheetView>
  </sheetViews>
  <sheetFormatPr defaultRowHeight="14.4" x14ac:dyDescent="0.3"/>
  <sheetData>
    <row r="1" spans="1:17" x14ac:dyDescent="0.3">
      <c r="A1" t="s">
        <v>321</v>
      </c>
      <c r="M1" t="s">
        <v>382</v>
      </c>
    </row>
    <row r="2" spans="1:17" x14ac:dyDescent="0.3"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7" ht="28.8" x14ac:dyDescent="0.3">
      <c r="A3" s="1" t="s">
        <v>322</v>
      </c>
      <c r="B3" s="2" t="s">
        <v>323</v>
      </c>
      <c r="C3" s="2" t="s">
        <v>324</v>
      </c>
      <c r="D3" s="2" t="s">
        <v>41</v>
      </c>
      <c r="E3" s="13"/>
      <c r="F3" s="34" t="s">
        <v>322</v>
      </c>
      <c r="G3" s="29" t="s">
        <v>323</v>
      </c>
      <c r="H3" s="29" t="s">
        <v>324</v>
      </c>
      <c r="I3" s="29" t="s">
        <v>41</v>
      </c>
      <c r="J3" s="13"/>
      <c r="K3" s="34" t="s">
        <v>322</v>
      </c>
      <c r="L3" s="29" t="s">
        <v>323</v>
      </c>
      <c r="M3" s="29" t="s">
        <v>324</v>
      </c>
      <c r="N3" s="29" t="s">
        <v>41</v>
      </c>
      <c r="O3" s="13"/>
      <c r="P3" s="29" t="s">
        <v>380</v>
      </c>
      <c r="Q3" s="13">
        <v>3</v>
      </c>
    </row>
    <row r="4" spans="1:17" x14ac:dyDescent="0.3">
      <c r="A4" s="1" t="s">
        <v>325</v>
      </c>
      <c r="B4" s="30">
        <v>2100</v>
      </c>
      <c r="C4" s="2">
        <v>400</v>
      </c>
      <c r="D4" s="30">
        <v>2500</v>
      </c>
      <c r="E4" s="13"/>
      <c r="F4" s="34" t="s">
        <v>325</v>
      </c>
      <c r="G4" s="13">
        <f>$I4*G$7/$I$7</f>
        <v>1500</v>
      </c>
      <c r="H4" s="13">
        <f>$I4*H$7/$I$7</f>
        <v>1000</v>
      </c>
      <c r="I4" s="35">
        <v>2500</v>
      </c>
      <c r="J4" s="13"/>
      <c r="K4" s="34" t="s">
        <v>325</v>
      </c>
      <c r="L4" s="13">
        <f>(G4-B4)^2/G4</f>
        <v>240</v>
      </c>
      <c r="M4" s="13">
        <f>(H4-C4)^2/H4</f>
        <v>360</v>
      </c>
      <c r="N4" s="13"/>
      <c r="O4" s="13"/>
      <c r="P4" s="13" t="s">
        <v>381</v>
      </c>
      <c r="Q4" s="13">
        <v>2</v>
      </c>
    </row>
    <row r="5" spans="1:17" ht="28.8" x14ac:dyDescent="0.3">
      <c r="A5" s="1" t="s">
        <v>326</v>
      </c>
      <c r="B5" s="2">
        <v>600</v>
      </c>
      <c r="C5" s="2">
        <v>600</v>
      </c>
      <c r="D5" s="30">
        <v>1200</v>
      </c>
      <c r="E5" s="13"/>
      <c r="F5" s="34" t="s">
        <v>326</v>
      </c>
      <c r="G5" s="13">
        <f t="shared" ref="G5:H6" si="0">$I5*G$7/$I$7</f>
        <v>720</v>
      </c>
      <c r="H5" s="13">
        <f t="shared" si="0"/>
        <v>480</v>
      </c>
      <c r="I5" s="35">
        <v>1200</v>
      </c>
      <c r="J5" s="13"/>
      <c r="K5" s="34" t="s">
        <v>326</v>
      </c>
      <c r="L5" s="13">
        <f>(G5-B5)^2/G5</f>
        <v>20</v>
      </c>
      <c r="M5" s="13">
        <f t="shared" ref="M5:M6" si="1">(H5-C5)^2/H5</f>
        <v>30</v>
      </c>
      <c r="N5" s="13"/>
      <c r="O5" s="13"/>
      <c r="P5" s="13"/>
      <c r="Q5" s="13"/>
    </row>
    <row r="6" spans="1:17" x14ac:dyDescent="0.3">
      <c r="A6" s="1" t="s">
        <v>327</v>
      </c>
      <c r="B6" s="2">
        <v>300</v>
      </c>
      <c r="C6" s="30">
        <v>1000</v>
      </c>
      <c r="D6" s="30">
        <v>1300</v>
      </c>
      <c r="E6" s="13"/>
      <c r="F6" s="34" t="s">
        <v>327</v>
      </c>
      <c r="G6" s="13">
        <f t="shared" si="0"/>
        <v>780</v>
      </c>
      <c r="H6" s="21">
        <f t="shared" si="0"/>
        <v>520</v>
      </c>
      <c r="I6" s="35">
        <v>1300</v>
      </c>
      <c r="J6" s="13"/>
      <c r="K6" s="34" t="s">
        <v>327</v>
      </c>
      <c r="L6" s="13">
        <f>(G6-B6)^2/G6</f>
        <v>295.38461538461536</v>
      </c>
      <c r="M6" s="13">
        <f t="shared" si="1"/>
        <v>443.07692307692309</v>
      </c>
      <c r="N6" s="13"/>
      <c r="O6" s="13"/>
      <c r="P6" s="13"/>
      <c r="Q6" s="13"/>
    </row>
    <row r="7" spans="1:17" x14ac:dyDescent="0.3">
      <c r="A7" s="1" t="s">
        <v>41</v>
      </c>
      <c r="B7" s="30">
        <v>3000</v>
      </c>
      <c r="C7" s="30">
        <v>2000</v>
      </c>
      <c r="D7" s="30">
        <v>5000</v>
      </c>
      <c r="E7" s="13"/>
      <c r="F7" s="34" t="s">
        <v>41</v>
      </c>
      <c r="G7" s="35">
        <v>3000</v>
      </c>
      <c r="H7" s="35">
        <v>2000</v>
      </c>
      <c r="I7" s="35">
        <v>5000</v>
      </c>
      <c r="J7" s="13"/>
      <c r="K7" s="34" t="s">
        <v>41</v>
      </c>
      <c r="L7" s="13"/>
      <c r="M7" s="13"/>
      <c r="N7" s="13">
        <f>SUM(L4:M6)</f>
        <v>1388.4615384615386</v>
      </c>
      <c r="O7" s="13"/>
      <c r="P7" s="13" t="s">
        <v>383</v>
      </c>
      <c r="Q7" s="13">
        <f>SQRT((N7)/(D7*(Q4-1)))</f>
        <v>0.52696518641396772</v>
      </c>
    </row>
    <row r="8" spans="1:17" x14ac:dyDescent="0.3"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7" x14ac:dyDescent="0.3">
      <c r="A9" t="s">
        <v>328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1" spans="1:17" ht="16.8" x14ac:dyDescent="0.35">
      <c r="A11" s="9" t="s">
        <v>329</v>
      </c>
      <c r="L11" s="3" t="b">
        <v>1</v>
      </c>
      <c r="M11">
        <f>H6</f>
        <v>520</v>
      </c>
    </row>
    <row r="12" spans="1:17" x14ac:dyDescent="0.3">
      <c r="L12" s="3"/>
    </row>
    <row r="13" spans="1:17" x14ac:dyDescent="0.3">
      <c r="A13" t="s">
        <v>330</v>
      </c>
      <c r="L13" s="3" t="b">
        <v>1</v>
      </c>
      <c r="M13" s="28">
        <f>Q7</f>
        <v>0.52696518641396772</v>
      </c>
    </row>
    <row r="14" spans="1:17" x14ac:dyDescent="0.3">
      <c r="L14" s="3"/>
    </row>
    <row r="15" spans="1:17" x14ac:dyDescent="0.3">
      <c r="A15" t="s">
        <v>331</v>
      </c>
      <c r="L15" s="3" t="b">
        <v>0</v>
      </c>
      <c r="M15">
        <f>N7</f>
        <v>1388.4615384615386</v>
      </c>
    </row>
    <row r="16" spans="1:17" x14ac:dyDescent="0.3">
      <c r="L16" s="3"/>
    </row>
    <row r="17" spans="1:13" ht="16.8" x14ac:dyDescent="0.35">
      <c r="A17" s="9" t="s">
        <v>332</v>
      </c>
      <c r="L17" s="3" t="b">
        <v>0</v>
      </c>
      <c r="M17">
        <f>L6</f>
        <v>295.38461538461536</v>
      </c>
    </row>
    <row r="18" spans="1:13" x14ac:dyDescent="0.3">
      <c r="L18" s="3"/>
    </row>
    <row r="19" spans="1:13" ht="16.8" x14ac:dyDescent="0.35">
      <c r="A19" s="9" t="s">
        <v>333</v>
      </c>
      <c r="L19" s="3" t="b">
        <v>1</v>
      </c>
      <c r="M19">
        <f>L5</f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E054-2D38-40EC-AFF3-5127437DBF4A}">
  <sheetPr>
    <tabColor rgb="FFFFFF00"/>
  </sheetPr>
  <dimension ref="A1:U15"/>
  <sheetViews>
    <sheetView workbookViewId="0">
      <selection activeCell="F4" sqref="F4"/>
    </sheetView>
  </sheetViews>
  <sheetFormatPr defaultRowHeight="14.4" x14ac:dyDescent="0.3"/>
  <cols>
    <col min="2" max="3" width="10.77734375" customWidth="1"/>
    <col min="4" max="4" width="37.88671875" customWidth="1"/>
    <col min="5" max="5" width="13.88671875" customWidth="1"/>
    <col min="10" max="10" width="10.6640625" customWidth="1"/>
    <col min="15" max="15" width="10.44140625" customWidth="1"/>
  </cols>
  <sheetData>
    <row r="1" spans="1:21" x14ac:dyDescent="0.3">
      <c r="A1" t="s">
        <v>334</v>
      </c>
    </row>
    <row r="2" spans="1:21" ht="28.8" x14ac:dyDescent="0.3">
      <c r="A2" s="1" t="s">
        <v>335</v>
      </c>
      <c r="B2" s="2" t="s">
        <v>336</v>
      </c>
      <c r="C2" s="29" t="s">
        <v>309</v>
      </c>
      <c r="D2" s="13" t="s">
        <v>368</v>
      </c>
      <c r="E2" s="13" t="s">
        <v>269</v>
      </c>
      <c r="F2" s="13" t="s">
        <v>366</v>
      </c>
      <c r="G2" s="13" t="s">
        <v>112</v>
      </c>
      <c r="H2" s="13" t="s">
        <v>306</v>
      </c>
      <c r="I2" s="13">
        <v>7</v>
      </c>
      <c r="J2" s="13"/>
      <c r="K2" s="13"/>
      <c r="L2" s="13"/>
      <c r="M2" s="13"/>
      <c r="N2" s="13"/>
      <c r="O2" s="13"/>
      <c r="P2" s="13"/>
    </row>
    <row r="3" spans="1:21" x14ac:dyDescent="0.3">
      <c r="A3" s="1" t="s">
        <v>337</v>
      </c>
      <c r="B3" s="2">
        <v>200</v>
      </c>
      <c r="C3" s="29">
        <f>$B$10/$I$2</f>
        <v>190</v>
      </c>
      <c r="D3" s="13">
        <f>(B3-C3)^2/C3</f>
        <v>0.52631578947368418</v>
      </c>
      <c r="E3" s="13" t="s">
        <v>281</v>
      </c>
      <c r="F3" s="13">
        <f>D10</f>
        <v>22.4</v>
      </c>
      <c r="G3" s="13"/>
      <c r="H3" s="13" t="s">
        <v>290</v>
      </c>
      <c r="I3" s="13">
        <f>I2-1</f>
        <v>6</v>
      </c>
      <c r="J3" s="13"/>
      <c r="K3" s="13"/>
      <c r="L3" s="13"/>
      <c r="M3" s="13"/>
      <c r="N3" s="13"/>
      <c r="O3" s="13"/>
      <c r="P3" s="13"/>
    </row>
    <row r="4" spans="1:21" x14ac:dyDescent="0.3">
      <c r="A4" s="1" t="s">
        <v>338</v>
      </c>
      <c r="B4" s="2">
        <v>210</v>
      </c>
      <c r="C4" s="29">
        <f t="shared" ref="C4:C9" si="0">$B$10/$I$2</f>
        <v>190</v>
      </c>
      <c r="D4" s="13">
        <f t="shared" ref="D4:D9" si="1">(B4-C4)^2/C4</f>
        <v>2.1052631578947367</v>
      </c>
      <c r="E4" s="13" t="s">
        <v>294</v>
      </c>
      <c r="F4" s="13">
        <f>_xlfn.CHISQ.INV(1-F5,I3)</f>
        <v>13.197814645953381</v>
      </c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1" x14ac:dyDescent="0.3">
      <c r="A5" s="1" t="s">
        <v>339</v>
      </c>
      <c r="B5" s="2">
        <v>215</v>
      </c>
      <c r="C5" s="29">
        <f t="shared" si="0"/>
        <v>190</v>
      </c>
      <c r="D5" s="13">
        <f t="shared" si="1"/>
        <v>3.2894736842105261</v>
      </c>
      <c r="E5" s="13" t="s">
        <v>369</v>
      </c>
      <c r="F5" s="14">
        <v>0.04</v>
      </c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 x14ac:dyDescent="0.3">
      <c r="A6" s="1" t="s">
        <v>340</v>
      </c>
      <c r="B6" s="2">
        <v>209</v>
      </c>
      <c r="C6" s="29">
        <f t="shared" si="0"/>
        <v>190</v>
      </c>
      <c r="D6" s="13">
        <f t="shared" si="1"/>
        <v>1.9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 x14ac:dyDescent="0.3">
      <c r="A7" s="1" t="s">
        <v>341</v>
      </c>
      <c r="B7" s="2">
        <v>185</v>
      </c>
      <c r="C7" s="29">
        <f t="shared" si="0"/>
        <v>190</v>
      </c>
      <c r="D7" s="13">
        <f t="shared" si="1"/>
        <v>0.13157894736842105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x14ac:dyDescent="0.3">
      <c r="A8" s="1" t="s">
        <v>342</v>
      </c>
      <c r="B8" s="2">
        <v>169</v>
      </c>
      <c r="C8" s="29">
        <f t="shared" si="0"/>
        <v>190</v>
      </c>
      <c r="D8" s="13">
        <f t="shared" si="1"/>
        <v>2.3210526315789473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x14ac:dyDescent="0.3">
      <c r="A9" s="1" t="s">
        <v>343</v>
      </c>
      <c r="B9" s="2">
        <v>142</v>
      </c>
      <c r="C9" s="29">
        <f t="shared" si="0"/>
        <v>190</v>
      </c>
      <c r="D9" s="13">
        <f t="shared" si="1"/>
        <v>12.126315789473685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1" x14ac:dyDescent="0.3">
      <c r="A10" s="1" t="s">
        <v>41</v>
      </c>
      <c r="B10" s="2">
        <v>1330</v>
      </c>
      <c r="C10" s="29">
        <f>SUM(C3:C9)</f>
        <v>1330</v>
      </c>
      <c r="D10" s="13">
        <f>SUM(D3:D9)</f>
        <v>22.4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1" x14ac:dyDescent="0.3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1" x14ac:dyDescent="0.3">
      <c r="A12" t="s">
        <v>365</v>
      </c>
    </row>
    <row r="14" spans="1:21" ht="15.6" x14ac:dyDescent="0.35">
      <c r="A14" t="s">
        <v>9</v>
      </c>
      <c r="D14" s="3" t="s">
        <v>367</v>
      </c>
      <c r="E14" t="s">
        <v>344</v>
      </c>
      <c r="K14" s="3">
        <f>C3</f>
        <v>190</v>
      </c>
      <c r="L14" t="s">
        <v>345</v>
      </c>
      <c r="N14" t="s">
        <v>119</v>
      </c>
      <c r="P14" s="6">
        <f>F4</f>
        <v>13.197814645953381</v>
      </c>
      <c r="R14" t="s">
        <v>120</v>
      </c>
      <c r="T14" s="3" t="s">
        <v>370</v>
      </c>
      <c r="U14" t="s">
        <v>346</v>
      </c>
    </row>
    <row r="15" spans="1:21" x14ac:dyDescent="0.3">
      <c r="U15" s="3" t="s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9368-85C3-401F-AC0C-95ED3E046847}">
  <sheetPr codeName="Munka3">
    <tabColor rgb="FFFFFF00"/>
  </sheetPr>
  <dimension ref="A1:S23"/>
  <sheetViews>
    <sheetView workbookViewId="0">
      <selection activeCell="E9" sqref="E9"/>
    </sheetView>
  </sheetViews>
  <sheetFormatPr defaultRowHeight="14.4" x14ac:dyDescent="0.3"/>
  <cols>
    <col min="1" max="1" width="24.77734375" customWidth="1"/>
    <col min="4" max="4" width="11.6640625" customWidth="1"/>
    <col min="5" max="5" width="6.5546875" bestFit="1" customWidth="1"/>
    <col min="10" max="10" width="17.6640625" bestFit="1" customWidth="1"/>
  </cols>
  <sheetData>
    <row r="1" spans="1:19" x14ac:dyDescent="0.3">
      <c r="A1" t="s">
        <v>360</v>
      </c>
    </row>
    <row r="3" spans="1:19" x14ac:dyDescent="0.3">
      <c r="A3" t="s">
        <v>347</v>
      </c>
      <c r="E3" s="6">
        <f>K8</f>
        <v>1.0327955589886444</v>
      </c>
      <c r="F3" t="s">
        <v>348</v>
      </c>
      <c r="J3" s="13" t="s">
        <v>361</v>
      </c>
      <c r="K3" s="13">
        <v>15</v>
      </c>
      <c r="L3" s="13"/>
      <c r="M3" s="13" t="s">
        <v>362</v>
      </c>
      <c r="N3" s="13"/>
      <c r="O3" s="13"/>
      <c r="P3" s="13"/>
      <c r="Q3" s="13"/>
      <c r="R3" s="13"/>
      <c r="S3" s="13"/>
    </row>
    <row r="4" spans="1:19" x14ac:dyDescent="0.3">
      <c r="A4" t="s">
        <v>349</v>
      </c>
      <c r="E4" s="6">
        <f>K9</f>
        <v>2.9768427343708344</v>
      </c>
      <c r="J4" s="13" t="s">
        <v>143</v>
      </c>
      <c r="K4" s="13">
        <v>49.5</v>
      </c>
      <c r="L4" s="13" t="s">
        <v>348</v>
      </c>
      <c r="M4" s="13"/>
      <c r="N4" s="13"/>
      <c r="O4" s="13"/>
      <c r="P4" s="13"/>
      <c r="Q4" s="13"/>
      <c r="R4" s="13"/>
      <c r="S4" s="13"/>
    </row>
    <row r="5" spans="1:19" x14ac:dyDescent="0.3">
      <c r="A5" t="s">
        <v>350</v>
      </c>
      <c r="E5" s="6">
        <f>K10</f>
        <v>3.0744699558658106</v>
      </c>
      <c r="F5" t="s">
        <v>348</v>
      </c>
      <c r="J5" s="13" t="s">
        <v>144</v>
      </c>
      <c r="K5" s="13">
        <v>4</v>
      </c>
      <c r="L5" s="13" t="s">
        <v>348</v>
      </c>
      <c r="M5" s="13"/>
      <c r="N5" s="13"/>
      <c r="O5" s="13"/>
      <c r="P5" s="13"/>
      <c r="Q5" s="13"/>
      <c r="R5" s="13"/>
      <c r="S5" s="13"/>
    </row>
    <row r="6" spans="1:19" x14ac:dyDescent="0.3">
      <c r="A6" t="s">
        <v>351</v>
      </c>
      <c r="E6" s="6">
        <f>K12</f>
        <v>52.574469955865808</v>
      </c>
      <c r="F6" t="s">
        <v>348</v>
      </c>
      <c r="J6" s="13" t="s">
        <v>230</v>
      </c>
      <c r="K6" s="14">
        <v>0.99</v>
      </c>
      <c r="L6" s="13"/>
      <c r="M6" s="13"/>
      <c r="N6" s="13"/>
      <c r="O6" s="13"/>
      <c r="P6" s="13"/>
      <c r="Q6" s="13"/>
      <c r="R6" s="13"/>
      <c r="S6" s="13"/>
    </row>
    <row r="7" spans="1:19" x14ac:dyDescent="0.3">
      <c r="A7" t="s">
        <v>353</v>
      </c>
      <c r="E7" s="31">
        <v>754</v>
      </c>
      <c r="F7" t="s">
        <v>352</v>
      </c>
      <c r="J7" s="13" t="s">
        <v>149</v>
      </c>
      <c r="K7" s="14">
        <f>1-K6</f>
        <v>1.0000000000000009E-2</v>
      </c>
      <c r="L7" s="13"/>
      <c r="M7" s="13"/>
      <c r="N7" s="13"/>
      <c r="O7" s="13"/>
      <c r="P7" s="13"/>
      <c r="Q7" s="13"/>
      <c r="R7" s="13"/>
      <c r="S7" s="13"/>
    </row>
    <row r="8" spans="1:19" x14ac:dyDescent="0.3">
      <c r="E8">
        <f>35000/K11</f>
        <v>753.89553908652044</v>
      </c>
      <c r="J8" s="13" t="s">
        <v>236</v>
      </c>
      <c r="K8" s="13">
        <f>K5/SQRT(K3)</f>
        <v>1.0327955589886444</v>
      </c>
      <c r="L8" s="13" t="s">
        <v>348</v>
      </c>
      <c r="M8" s="13"/>
      <c r="N8" s="13"/>
      <c r="O8" s="13"/>
      <c r="P8" s="13"/>
      <c r="Q8" s="13"/>
      <c r="R8" s="13"/>
      <c r="S8" s="13"/>
    </row>
    <row r="9" spans="1:19" x14ac:dyDescent="0.3">
      <c r="J9" s="13" t="s">
        <v>363</v>
      </c>
      <c r="K9" s="13">
        <f>_xlfn.T.INV(1-K7/2,K3-1)</f>
        <v>2.9768427343708344</v>
      </c>
      <c r="L9" s="13"/>
      <c r="M9" s="13"/>
      <c r="N9" s="13"/>
      <c r="O9" s="13"/>
      <c r="P9" s="13"/>
      <c r="Q9" s="13"/>
      <c r="R9" s="13"/>
      <c r="S9" s="13"/>
    </row>
    <row r="10" spans="1:19" x14ac:dyDescent="0.3">
      <c r="J10" s="13" t="s">
        <v>240</v>
      </c>
      <c r="K10" s="13">
        <f>K9*K8</f>
        <v>3.0744699558658106</v>
      </c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J11" s="13" t="s">
        <v>364</v>
      </c>
      <c r="K11" s="13">
        <f>K4-K10</f>
        <v>46.425530044134192</v>
      </c>
      <c r="L11" s="13"/>
      <c r="M11" s="13"/>
      <c r="N11" s="13"/>
      <c r="O11" s="13"/>
      <c r="P11" s="13"/>
      <c r="Q11" s="13"/>
      <c r="R11" s="13"/>
      <c r="S11" s="13"/>
    </row>
    <row r="12" spans="1:19" x14ac:dyDescent="0.3">
      <c r="J12" s="13" t="s">
        <v>294</v>
      </c>
      <c r="K12" s="13">
        <f>K4+K10</f>
        <v>52.574469955865808</v>
      </c>
      <c r="L12" s="13"/>
      <c r="M12" s="13"/>
      <c r="N12" s="13"/>
      <c r="O12" s="13"/>
      <c r="P12" s="13"/>
      <c r="Q12" s="13"/>
      <c r="R12" s="13"/>
      <c r="S12" s="13"/>
    </row>
    <row r="13" spans="1:19" x14ac:dyDescent="0.3"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3"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3"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0:19" x14ac:dyDescent="0.3"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0:19" x14ac:dyDescent="0.3"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0:19" x14ac:dyDescent="0.3"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0:19" x14ac:dyDescent="0.3"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0:19" x14ac:dyDescent="0.3"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0:19" x14ac:dyDescent="0.3"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0:19" x14ac:dyDescent="0.3">
      <c r="J23" s="13"/>
      <c r="K23" s="13"/>
      <c r="L23" s="13"/>
      <c r="M23" s="13"/>
      <c r="N23" s="13"/>
      <c r="O23" s="13"/>
      <c r="P23" s="13"/>
      <c r="Q23" s="13"/>
      <c r="R23" s="13"/>
      <c r="S2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248D-86E5-4A13-9DDC-E6AA7057F92D}">
  <dimension ref="A1:S20"/>
  <sheetViews>
    <sheetView workbookViewId="0">
      <selection activeCell="M16" sqref="M16"/>
    </sheetView>
  </sheetViews>
  <sheetFormatPr defaultRowHeight="14.4" x14ac:dyDescent="0.3"/>
  <cols>
    <col min="13" max="13" width="14.21875" bestFit="1" customWidth="1"/>
    <col min="16" max="16" width="11.88671875" customWidth="1"/>
  </cols>
  <sheetData>
    <row r="1" spans="1:19" x14ac:dyDescent="0.3">
      <c r="A1" t="s">
        <v>372</v>
      </c>
    </row>
    <row r="2" spans="1:19" x14ac:dyDescent="0.3">
      <c r="M2" s="13"/>
      <c r="N2" s="13"/>
      <c r="O2" s="13"/>
      <c r="P2" s="13"/>
      <c r="Q2" s="13"/>
      <c r="R2" s="13"/>
      <c r="S2" s="13"/>
    </row>
    <row r="3" spans="1:19" x14ac:dyDescent="0.3">
      <c r="A3" t="s">
        <v>354</v>
      </c>
      <c r="M3" s="13" t="s">
        <v>373</v>
      </c>
      <c r="N3" s="13">
        <v>15</v>
      </c>
      <c r="O3" s="13"/>
      <c r="P3" s="13" t="s">
        <v>374</v>
      </c>
      <c r="Q3" s="13">
        <v>15</v>
      </c>
      <c r="R3" s="13" t="s">
        <v>375</v>
      </c>
      <c r="S3" s="13">
        <v>15</v>
      </c>
    </row>
    <row r="4" spans="1:19" x14ac:dyDescent="0.3">
      <c r="M4" s="13" t="s">
        <v>143</v>
      </c>
      <c r="N4" s="13">
        <v>117</v>
      </c>
      <c r="O4" s="13"/>
      <c r="P4" s="13" t="s">
        <v>281</v>
      </c>
      <c r="Q4" s="16">
        <f>((N6-1)*N5^2)/N3^2</f>
        <v>177.77777777777777</v>
      </c>
      <c r="R4" s="13"/>
      <c r="S4" s="13"/>
    </row>
    <row r="5" spans="1:19" ht="15.6" x14ac:dyDescent="0.35">
      <c r="A5" s="9" t="s">
        <v>355</v>
      </c>
      <c r="K5" s="3" t="b">
        <v>0</v>
      </c>
      <c r="M5" s="13" t="s">
        <v>302</v>
      </c>
      <c r="N5" s="13">
        <v>20</v>
      </c>
      <c r="O5" s="13"/>
      <c r="P5" s="13" t="s">
        <v>236</v>
      </c>
      <c r="Q5" s="16">
        <f>N3/SQRT(N6)</f>
        <v>1.4925557853149838</v>
      </c>
      <c r="R5" s="13"/>
      <c r="S5" s="13"/>
    </row>
    <row r="6" spans="1:19" x14ac:dyDescent="0.3">
      <c r="K6" s="3"/>
      <c r="M6" s="13" t="s">
        <v>361</v>
      </c>
      <c r="N6" s="13">
        <v>101</v>
      </c>
      <c r="O6" s="13"/>
      <c r="P6" s="13" t="s">
        <v>240</v>
      </c>
      <c r="Q6" s="16">
        <f>_xlfn.CHISQ.INV(N8,N3-1)</f>
        <v>24.485470222001151</v>
      </c>
      <c r="R6" s="13"/>
      <c r="S6" s="13"/>
    </row>
    <row r="7" spans="1:19" ht="15.6" x14ac:dyDescent="0.35">
      <c r="A7" t="s">
        <v>356</v>
      </c>
      <c r="K7" s="3" t="b">
        <v>0</v>
      </c>
      <c r="M7" s="13" t="s">
        <v>369</v>
      </c>
      <c r="N7" s="14">
        <v>0.04</v>
      </c>
      <c r="O7" s="13"/>
      <c r="P7" s="13" t="s">
        <v>364</v>
      </c>
      <c r="Q7" s="16">
        <f>Q4-Q6</f>
        <v>153.29230755577663</v>
      </c>
      <c r="R7" s="13"/>
      <c r="S7" s="13"/>
    </row>
    <row r="8" spans="1:19" x14ac:dyDescent="0.3">
      <c r="K8" s="3"/>
      <c r="M8" s="13" t="s">
        <v>149</v>
      </c>
      <c r="N8" s="14">
        <f>1-N7</f>
        <v>0.96</v>
      </c>
      <c r="O8" s="13"/>
      <c r="P8" s="13" t="s">
        <v>294</v>
      </c>
      <c r="Q8" s="16">
        <f>Q4+Q6</f>
        <v>202.26324799977891</v>
      </c>
      <c r="R8" s="13"/>
      <c r="S8" s="13"/>
    </row>
    <row r="9" spans="1:19" x14ac:dyDescent="0.3">
      <c r="A9" t="s">
        <v>357</v>
      </c>
      <c r="K9" s="3" t="b">
        <v>1</v>
      </c>
      <c r="M9" s="13"/>
      <c r="N9" s="13"/>
      <c r="O9" s="13"/>
      <c r="P9" s="13"/>
      <c r="Q9" s="13"/>
      <c r="R9" s="13"/>
      <c r="S9" s="13"/>
    </row>
    <row r="10" spans="1:19" x14ac:dyDescent="0.3">
      <c r="K10" s="3"/>
      <c r="M10" s="13"/>
      <c r="N10" s="13"/>
      <c r="O10" s="13"/>
      <c r="P10" s="13"/>
      <c r="Q10" s="13"/>
      <c r="R10" s="13"/>
      <c r="S10" s="13"/>
    </row>
    <row r="11" spans="1:19" x14ac:dyDescent="0.3">
      <c r="A11" t="s">
        <v>358</v>
      </c>
      <c r="K11" s="3" t="b">
        <v>0</v>
      </c>
      <c r="M11" s="13"/>
      <c r="N11" s="13"/>
      <c r="O11" s="13"/>
      <c r="P11" s="13"/>
      <c r="Q11" s="13"/>
      <c r="R11" s="13"/>
      <c r="S11" s="13"/>
    </row>
    <row r="12" spans="1:19" x14ac:dyDescent="0.3">
      <c r="K12" s="3"/>
      <c r="M12" s="13"/>
      <c r="N12" s="13"/>
      <c r="O12" s="13"/>
      <c r="P12" s="13"/>
      <c r="Q12" s="13"/>
      <c r="R12" s="13"/>
      <c r="S12" s="13"/>
    </row>
    <row r="13" spans="1:19" x14ac:dyDescent="0.3">
      <c r="A13" t="s">
        <v>359</v>
      </c>
      <c r="K13" s="3" t="b">
        <v>1</v>
      </c>
      <c r="M13" s="13"/>
      <c r="N13" s="13"/>
      <c r="O13" s="13"/>
      <c r="P13" s="13"/>
      <c r="Q13" s="13"/>
      <c r="R13" s="13"/>
      <c r="S13" s="13"/>
    </row>
    <row r="14" spans="1:19" x14ac:dyDescent="0.3">
      <c r="M14" s="13"/>
      <c r="N14" s="13"/>
      <c r="O14" s="13"/>
      <c r="P14" s="13"/>
      <c r="Q14" s="13"/>
      <c r="R14" s="13"/>
      <c r="S14" s="13"/>
    </row>
    <row r="15" spans="1:19" x14ac:dyDescent="0.3">
      <c r="M15" s="13"/>
      <c r="N15" s="13"/>
      <c r="O15" s="13"/>
      <c r="P15" s="13"/>
      <c r="Q15" s="13"/>
      <c r="R15" s="13"/>
      <c r="S15" s="13"/>
    </row>
    <row r="16" spans="1:19" x14ac:dyDescent="0.3">
      <c r="M16" s="13"/>
      <c r="N16" s="13"/>
      <c r="O16" s="13"/>
      <c r="P16" s="13"/>
      <c r="Q16" s="13"/>
      <c r="R16" s="13"/>
      <c r="S16" s="13"/>
    </row>
    <row r="17" spans="13:19" x14ac:dyDescent="0.3">
      <c r="M17" s="13"/>
      <c r="N17" s="13"/>
      <c r="O17" s="13"/>
      <c r="P17" s="13"/>
      <c r="Q17" s="13"/>
      <c r="R17" s="13"/>
      <c r="S17" s="13"/>
    </row>
    <row r="18" spans="13:19" x14ac:dyDescent="0.3">
      <c r="M18" s="13"/>
      <c r="N18" s="13"/>
      <c r="O18" s="13"/>
      <c r="P18" s="13"/>
      <c r="Q18" s="13"/>
      <c r="R18" s="13"/>
      <c r="S18" s="13"/>
    </row>
    <row r="19" spans="13:19" x14ac:dyDescent="0.3">
      <c r="M19" s="13"/>
      <c r="N19" s="13"/>
      <c r="O19" s="13"/>
      <c r="P19" s="13"/>
      <c r="Q19" s="13"/>
      <c r="R19" s="13"/>
      <c r="S19" s="13"/>
    </row>
    <row r="20" spans="13:19" x14ac:dyDescent="0.3">
      <c r="M20" s="13"/>
      <c r="N20" s="13"/>
      <c r="O20" s="13"/>
      <c r="P20" s="13"/>
      <c r="Q20" s="13"/>
      <c r="R20" s="13"/>
      <c r="S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18</vt:i4>
      </vt:variant>
    </vt:vector>
  </HeadingPairs>
  <TitlesOfParts>
    <vt:vector size="18" baseType="lpstr">
      <vt:lpstr>Instant kávé</vt:lpstr>
      <vt:lpstr>Utazási idő</vt:lpstr>
      <vt:lpstr>Olvasásra fodított idő</vt:lpstr>
      <vt:lpstr>Tejvásárlás</vt:lpstr>
      <vt:lpstr>Lakberendezés</vt:lpstr>
      <vt:lpstr>Ösztöndíj</vt:lpstr>
      <vt:lpstr>Hulladék</vt:lpstr>
      <vt:lpstr>Élvezeti cikkek</vt:lpstr>
      <vt:lpstr>Vízfogyasztás</vt:lpstr>
      <vt:lpstr>Zárthelyi dolgozat</vt:lpstr>
      <vt:lpstr>Darabáru-csomagoló</vt:lpstr>
      <vt:lpstr>Üzleti statisztika</vt:lpstr>
      <vt:lpstr>SMS-kommunikáció</vt:lpstr>
      <vt:lpstr>Felvételi</vt:lpstr>
      <vt:lpstr>Nem és szak kapcsolata</vt:lpstr>
      <vt:lpstr>Konditerem</vt:lpstr>
      <vt:lpstr>Őstermelő</vt:lpstr>
      <vt:lpstr>Intelligenciaszint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 Mészáros</dc:creator>
  <cp:lastModifiedBy>Nikolett Mészáros</cp:lastModifiedBy>
  <dcterms:created xsi:type="dcterms:W3CDTF">2025-03-12T18:54:27Z</dcterms:created>
  <dcterms:modified xsi:type="dcterms:W3CDTF">2025-03-30T11:17:31Z</dcterms:modified>
</cp:coreProperties>
</file>