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ogle Drive\FH BFI Wien\Courses\2024 SS\Measurement of Market Risk\Assignments\"/>
    </mc:Choice>
  </mc:AlternateContent>
  <xr:revisionPtr revIDLastSave="0" documentId="13_ncr:1_{6B070A97-3325-4F68-BECE-C713EA19DC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tasks and results" sheetId="6" r:id="rId1"/>
    <sheet name="Project 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5" l="1"/>
  <c r="H24" i="5"/>
  <c r="H21" i="5"/>
  <c r="H19" i="5"/>
  <c r="H15" i="5"/>
  <c r="I15" i="5" s="1"/>
  <c r="H13" i="5"/>
  <c r="H7" i="5"/>
  <c r="H9" i="5" s="1"/>
  <c r="I5" i="5"/>
  <c r="H5" i="5"/>
  <c r="H4" i="5"/>
  <c r="K3" i="5" s="1"/>
  <c r="Q3" i="5"/>
  <c r="W3" i="5" s="1"/>
  <c r="R3" i="5" l="1"/>
  <c r="S3" i="5" s="1"/>
  <c r="L3" i="5"/>
  <c r="M3" i="5" s="1"/>
  <c r="I9" i="5"/>
  <c r="H11" i="5"/>
  <c r="J15" i="5"/>
  <c r="J5" i="5"/>
  <c r="I4" i="5"/>
  <c r="J4" i="5" s="1"/>
  <c r="I19" i="5"/>
  <c r="U4" i="5"/>
  <c r="T4" i="5"/>
  <c r="K4" i="5"/>
  <c r="I13" i="5"/>
  <c r="I7" i="5"/>
  <c r="I21" i="5"/>
  <c r="J19" i="5" l="1"/>
  <c r="I20" i="5"/>
  <c r="I11" i="5"/>
  <c r="H17" i="5"/>
  <c r="J9" i="5"/>
  <c r="I10" i="5"/>
  <c r="J21" i="5"/>
  <c r="J7" i="5"/>
  <c r="I8" i="5"/>
  <c r="J13" i="5"/>
  <c r="I14" i="5"/>
  <c r="I6" i="5"/>
  <c r="R4" i="5"/>
  <c r="S4" i="5" s="1"/>
  <c r="L4" i="5"/>
  <c r="M4" i="5" s="1"/>
  <c r="O4" i="5"/>
  <c r="N4" i="5"/>
  <c r="P4" i="5" s="1"/>
  <c r="Q4" i="5" s="1"/>
  <c r="V4" i="5"/>
  <c r="W4" i="5" s="1"/>
  <c r="J6" i="5" l="1"/>
  <c r="H6" i="5"/>
  <c r="J14" i="5"/>
  <c r="H14" i="5"/>
  <c r="J8" i="5"/>
  <c r="H8" i="5"/>
  <c r="H10" i="5"/>
  <c r="J10" i="5"/>
  <c r="I17" i="5"/>
  <c r="H23" i="5"/>
  <c r="U5" i="5"/>
  <c r="T5" i="5"/>
  <c r="I12" i="5"/>
  <c r="J11" i="5"/>
  <c r="O5" i="5"/>
  <c r="N5" i="5"/>
  <c r="J20" i="5"/>
  <c r="H20" i="5"/>
  <c r="V5" i="5" l="1"/>
  <c r="W5" i="5" s="1"/>
  <c r="P5" i="5"/>
  <c r="Q5" i="5" s="1"/>
  <c r="I18" i="5"/>
  <c r="J17" i="5"/>
  <c r="I16" i="5"/>
  <c r="J12" i="5"/>
  <c r="H12" i="5"/>
  <c r="K10" i="5"/>
  <c r="K9" i="5"/>
  <c r="K8" i="5"/>
  <c r="K7" i="5"/>
  <c r="K14" i="5"/>
  <c r="K13" i="5"/>
  <c r="I23" i="5"/>
  <c r="K20" i="5"/>
  <c r="K19" i="5"/>
  <c r="K6" i="5"/>
  <c r="K5" i="5"/>
  <c r="R14" i="5" l="1"/>
  <c r="S14" i="5" s="1"/>
  <c r="L14" i="5"/>
  <c r="M14" i="5" s="1"/>
  <c r="R8" i="5"/>
  <c r="S8" i="5" s="1"/>
  <c r="L8" i="5"/>
  <c r="M8" i="5" s="1"/>
  <c r="K12" i="5"/>
  <c r="K11" i="5"/>
  <c r="L5" i="5"/>
  <c r="M5" i="5" s="1"/>
  <c r="R5" i="5"/>
  <c r="S5" i="5" s="1"/>
  <c r="R7" i="5"/>
  <c r="S7" i="5" s="1"/>
  <c r="L7" i="5"/>
  <c r="M7" i="5" s="1"/>
  <c r="L9" i="5"/>
  <c r="M9" i="5" s="1"/>
  <c r="R9" i="5"/>
  <c r="S9" i="5" s="1"/>
  <c r="L10" i="5"/>
  <c r="M10" i="5" s="1"/>
  <c r="R10" i="5"/>
  <c r="S10" i="5" s="1"/>
  <c r="J16" i="5"/>
  <c r="H16" i="5"/>
  <c r="J18" i="5"/>
  <c r="H18" i="5"/>
  <c r="L6" i="5"/>
  <c r="M6" i="5" s="1"/>
  <c r="R6" i="5"/>
  <c r="S6" i="5" s="1"/>
  <c r="R19" i="5"/>
  <c r="S19" i="5" s="1"/>
  <c r="L19" i="5"/>
  <c r="M19" i="5" s="1"/>
  <c r="R20" i="5"/>
  <c r="S20" i="5" s="1"/>
  <c r="L20" i="5"/>
  <c r="M20" i="5" s="1"/>
  <c r="J23" i="5"/>
  <c r="I22" i="5"/>
  <c r="R23" i="5"/>
  <c r="S23" i="5" s="1"/>
  <c r="L23" i="5"/>
  <c r="M23" i="5" s="1"/>
  <c r="L13" i="5"/>
  <c r="M13" i="5" s="1"/>
  <c r="R13" i="5"/>
  <c r="S13" i="5" s="1"/>
  <c r="U6" i="5" l="1"/>
  <c r="T6" i="5"/>
  <c r="K16" i="5"/>
  <c r="K15" i="5"/>
  <c r="N6" i="5"/>
  <c r="O6" i="5"/>
  <c r="R11" i="5"/>
  <c r="S11" i="5" s="1"/>
  <c r="L11" i="5"/>
  <c r="M11" i="5" s="1"/>
  <c r="L12" i="5"/>
  <c r="M12" i="5" s="1"/>
  <c r="R12" i="5"/>
  <c r="S12" i="5" s="1"/>
  <c r="J22" i="5"/>
  <c r="H22" i="5"/>
  <c r="K18" i="5"/>
  <c r="K17" i="5"/>
  <c r="P6" i="5" l="1"/>
  <c r="Q6" i="5" s="1"/>
  <c r="O7" i="5"/>
  <c r="N7" i="5"/>
  <c r="P7" i="5" s="1"/>
  <c r="Q7" i="5" s="1"/>
  <c r="R15" i="5"/>
  <c r="S15" i="5" s="1"/>
  <c r="L15" i="5"/>
  <c r="M15" i="5" s="1"/>
  <c r="L16" i="5"/>
  <c r="M16" i="5" s="1"/>
  <c r="R16" i="5"/>
  <c r="S16" i="5" s="1"/>
  <c r="R17" i="5"/>
  <c r="S17" i="5" s="1"/>
  <c r="L17" i="5"/>
  <c r="M17" i="5" s="1"/>
  <c r="R18" i="5"/>
  <c r="S18" i="5" s="1"/>
  <c r="L18" i="5"/>
  <c r="M18" i="5" s="1"/>
  <c r="V6" i="5"/>
  <c r="W6" i="5" s="1"/>
  <c r="K22" i="5"/>
  <c r="K21" i="5"/>
  <c r="O8" i="5" l="1"/>
  <c r="N8" i="5"/>
  <c r="P8" i="5" s="1"/>
  <c r="Q8" i="5" s="1"/>
  <c r="L21" i="5"/>
  <c r="M21" i="5" s="1"/>
  <c r="R21" i="5"/>
  <c r="S21" i="5" s="1"/>
  <c r="R22" i="5"/>
  <c r="S22" i="5" s="1"/>
  <c r="L22" i="5"/>
  <c r="M22" i="5" s="1"/>
  <c r="U7" i="5"/>
  <c r="T7" i="5"/>
  <c r="V7" i="5" l="1"/>
  <c r="W7" i="5" s="1"/>
  <c r="U8" i="5"/>
  <c r="T8" i="5"/>
  <c r="V8" i="5" s="1"/>
  <c r="W8" i="5" s="1"/>
  <c r="O9" i="5"/>
  <c r="N9" i="5"/>
  <c r="P9" i="5" s="1"/>
  <c r="Q9" i="5" s="1"/>
  <c r="O10" i="5" l="1"/>
  <c r="N10" i="5"/>
  <c r="P10" i="5" s="1"/>
  <c r="Q10" i="5" s="1"/>
  <c r="U9" i="5"/>
  <c r="T9" i="5"/>
  <c r="V9" i="5" s="1"/>
  <c r="W9" i="5" s="1"/>
  <c r="U10" i="5" l="1"/>
  <c r="T10" i="5"/>
  <c r="V10" i="5" s="1"/>
  <c r="W10" i="5" s="1"/>
  <c r="O11" i="5"/>
  <c r="N11" i="5"/>
  <c r="P11" i="5" s="1"/>
  <c r="Q11" i="5" s="1"/>
  <c r="O12" i="5" l="1"/>
  <c r="N12" i="5"/>
  <c r="U11" i="5"/>
  <c r="T11" i="5"/>
  <c r="V11" i="5" s="1"/>
  <c r="W11" i="5" s="1"/>
  <c r="U12" i="5" l="1"/>
  <c r="T12" i="5"/>
  <c r="V12" i="5" s="1"/>
  <c r="W12" i="5" s="1"/>
  <c r="P12" i="5"/>
  <c r="Q12" i="5" s="1"/>
  <c r="O13" i="5" l="1"/>
  <c r="N13" i="5"/>
  <c r="P13" i="5" s="1"/>
  <c r="Q13" i="5" s="1"/>
  <c r="U13" i="5"/>
  <c r="T13" i="5"/>
  <c r="V13" i="5" s="1"/>
  <c r="W13" i="5" s="1"/>
  <c r="U14" i="5" l="1"/>
  <c r="T14" i="5"/>
  <c r="V14" i="5" s="1"/>
  <c r="W14" i="5" s="1"/>
  <c r="O14" i="5"/>
  <c r="N14" i="5"/>
  <c r="P14" i="5" s="1"/>
  <c r="Q14" i="5" s="1"/>
  <c r="O15" i="5" l="1"/>
  <c r="N15" i="5"/>
  <c r="P15" i="5" s="1"/>
  <c r="Q15" i="5" s="1"/>
  <c r="U15" i="5"/>
  <c r="T15" i="5"/>
  <c r="V15" i="5" s="1"/>
  <c r="W15" i="5" s="1"/>
  <c r="O16" i="5" l="1"/>
  <c r="N16" i="5"/>
  <c r="P16" i="5" s="1"/>
  <c r="Q16" i="5" s="1"/>
  <c r="U16" i="5"/>
  <c r="T16" i="5"/>
  <c r="V16" i="5" s="1"/>
  <c r="W16" i="5" s="1"/>
  <c r="U17" i="5" l="1"/>
  <c r="T17" i="5"/>
  <c r="V17" i="5" s="1"/>
  <c r="W17" i="5" s="1"/>
  <c r="O17" i="5"/>
  <c r="N17" i="5"/>
  <c r="P17" i="5" s="1"/>
  <c r="Q17" i="5" s="1"/>
  <c r="N18" i="5" l="1"/>
  <c r="O18" i="5"/>
  <c r="U18" i="5"/>
  <c r="T18" i="5"/>
  <c r="V18" i="5" s="1"/>
  <c r="W18" i="5" s="1"/>
  <c r="U19" i="5" l="1"/>
  <c r="T19" i="5"/>
  <c r="V19" i="5" s="1"/>
  <c r="W19" i="5" s="1"/>
  <c r="P18" i="5"/>
  <c r="Q18" i="5" s="1"/>
  <c r="U20" i="5" l="1"/>
  <c r="T20" i="5"/>
  <c r="V20" i="5" s="1"/>
  <c r="W20" i="5" s="1"/>
  <c r="O19" i="5"/>
  <c r="N19" i="5"/>
  <c r="P19" i="5" s="1"/>
  <c r="Q19" i="5" s="1"/>
  <c r="N20" i="5" l="1"/>
  <c r="O20" i="5"/>
  <c r="U21" i="5"/>
  <c r="T21" i="5"/>
  <c r="V21" i="5" s="1"/>
  <c r="W21" i="5" s="1"/>
  <c r="U22" i="5" l="1"/>
  <c r="T22" i="5"/>
  <c r="V22" i="5" s="1"/>
  <c r="W22" i="5" s="1"/>
  <c r="P20" i="5"/>
  <c r="Q20" i="5" s="1"/>
  <c r="U23" i="5" l="1"/>
  <c r="T23" i="5"/>
  <c r="O21" i="5"/>
  <c r="N21" i="5"/>
  <c r="P21" i="5" s="1"/>
  <c r="Q21" i="5" s="1"/>
  <c r="V23" i="5" l="1"/>
  <c r="W23" i="5" s="1"/>
  <c r="U26" i="5" a="1"/>
  <c r="U26" i="5" s="1"/>
  <c r="O22" i="5"/>
  <c r="N22" i="5"/>
  <c r="P22" i="5" s="1"/>
  <c r="Q22" i="5" s="1"/>
  <c r="O23" i="5" l="1"/>
  <c r="N23" i="5"/>
  <c r="P23" i="5" l="1"/>
  <c r="Q23" i="5" s="1"/>
  <c r="O26" i="5" a="1"/>
  <c r="O26" i="5" s="1"/>
  <c r="H31" i="6" l="1"/>
  <c r="H14" i="6"/>
  <c r="H13" i="6"/>
  <c r="G4" i="5" l="1"/>
  <c r="G5" i="5" s="1"/>
  <c r="G6" i="5" s="1"/>
  <c r="G7" i="5" s="1"/>
  <c r="G8" i="5" s="1"/>
  <c r="G9" i="5" s="1"/>
  <c r="G10" i="5" s="1"/>
  <c r="G11" i="5" s="1"/>
  <c r="G12" i="5" s="1"/>
  <c r="G13" i="5" s="1"/>
  <c r="F4" i="5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G14" i="5" l="1"/>
  <c r="G15" i="5" s="1"/>
  <c r="H48" i="6" l="1"/>
  <c r="G16" i="5"/>
  <c r="G17" i="5" s="1"/>
  <c r="G18" i="5" s="1"/>
  <c r="G19" i="5" s="1"/>
  <c r="G20" i="5" l="1"/>
  <c r="G21" i="5" s="1"/>
  <c r="G22" i="5" l="1"/>
  <c r="G23" i="5" s="1"/>
  <c r="H59" i="6" l="1"/>
  <c r="H60" i="6" l="1"/>
  <c r="H35" i="6" l="1"/>
  <c r="H39" i="6" l="1"/>
  <c r="H40" i="6" l="1"/>
  <c r="H61" i="6" l="1"/>
  <c r="H41" i="6" l="1"/>
  <c r="H64" i="6" l="1"/>
  <c r="H51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<sst xmlns="http://schemas.openxmlformats.org/spreadsheetml/2006/main" count="84" uniqueCount="66">
  <si>
    <t>Maturity (years)</t>
  </si>
  <si>
    <t>Coupon (annual payment)</t>
  </si>
  <si>
    <t>Dirty price</t>
  </si>
  <si>
    <t>floor</t>
  </si>
  <si>
    <t>margin</t>
  </si>
  <si>
    <t>Annuity</t>
  </si>
  <si>
    <t>Balance</t>
  </si>
  <si>
    <t>Instrument</t>
  </si>
  <si>
    <t>Zerobond</t>
  </si>
  <si>
    <t>Coupon bond</t>
  </si>
  <si>
    <t>swap rate 6M floating leg</t>
  </si>
  <si>
    <t>Payment period N</t>
  </si>
  <si>
    <t>Time (years)</t>
  </si>
  <si>
    <t>Zero rate</t>
  </si>
  <si>
    <t>DF "risk free"</t>
  </si>
  <si>
    <t>DF "risky"</t>
  </si>
  <si>
    <t>6M Fwds</t>
  </si>
  <si>
    <t>Interest CF</t>
  </si>
  <si>
    <t>Principal CF</t>
  </si>
  <si>
    <t>Deal</t>
  </si>
  <si>
    <t>with floor on coupon</t>
  </si>
  <si>
    <t>without floor on coupon</t>
  </si>
  <si>
    <t>market value</t>
  </si>
  <si>
    <t>Coupon (p.a)</t>
  </si>
  <si>
    <t>Coupon (per 0.5y)</t>
  </si>
  <si>
    <t>Open balance</t>
  </si>
  <si>
    <t>Task 1</t>
  </si>
  <si>
    <t>Consider the market instruments given in the sheet "Project 1" in cells A1-D13</t>
  </si>
  <si>
    <t xml:space="preserve">Bootstrap the market instruments to get the discount function at half-year time grid. </t>
  </si>
  <si>
    <t>Use linear interpolation between zero rates (annual compounding, 30/360 day count). Assume this curve to be “risk-free”</t>
  </si>
  <si>
    <t>Remark: you can not use excel “Yield” function for this exercise.  You have to iterate step by step.</t>
  </si>
  <si>
    <t>Your name</t>
  </si>
  <si>
    <t xml:space="preserve">Remark: In the column  I you see the values you should get by initial input data. Please do implementation without hard-coding. The check will be done by updated initial data. </t>
  </si>
  <si>
    <r>
      <t>Please fill the results here and save this template with the name Project1_</t>
    </r>
    <r>
      <rPr>
        <b/>
        <i/>
        <sz val="12"/>
        <color rgb="FFFF0000"/>
        <rFont val="Calibri"/>
        <family val="2"/>
        <scheme val="minor"/>
      </rPr>
      <t>YourName and then upload in Moodle</t>
    </r>
  </si>
  <si>
    <t>DF (5years)</t>
  </si>
  <si>
    <t xml:space="preserve">DF(7years) </t>
  </si>
  <si>
    <t>Task 2</t>
  </si>
  <si>
    <t xml:space="preserve">Assume you have a housing loan by Erste Bank with open balance 200 000 EUR. </t>
  </si>
  <si>
    <t>The interest coupon you pay is 6MEURIBOR+1% but you pay at least 1%; maturity of the loan = 10 years, reset and payments are done semiannually, amortization of principal is done by annuity payments.</t>
  </si>
  <si>
    <t>where K denotes open balance at the beginning of the period, R denotes interest rate for the period [t-1, t], n = number of residual periods until maturity.</t>
  </si>
  <si>
    <r>
      <t>Remark 1:</t>
    </r>
    <r>
      <rPr>
        <sz val="11"/>
        <color theme="1"/>
        <rFont val="Arial"/>
        <family val="2"/>
      </rPr>
      <t xml:space="preserve"> you compute annuity per period=0.5 year. </t>
    </r>
  </si>
  <si>
    <r>
      <t>Remark 2:</t>
    </r>
    <r>
      <rPr>
        <sz val="11"/>
        <color theme="1"/>
        <rFont val="Arial"/>
        <family val="2"/>
      </rPr>
      <t xml:space="preserve"> annuity amount should be constant for unchanged interest rate.</t>
    </r>
  </si>
  <si>
    <t>6MFWD at 5y</t>
  </si>
  <si>
    <t>The loan parameters are given in the sheet "Project 1", cells A16-B19</t>
  </si>
  <si>
    <t xml:space="preserve">Coupon fixed at 3y </t>
  </si>
  <si>
    <t>1. Compute 6M implied forwards for all reset dates</t>
  </si>
  <si>
    <t>2. Compute loan coupon rate (accounting for floor) for all reset dates</t>
  </si>
  <si>
    <t>3. For each reset date compute the annuity and split ii in the insterest and principal CF. Compute the open balance amortisation.</t>
  </si>
  <si>
    <t>Interest CF at 5Y</t>
  </si>
  <si>
    <t>Principal CF at 5Y</t>
  </si>
  <si>
    <t>Open balance at 7Y</t>
  </si>
  <si>
    <t>Risk premium</t>
  </si>
  <si>
    <t>Task 3</t>
  </si>
  <si>
    <t>1. Compute risky DFs assuming the risk premium 1% (sheet "Project 1", cell B20)  (assume annual compounding, 30/360 day count convention).</t>
  </si>
  <si>
    <t xml:space="preserve">DF risky at 5Y </t>
  </si>
  <si>
    <t>2. Compute the market value of this loan.</t>
  </si>
  <si>
    <t>Market value</t>
  </si>
  <si>
    <t>Compute the market value of the loan not accounting for the interest rate floor.</t>
  </si>
  <si>
    <t>Task 4</t>
  </si>
  <si>
    <t>1. Repeat the computations above (coupon, annuity, interest and principal CFs) for the case of no embedded floor.</t>
  </si>
  <si>
    <t>Interest CF at 1Y</t>
  </si>
  <si>
    <t>Principal CF at 1Y</t>
  </si>
  <si>
    <t>2. Compute the new market value of this loan without floor.</t>
  </si>
  <si>
    <t>Computed projected CF from your loan. The formula to compute annuity (installment) per period:</t>
  </si>
  <si>
    <t>Compute PV (= market value) of the loan adjusting risk-free discounting by risk premium</t>
  </si>
  <si>
    <t>István Baksa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</si>
</sst>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0.0000%"/>
    <numFmt numFmtId="166" formatCode="_-* #,##0\ _€_-;\-* #,##0\ _€_-;_-* &quot;-&quot;??\ _€_-;_-@_-"/>
    <numFmt numFmtId="167" formatCode="0.000000"/>
    <numFmt numFmtId="168" formatCode="0.00000"/>
    <numFmt numFmtId="169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Garamond"/>
      <family val="1"/>
    </font>
    <font>
      <b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 applyAlignment="1">
      <alignment horizontal="right" vertical="center"/>
    </xf>
    <xf numFmtId="165" fontId="0" fillId="0" borderId="0" xfId="2" applyNumberFormat="1" applyFont="1"/>
    <xf numFmtId="167" fontId="0" fillId="0" borderId="0" xfId="2" applyNumberFormat="1" applyFont="1"/>
    <xf numFmtId="0" fontId="2" fillId="0" borderId="2" xfId="0" applyFont="1" applyBorder="1"/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wrapText="1"/>
    </xf>
    <xf numFmtId="9" fontId="0" fillId="2" borderId="0" xfId="0" applyNumberFormat="1" applyFill="1"/>
    <xf numFmtId="0" fontId="0" fillId="0" borderId="2" xfId="0" applyBorder="1"/>
    <xf numFmtId="165" fontId="0" fillId="0" borderId="5" xfId="0" applyNumberFormat="1" applyBorder="1"/>
    <xf numFmtId="164" fontId="0" fillId="0" borderId="0" xfId="1" applyFont="1" applyFill="1" applyBorder="1"/>
    <xf numFmtId="166" fontId="0" fillId="0" borderId="6" xfId="1" applyNumberFormat="1" applyFont="1" applyFill="1" applyBorder="1"/>
    <xf numFmtId="166" fontId="0" fillId="0" borderId="0" xfId="1" applyNumberFormat="1" applyFont="1" applyFill="1" applyBorder="1"/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/>
    </xf>
    <xf numFmtId="165" fontId="0" fillId="0" borderId="2" xfId="2" applyNumberFormat="1" applyFont="1" applyBorder="1"/>
    <xf numFmtId="167" fontId="0" fillId="0" borderId="2" xfId="2" applyNumberFormat="1" applyFont="1" applyBorder="1"/>
    <xf numFmtId="165" fontId="0" fillId="0" borderId="3" xfId="0" applyNumberFormat="1" applyBorder="1"/>
    <xf numFmtId="166" fontId="0" fillId="0" borderId="2" xfId="1" applyNumberFormat="1" applyFont="1" applyFill="1" applyBorder="1"/>
    <xf numFmtId="166" fontId="0" fillId="0" borderId="4" xfId="1" applyNumberFormat="1" applyFont="1" applyFill="1" applyBorder="1"/>
    <xf numFmtId="166" fontId="0" fillId="2" borderId="6" xfId="1" applyNumberFormat="1" applyFont="1" applyFill="1" applyBorder="1"/>
    <xf numFmtId="165" fontId="0" fillId="0" borderId="0" xfId="0" applyNumberFormat="1"/>
    <xf numFmtId="165" fontId="0" fillId="0" borderId="2" xfId="0" applyNumberFormat="1" applyBorder="1"/>
    <xf numFmtId="166" fontId="0" fillId="2" borderId="0" xfId="1" applyNumberFormat="1" applyFont="1" applyFill="1" applyAlignment="1"/>
    <xf numFmtId="0" fontId="5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0" fillId="2" borderId="0" xfId="0" applyFill="1"/>
    <xf numFmtId="0" fontId="4" fillId="2" borderId="0" xfId="0" applyFont="1" applyFill="1" applyAlignment="1">
      <alignment horizontal="right" vertical="center"/>
    </xf>
    <xf numFmtId="0" fontId="6" fillId="0" borderId="0" xfId="0" applyFont="1"/>
    <xf numFmtId="0" fontId="0" fillId="3" borderId="0" xfId="0" applyFill="1"/>
    <xf numFmtId="168" fontId="0" fillId="0" borderId="0" xfId="0" applyNumberFormat="1"/>
    <xf numFmtId="169" fontId="0" fillId="0" borderId="0" xfId="0" applyNumberFormat="1"/>
    <xf numFmtId="10" fontId="0" fillId="0" borderId="0" xfId="0" applyNumberFormat="1"/>
    <xf numFmtId="10" fontId="0" fillId="4" borderId="0" xfId="2" applyNumberFormat="1" applyFont="1" applyFill="1"/>
    <xf numFmtId="4" fontId="0" fillId="0" borderId="0" xfId="0" applyNumberFormat="1"/>
    <xf numFmtId="168" fontId="0" fillId="4" borderId="0" xfId="0" applyNumberFormat="1" applyFill="1"/>
    <xf numFmtId="166" fontId="0" fillId="0" borderId="0" xfId="0" applyNumberFormat="1"/>
    <xf numFmtId="166" fontId="0" fillId="4" borderId="0" xfId="1" applyNumberFormat="1" applyFont="1" applyFill="1"/>
    <xf numFmtId="164" fontId="0" fillId="0" borderId="2" xfId="1" applyFont="1" applyFill="1" applyBorder="1"/>
    <xf numFmtId="10" fontId="4" fillId="2" borderId="0" xfId="0" applyNumberFormat="1" applyFont="1" applyFill="1" applyAlignment="1">
      <alignment horizontal="right" vertical="center"/>
    </xf>
    <xf numFmtId="0" fontId="2" fillId="0" borderId="2" xfId="0" applyFont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2" xfId="0" applyNumberFormat="1" applyBorder="1"/>
    <xf numFmtId="4" fontId="0" fillId="4" borderId="0" xfId="1" applyNumberFormat="1" applyFont="1" applyFill="1"/>
    <xf numFmtId="169" fontId="0" fillId="4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466725</xdr:colOff>
          <xdr:row>21</xdr:row>
          <xdr:rowOff>38100</xdr:rowOff>
        </xdr:from>
        <xdr:to>
          <xdr:col>4</xdr:col>
          <xdr:colOff>523875</xdr:colOff>
          <xdr:row>23</xdr:row>
          <xdr:rowOff>171450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904875</xdr:colOff>
      <xdr:row>27</xdr:row>
      <xdr:rowOff>52387</xdr:rowOff>
    </xdr:from>
    <xdr:ext cx="1845955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4905375" y="5224462"/>
              <a:ext cx="184595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AT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de-AT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de-AT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AT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de-AT" sz="1100" b="0" i="1">
                            <a:latin typeface="Cambria Math" panose="02040503050406030204" pitchFamily="18" charset="0"/>
                          </a:rPr>
                          <m:t>+6</m:t>
                        </m:r>
                        <m:r>
                          <a:rPr lang="de-AT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</m:sSub>
                    <m:r>
                      <a:rPr lang="de-AT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de-AT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de-A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de-A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AT" sz="1100" b="0" i="1">
                                    <a:latin typeface="Cambria Math" panose="02040503050406030204" pitchFamily="18" charset="0"/>
                                  </a:rPr>
                                  <m:t>𝐷𝐹</m:t>
                                </m:r>
                              </m:e>
                              <m:sub>
                                <m:r>
                                  <a:rPr lang="de-AT" sz="1100" b="0" i="1">
                                    <a:latin typeface="Cambria Math" panose="02040503050406030204" pitchFamily="18" charset="0"/>
                                  </a:rPr>
                                  <m:t>0,</m:t>
                                </m:r>
                                <m:r>
                                  <a:rPr lang="de-AT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de-A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A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𝐷𝐹</m:t>
                                </m:r>
                              </m:e>
                              <m:sub>
                                <m:r>
                                  <a:rPr lang="de-A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0,</m:t>
                                </m:r>
                                <m:r>
                                  <a:rPr lang="de-A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r>
                                  <a:rPr lang="de-A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+6</m:t>
                                </m:r>
                                <m:r>
                                  <a:rPr lang="de-A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sub>
                            </m:sSub>
                          </m:den>
                        </m:f>
                        <m:r>
                          <a:rPr lang="de-AT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lang="de-AT" sz="1100" b="0" i="1">
                        <a:latin typeface="Cambria Math" panose="02040503050406030204" pitchFamily="18" charset="0"/>
                      </a:rPr>
                      <m:t>/0.5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79A551A-683F-4C88-9C7A-B9DE586D71FE}"/>
                </a:ext>
              </a:extLst>
            </xdr:cNvPr>
            <xdr:cNvSpPr txBox="1"/>
          </xdr:nvSpPr>
          <xdr:spPr>
            <a:xfrm>
              <a:off x="4905375" y="5224462"/>
              <a:ext cx="184595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AT" sz="1100" b="0" i="0">
                  <a:latin typeface="Cambria Math" panose="02040503050406030204" pitchFamily="18" charset="0"/>
                </a:rPr>
                <a:t>𝐹</a:t>
              </a:r>
              <a:r>
                <a:rPr lang="en-GB" sz="1100" b="0" i="0">
                  <a:latin typeface="Cambria Math" panose="02040503050406030204" pitchFamily="18" charset="0"/>
                </a:rPr>
                <a:t>_(</a:t>
              </a:r>
              <a:r>
                <a:rPr lang="de-AT" sz="1100" b="0" i="0">
                  <a:latin typeface="Cambria Math" panose="02040503050406030204" pitchFamily="18" charset="0"/>
                </a:rPr>
                <a:t>𝑡,𝑡+6𝑀</a:t>
              </a:r>
              <a:r>
                <a:rPr lang="en-GB" sz="1100" b="0" i="0">
                  <a:latin typeface="Cambria Math" panose="02040503050406030204" pitchFamily="18" charset="0"/>
                </a:rPr>
                <a:t>)</a:t>
              </a:r>
              <a:r>
                <a:rPr lang="de-AT" sz="1100" b="0" i="0">
                  <a:latin typeface="Cambria Math" panose="02040503050406030204" pitchFamily="18" charset="0"/>
                </a:rPr>
                <a:t>=(〖𝐷𝐹〗_(0,𝑡)/</a:t>
              </a:r>
              <a:r>
                <a:rPr lang="de-A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〖𝐷𝐹〗_(0,𝑡</a:t>
              </a:r>
              <a:r>
                <a:rPr lang="de-A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+6𝑀</a:t>
              </a:r>
              <a:r>
                <a:rPr lang="de-A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A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de-AT" sz="1100" b="0" i="0">
                  <a:latin typeface="Cambria Math" panose="02040503050406030204" pitchFamily="18" charset="0"/>
                </a:rPr>
                <a:t>−1)/0.5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D3A2-ADC0-4474-8A67-8ED2FF0BF58B}">
  <dimension ref="A1:I64"/>
  <sheetViews>
    <sheetView tabSelected="1" workbookViewId="0">
      <selection activeCell="D1" sqref="D1"/>
    </sheetView>
  </sheetViews>
  <sheetFormatPr defaultRowHeight="15" x14ac:dyDescent="0.25"/>
  <cols>
    <col min="1" max="1" width="14.28515625" customWidth="1"/>
    <col min="2" max="2" width="11.7109375" bestFit="1" customWidth="1"/>
    <col min="7" max="7" width="18.140625" customWidth="1"/>
    <col min="8" max="8" width="12.42578125" customWidth="1"/>
    <col min="9" max="9" width="11" bestFit="1" customWidth="1"/>
  </cols>
  <sheetData>
    <row r="1" spans="1:9" x14ac:dyDescent="0.25">
      <c r="A1" s="27" t="s">
        <v>31</v>
      </c>
      <c r="B1" s="33" t="s">
        <v>65</v>
      </c>
    </row>
    <row r="3" spans="1:9" ht="15.75" x14ac:dyDescent="0.25">
      <c r="A3" s="32" t="s">
        <v>32</v>
      </c>
    </row>
    <row r="4" spans="1:9" ht="15.75" x14ac:dyDescent="0.25">
      <c r="A4" s="32" t="s">
        <v>33</v>
      </c>
    </row>
    <row r="6" spans="1:9" x14ac:dyDescent="0.25">
      <c r="A6" s="44" t="s">
        <v>26</v>
      </c>
      <c r="B6" s="44"/>
      <c r="C6" s="44"/>
      <c r="D6" s="44"/>
      <c r="E6" s="44"/>
      <c r="F6" s="44"/>
      <c r="G6" s="44"/>
      <c r="H6" s="44"/>
    </row>
    <row r="7" spans="1:9" ht="15.75" x14ac:dyDescent="0.25">
      <c r="A7" t="s">
        <v>27</v>
      </c>
      <c r="B7" s="26"/>
      <c r="H7" s="27"/>
    </row>
    <row r="8" spans="1:9" x14ac:dyDescent="0.25">
      <c r="A8" t="s">
        <v>28</v>
      </c>
    </row>
    <row r="9" spans="1:9" x14ac:dyDescent="0.25">
      <c r="A9" t="s">
        <v>29</v>
      </c>
    </row>
    <row r="11" spans="1:9" x14ac:dyDescent="0.25">
      <c r="A11" t="s">
        <v>30</v>
      </c>
    </row>
    <row r="13" spans="1:9" x14ac:dyDescent="0.25">
      <c r="G13" t="s">
        <v>34</v>
      </c>
      <c r="H13" s="50">
        <f>'Project 1'!H13</f>
        <v>0.98268199999999994</v>
      </c>
      <c r="I13" s="35">
        <v>0.98268199999999994</v>
      </c>
    </row>
    <row r="14" spans="1:9" x14ac:dyDescent="0.25">
      <c r="G14" t="s">
        <v>35</v>
      </c>
      <c r="H14" s="50">
        <f>'Project 1'!H17</f>
        <v>0.95234342351078705</v>
      </c>
      <c r="I14" s="35">
        <v>0.95234342351078716</v>
      </c>
    </row>
    <row r="16" spans="1:9" x14ac:dyDescent="0.25">
      <c r="A16" s="44" t="s">
        <v>36</v>
      </c>
      <c r="B16" s="44"/>
      <c r="C16" s="44"/>
      <c r="D16" s="44"/>
      <c r="E16" s="44"/>
      <c r="F16" s="44"/>
      <c r="G16" s="44"/>
      <c r="H16" s="44"/>
    </row>
    <row r="17" spans="1:9" x14ac:dyDescent="0.25">
      <c r="A17" t="s">
        <v>37</v>
      </c>
    </row>
    <row r="18" spans="1:9" x14ac:dyDescent="0.25">
      <c r="A18" t="s">
        <v>38</v>
      </c>
    </row>
    <row r="19" spans="1:9" x14ac:dyDescent="0.25">
      <c r="A19" t="s">
        <v>43</v>
      </c>
    </row>
    <row r="21" spans="1:9" x14ac:dyDescent="0.25">
      <c r="A21" t="s">
        <v>63</v>
      </c>
    </row>
    <row r="23" spans="1:9" x14ac:dyDescent="0.25">
      <c r="H23" t="s">
        <v>39</v>
      </c>
    </row>
    <row r="25" spans="1:9" x14ac:dyDescent="0.25">
      <c r="A25" t="s">
        <v>40</v>
      </c>
    </row>
    <row r="26" spans="1:9" x14ac:dyDescent="0.25">
      <c r="A26" t="s">
        <v>41</v>
      </c>
    </row>
    <row r="29" spans="1:9" x14ac:dyDescent="0.25">
      <c r="C29" t="s">
        <v>45</v>
      </c>
    </row>
    <row r="31" spans="1:9" x14ac:dyDescent="0.25">
      <c r="G31" t="s">
        <v>42</v>
      </c>
      <c r="H31" s="37">
        <f>'Project 1'!K13</f>
        <v>1.1746238882987647E-2</v>
      </c>
      <c r="I31" s="36">
        <v>1.1746238882984539E-2</v>
      </c>
    </row>
    <row r="33" spans="1:9" x14ac:dyDescent="0.25">
      <c r="C33" t="s">
        <v>46</v>
      </c>
    </row>
    <row r="35" spans="1:9" x14ac:dyDescent="0.25">
      <c r="G35" t="s">
        <v>44</v>
      </c>
      <c r="H35" s="37">
        <f>'Project 1'!L9</f>
        <v>2.428762627717717E-2</v>
      </c>
      <c r="I35" s="36">
        <v>2.4287626277178058E-2</v>
      </c>
    </row>
    <row r="37" spans="1:9" x14ac:dyDescent="0.25">
      <c r="C37" t="s">
        <v>47</v>
      </c>
    </row>
    <row r="39" spans="1:9" x14ac:dyDescent="0.25">
      <c r="G39" t="s">
        <v>48</v>
      </c>
      <c r="H39" s="49">
        <f>'Project 1'!O13</f>
        <v>638.64137644757238</v>
      </c>
      <c r="I39" s="38">
        <v>638.64137644754715</v>
      </c>
    </row>
    <row r="40" spans="1:9" x14ac:dyDescent="0.25">
      <c r="G40" t="s">
        <v>49</v>
      </c>
      <c r="H40" s="49">
        <f>'Project 1'!P13</f>
        <v>10031.694730459649</v>
      </c>
      <c r="I40" s="38">
        <v>10031.694730459742</v>
      </c>
    </row>
    <row r="41" spans="1:9" x14ac:dyDescent="0.25">
      <c r="G41" t="s">
        <v>50</v>
      </c>
      <c r="H41" s="49">
        <f>'Project 1'!Q17</f>
        <v>63665.787930815248</v>
      </c>
      <c r="I41" s="38">
        <v>63665.787930815088</v>
      </c>
    </row>
    <row r="43" spans="1:9" x14ac:dyDescent="0.25">
      <c r="A43" s="44" t="s">
        <v>52</v>
      </c>
      <c r="B43" s="44"/>
      <c r="C43" s="44"/>
      <c r="D43" s="44"/>
      <c r="E43" s="44"/>
      <c r="F43" s="44"/>
      <c r="G43" s="44"/>
      <c r="H43" s="44"/>
    </row>
    <row r="44" spans="1:9" x14ac:dyDescent="0.25">
      <c r="A44" t="s">
        <v>64</v>
      </c>
    </row>
    <row r="46" spans="1:9" x14ac:dyDescent="0.25">
      <c r="C46" t="s">
        <v>53</v>
      </c>
    </row>
    <row r="48" spans="1:9" x14ac:dyDescent="0.25">
      <c r="G48" t="s">
        <v>54</v>
      </c>
      <c r="H48" s="39">
        <f>'Project 1'!J13</f>
        <v>0.93514966186847948</v>
      </c>
      <c r="I48" s="34">
        <v>0.93514966186847948</v>
      </c>
    </row>
    <row r="50" spans="1:9" x14ac:dyDescent="0.25">
      <c r="C50" t="s">
        <v>55</v>
      </c>
    </row>
    <row r="51" spans="1:9" x14ac:dyDescent="0.25">
      <c r="G51" t="s">
        <v>56</v>
      </c>
      <c r="H51" s="41">
        <f>'Project 1'!O26</f>
        <v>200522.37875877912</v>
      </c>
      <c r="I51" s="40">
        <v>200522.378758779</v>
      </c>
    </row>
    <row r="54" spans="1:9" x14ac:dyDescent="0.25">
      <c r="A54" s="44" t="s">
        <v>58</v>
      </c>
      <c r="B54" s="44"/>
      <c r="C54" s="44"/>
      <c r="D54" s="44"/>
      <c r="E54" s="44"/>
      <c r="F54" s="44"/>
      <c r="G54" s="44"/>
      <c r="H54" s="44"/>
    </row>
    <row r="55" spans="1:9" x14ac:dyDescent="0.25">
      <c r="A55" t="s">
        <v>57</v>
      </c>
    </row>
    <row r="57" spans="1:9" x14ac:dyDescent="0.25">
      <c r="C57" t="s">
        <v>59</v>
      </c>
    </row>
    <row r="59" spans="1:9" x14ac:dyDescent="0.25">
      <c r="G59" t="s">
        <v>60</v>
      </c>
      <c r="H59" s="41">
        <f>'Project 1'!U5</f>
        <v>818.32527717735547</v>
      </c>
      <c r="I59" s="40">
        <v>818.32527717735547</v>
      </c>
    </row>
    <row r="60" spans="1:9" x14ac:dyDescent="0.25">
      <c r="G60" t="s">
        <v>61</v>
      </c>
      <c r="H60" s="41">
        <f>'Project 1'!V5</f>
        <v>9635.1975079978074</v>
      </c>
      <c r="I60" s="40">
        <v>9635.1975079978074</v>
      </c>
    </row>
    <row r="61" spans="1:9" x14ac:dyDescent="0.25">
      <c r="G61" t="s">
        <v>50</v>
      </c>
      <c r="H61" s="41">
        <f>'Project 1'!W17</f>
        <v>63591.877967579174</v>
      </c>
      <c r="I61" s="40">
        <v>63591.877967579028</v>
      </c>
    </row>
    <row r="63" spans="1:9" x14ac:dyDescent="0.25">
      <c r="C63" t="s">
        <v>62</v>
      </c>
    </row>
    <row r="64" spans="1:9" x14ac:dyDescent="0.25">
      <c r="G64" t="s">
        <v>56</v>
      </c>
      <c r="H64" s="41">
        <f>'Project 1'!U26</f>
        <v>200055.23151755071</v>
      </c>
      <c r="I64" s="40">
        <v>200055.23151755062</v>
      </c>
    </row>
  </sheetData>
  <mergeCells count="4">
    <mergeCell ref="A6:H6"/>
    <mergeCell ref="A16:H16"/>
    <mergeCell ref="A43:H43"/>
    <mergeCell ref="A54:H5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6145" r:id="rId4">
          <objectPr defaultSize="0" autoPict="0" r:id="rId5">
            <anchor moveWithCells="1" sizeWithCells="1">
              <from>
                <xdr:col>0</xdr:col>
                <xdr:colOff>466725</xdr:colOff>
                <xdr:row>21</xdr:row>
                <xdr:rowOff>38100</xdr:rowOff>
              </from>
              <to>
                <xdr:col>4</xdr:col>
                <xdr:colOff>523875</xdr:colOff>
                <xdr:row>23</xdr:row>
                <xdr:rowOff>171450</xdr:rowOff>
              </to>
            </anchor>
          </objectPr>
        </oleObject>
      </mc:Choice>
      <mc:Fallback>
        <oleObject progId="Equation.3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26"/>
  <sheetViews>
    <sheetView topLeftCell="G1" workbookViewId="0">
      <selection activeCell="K24" sqref="K24"/>
    </sheetView>
  </sheetViews>
  <sheetFormatPr defaultRowHeight="15" x14ac:dyDescent="0.25"/>
  <cols>
    <col min="1" max="1" width="15.5703125" customWidth="1"/>
    <col min="2" max="2" width="10.42578125" bestFit="1" customWidth="1"/>
    <col min="3" max="3" width="14.42578125" customWidth="1"/>
    <col min="4" max="4" width="14.7109375" customWidth="1"/>
    <col min="6" max="6" width="12.28515625" customWidth="1"/>
    <col min="7" max="7" width="11.42578125" customWidth="1"/>
    <col min="8" max="8" width="16.28515625" customWidth="1"/>
    <col min="9" max="9" width="12.28515625" customWidth="1"/>
    <col min="10" max="10" width="12.140625" customWidth="1"/>
    <col min="11" max="11" width="12.5703125" customWidth="1"/>
    <col min="12" max="12" width="14.7109375" customWidth="1"/>
    <col min="13" max="13" width="18.28515625" bestFit="1" customWidth="1"/>
    <col min="14" max="14" width="15.7109375" customWidth="1"/>
    <col min="15" max="15" width="13.140625" bestFit="1" customWidth="1"/>
    <col min="16" max="16" width="11.85546875" bestFit="1" customWidth="1"/>
    <col min="17" max="17" width="10.42578125" bestFit="1" customWidth="1"/>
    <col min="18" max="19" width="15.28515625" bestFit="1" customWidth="1"/>
    <col min="20" max="20" width="19.42578125" bestFit="1" customWidth="1"/>
    <col min="21" max="21" width="12.42578125" customWidth="1"/>
    <col min="22" max="22" width="9.42578125" bestFit="1" customWidth="1"/>
    <col min="23" max="23" width="10.42578125" bestFit="1" customWidth="1"/>
  </cols>
  <sheetData>
    <row r="1" spans="1:23" ht="48" thickBot="1" x14ac:dyDescent="0.3">
      <c r="A1" s="28" t="s">
        <v>7</v>
      </c>
      <c r="B1" s="28" t="s">
        <v>0</v>
      </c>
      <c r="C1" s="28" t="s">
        <v>1</v>
      </c>
      <c r="D1" s="29" t="s">
        <v>2</v>
      </c>
      <c r="E1" s="5"/>
      <c r="F1" s="6"/>
      <c r="G1" s="6"/>
      <c r="H1" s="6"/>
      <c r="I1" s="6"/>
      <c r="J1" s="6"/>
      <c r="K1" s="6"/>
      <c r="L1" s="45" t="s">
        <v>20</v>
      </c>
      <c r="M1" s="46"/>
      <c r="N1" s="46"/>
      <c r="O1" s="46"/>
      <c r="P1" s="46"/>
      <c r="Q1" s="47"/>
      <c r="R1" s="45" t="s">
        <v>21</v>
      </c>
      <c r="S1" s="46"/>
      <c r="T1" s="46"/>
      <c r="U1" s="46"/>
      <c r="V1" s="46"/>
      <c r="W1" s="47"/>
    </row>
    <row r="2" spans="1:23" ht="28.15" customHeight="1" x14ac:dyDescent="0.25">
      <c r="A2" s="30" t="s">
        <v>8</v>
      </c>
      <c r="B2" s="31">
        <v>0.5</v>
      </c>
      <c r="C2" s="31">
        <v>0</v>
      </c>
      <c r="D2" s="31">
        <v>100.1503</v>
      </c>
      <c r="E2" s="1"/>
      <c r="F2" s="13" t="s">
        <v>11</v>
      </c>
      <c r="G2" s="13" t="s">
        <v>12</v>
      </c>
      <c r="H2" s="13" t="s">
        <v>14</v>
      </c>
      <c r="I2" s="13" t="s">
        <v>13</v>
      </c>
      <c r="J2" s="13" t="s">
        <v>15</v>
      </c>
      <c r="K2" s="13" t="s">
        <v>16</v>
      </c>
      <c r="L2" s="14" t="s">
        <v>23</v>
      </c>
      <c r="M2" s="13" t="s">
        <v>24</v>
      </c>
      <c r="N2" s="13" t="s">
        <v>5</v>
      </c>
      <c r="O2" s="13" t="s">
        <v>17</v>
      </c>
      <c r="P2" s="13" t="s">
        <v>18</v>
      </c>
      <c r="Q2" s="15" t="s">
        <v>6</v>
      </c>
      <c r="R2" s="14" t="s">
        <v>23</v>
      </c>
      <c r="S2" s="13" t="s">
        <v>24</v>
      </c>
      <c r="T2" s="13" t="s">
        <v>5</v>
      </c>
      <c r="U2" s="13" t="s">
        <v>17</v>
      </c>
      <c r="V2" s="13" t="s">
        <v>18</v>
      </c>
      <c r="W2" s="15" t="s">
        <v>6</v>
      </c>
    </row>
    <row r="3" spans="1:23" ht="15.75" x14ac:dyDescent="0.25">
      <c r="A3" s="30" t="s">
        <v>8</v>
      </c>
      <c r="B3" s="31">
        <v>1</v>
      </c>
      <c r="C3" s="31">
        <v>0</v>
      </c>
      <c r="D3" s="31">
        <v>100.2205</v>
      </c>
      <c r="E3" s="1"/>
      <c r="F3" s="1">
        <v>0</v>
      </c>
      <c r="G3" s="1">
        <v>0</v>
      </c>
      <c r="H3" s="1">
        <v>1</v>
      </c>
      <c r="I3" s="1"/>
      <c r="J3" s="1">
        <v>1</v>
      </c>
      <c r="K3" s="2">
        <f>(H3/H4-1)/0.5</f>
        <v>-3.0014887623901476E-3</v>
      </c>
      <c r="L3" s="9">
        <f>MAX($B$18,K3+$B$17)</f>
        <v>0.01</v>
      </c>
      <c r="M3" s="23">
        <f>L3/2</f>
        <v>5.0000000000000001E-3</v>
      </c>
      <c r="N3" s="10"/>
      <c r="Q3" s="22">
        <f>B19</f>
        <v>200000</v>
      </c>
      <c r="R3" s="9">
        <f xml:space="preserve"> K3+$B$17</f>
        <v>6.9985112376098526E-3</v>
      </c>
      <c r="S3" s="23">
        <f>R3/2</f>
        <v>3.4992556188049263E-3</v>
      </c>
      <c r="T3" s="10"/>
      <c r="W3" s="22">
        <f>Q3</f>
        <v>200000</v>
      </c>
    </row>
    <row r="4" spans="1:23" ht="15.75" x14ac:dyDescent="0.25">
      <c r="A4" s="30" t="s">
        <v>9</v>
      </c>
      <c r="B4" s="31">
        <v>2</v>
      </c>
      <c r="C4" s="31">
        <v>5</v>
      </c>
      <c r="D4" s="31">
        <v>110.2213</v>
      </c>
      <c r="E4" s="1"/>
      <c r="F4" s="1">
        <f>F3+1</f>
        <v>1</v>
      </c>
      <c r="G4">
        <f>G3+0.5</f>
        <v>0.5</v>
      </c>
      <c r="H4">
        <f>D2/100</f>
        <v>1.001503</v>
      </c>
      <c r="I4" s="2">
        <f>1/H4^(1/G4)-1</f>
        <v>-2.9992365286926059E-3</v>
      </c>
      <c r="J4" s="3">
        <f>1/(1+I4+$B$20)^G4</f>
        <v>0.9965178907029113</v>
      </c>
      <c r="K4" s="2">
        <f t="shared" ref="K4:K23" si="0">(H4/H5-1)/0.5</f>
        <v>-1.4009109912642703E-3</v>
      </c>
      <c r="L4" s="9">
        <f t="shared" ref="L4:L23" si="1">MAX($B$18,K4+$B$17)</f>
        <v>0.01</v>
      </c>
      <c r="M4" s="23">
        <f t="shared" ref="M4:M23" si="2">L4/2</f>
        <v>5.0000000000000001E-3</v>
      </c>
      <c r="N4" s="10">
        <f>Q3*(1+M3)^($F$23-F3)*M3/((1+M3)^($F$23-F3)-1)</f>
        <v>10533.290409564863</v>
      </c>
      <c r="O4" s="12">
        <f>Q3*M3</f>
        <v>1000</v>
      </c>
      <c r="P4" s="12">
        <f>N4-O4</f>
        <v>9533.2904095648628</v>
      </c>
      <c r="Q4" s="11">
        <f>Q3-P4</f>
        <v>190466.70959043514</v>
      </c>
      <c r="R4" s="9">
        <f t="shared" ref="R4:R23" si="3" xml:space="preserve"> K4+$B$17</f>
        <v>8.5990890087357299E-3</v>
      </c>
      <c r="S4" s="23">
        <f t="shared" ref="S4:S23" si="4">R4/2</f>
        <v>4.2995445043678649E-3</v>
      </c>
      <c r="T4" s="10">
        <f>W3*(1+S3)^($F$23-F3)*S3/((1+S3)^($F$23-F3)-1)</f>
        <v>10371.485794357635</v>
      </c>
      <c r="U4" s="12">
        <f>W3*S3</f>
        <v>699.85112376098527</v>
      </c>
      <c r="V4" s="12">
        <f>T4-U4</f>
        <v>9671.6346705966498</v>
      </c>
      <c r="W4" s="11">
        <f>W3-V4</f>
        <v>190328.36532940334</v>
      </c>
    </row>
    <row r="5" spans="1:23" ht="15.75" x14ac:dyDescent="0.25">
      <c r="A5" s="30" t="s">
        <v>10</v>
      </c>
      <c r="B5" s="31">
        <v>3</v>
      </c>
      <c r="C5" s="43">
        <v>-1E-4</v>
      </c>
      <c r="D5" s="31"/>
      <c r="E5" s="1"/>
      <c r="F5" s="1">
        <f t="shared" ref="F5:F23" si="5">F4+1</f>
        <v>2</v>
      </c>
      <c r="G5">
        <f t="shared" ref="G5:G23" si="6">G4+0.5</f>
        <v>1</v>
      </c>
      <c r="H5">
        <f>D3/100</f>
        <v>1.002205</v>
      </c>
      <c r="I5" s="2">
        <f t="shared" ref="I5:I23" si="7">1/H5^(1/G5)-1</f>
        <v>-2.2001486721778818E-3</v>
      </c>
      <c r="J5" s="3">
        <f>1/(1+I5+$B$20)^G5</f>
        <v>0.99226051550062699</v>
      </c>
      <c r="K5" s="2">
        <f>(H5/H6-1)/0.5</f>
        <v>-3.9859431742272911E-4</v>
      </c>
      <c r="L5" s="9">
        <f t="shared" si="1"/>
        <v>0.01</v>
      </c>
      <c r="M5" s="23">
        <f t="shared" si="2"/>
        <v>5.0000000000000001E-3</v>
      </c>
      <c r="N5" s="10">
        <f t="shared" ref="N5:N23" si="8">Q4*(1+M4)^($F$23-F4)*M4/((1+M4)^($F$23-F4)-1)</f>
        <v>10533.290409564852</v>
      </c>
      <c r="O5" s="12">
        <f t="shared" ref="O5:O23" si="9">Q4*M4</f>
        <v>952.33354795217576</v>
      </c>
      <c r="P5" s="12">
        <f t="shared" ref="P5:P23" si="10">N5-O5</f>
        <v>9580.9568616126762</v>
      </c>
      <c r="Q5" s="11">
        <f t="shared" ref="Q5:Q23" si="11">Q4-P5</f>
        <v>180885.75272882247</v>
      </c>
      <c r="R5" s="9">
        <f t="shared" si="3"/>
        <v>9.6014056825772711E-3</v>
      </c>
      <c r="S5" s="23">
        <f t="shared" si="4"/>
        <v>4.8007028412886356E-3</v>
      </c>
      <c r="T5" s="10">
        <f t="shared" ref="T5:T23" si="12">W4*(1+S4)^($F$23-F4)*S4/((1+S4)^($F$23-F4)-1)</f>
        <v>10453.522785175162</v>
      </c>
      <c r="U5" s="12">
        <f t="shared" ref="U5:U23" si="13">W4*S4</f>
        <v>818.32527717735547</v>
      </c>
      <c r="V5" s="12">
        <f t="shared" ref="V5:V23" si="14">T5-U5</f>
        <v>9635.1975079978074</v>
      </c>
      <c r="W5" s="11">
        <f t="shared" ref="W5:W23" si="15">W4-V5</f>
        <v>180693.16782140554</v>
      </c>
    </row>
    <row r="6" spans="1:23" ht="15.75" x14ac:dyDescent="0.25">
      <c r="A6" s="30" t="s">
        <v>9</v>
      </c>
      <c r="B6" s="31">
        <v>4</v>
      </c>
      <c r="C6" s="31">
        <v>3</v>
      </c>
      <c r="D6" s="31">
        <v>110.3819</v>
      </c>
      <c r="E6" s="1"/>
      <c r="F6" s="1">
        <f t="shared" si="5"/>
        <v>3</v>
      </c>
      <c r="G6">
        <f t="shared" si="6"/>
        <v>1.5</v>
      </c>
      <c r="H6">
        <f>1/(1+I6)^G6</f>
        <v>1.00240477642382</v>
      </c>
      <c r="I6" s="2">
        <f>(I5+I7)/2</f>
        <v>-1.5999783851439742E-3</v>
      </c>
      <c r="J6" s="3">
        <f t="shared" ref="J6:J22" si="16">1/(1+I6+$B$20)^G6</f>
        <v>0.98753098384881322</v>
      </c>
      <c r="K6" s="2">
        <f t="shared" si="0"/>
        <v>8.0270723560227353E-4</v>
      </c>
      <c r="L6" s="9">
        <f t="shared" si="1"/>
        <v>1.0802707235602274E-2</v>
      </c>
      <c r="M6" s="23">
        <f t="shared" si="2"/>
        <v>5.4013536178011369E-3</v>
      </c>
      <c r="N6" s="10">
        <f t="shared" si="8"/>
        <v>10533.290409564843</v>
      </c>
      <c r="O6" s="12">
        <f t="shared" si="9"/>
        <v>904.42876364411234</v>
      </c>
      <c r="P6" s="12">
        <f t="shared" si="10"/>
        <v>9628.8616459207296</v>
      </c>
      <c r="Q6" s="11">
        <f t="shared" si="11"/>
        <v>171256.89108290174</v>
      </c>
      <c r="R6" s="9">
        <f t="shared" si="3"/>
        <v>1.0802707235602274E-2</v>
      </c>
      <c r="S6" s="23">
        <f t="shared" si="4"/>
        <v>5.4013536178011369E-3</v>
      </c>
      <c r="T6" s="10">
        <f t="shared" si="12"/>
        <v>10502.54400907431</v>
      </c>
      <c r="U6" s="12">
        <f t="shared" si="13"/>
        <v>867.45420416166587</v>
      </c>
      <c r="V6" s="12">
        <f t="shared" si="14"/>
        <v>9635.0898049126445</v>
      </c>
      <c r="W6" s="11">
        <f t="shared" si="15"/>
        <v>171058.07801649289</v>
      </c>
    </row>
    <row r="7" spans="1:23" ht="15.75" x14ac:dyDescent="0.25">
      <c r="A7" s="30" t="s">
        <v>8</v>
      </c>
      <c r="B7" s="31">
        <v>5</v>
      </c>
      <c r="C7" s="31">
        <v>0</v>
      </c>
      <c r="D7" s="31">
        <v>98.268199999999993</v>
      </c>
      <c r="E7" s="1"/>
      <c r="F7" s="1">
        <f t="shared" si="5"/>
        <v>4</v>
      </c>
      <c r="G7">
        <f t="shared" si="6"/>
        <v>2</v>
      </c>
      <c r="H7">
        <f>(D4-C4*(H5))/(100+C4)</f>
        <v>1.002002619047619</v>
      </c>
      <c r="I7" s="2">
        <f t="shared" si="7"/>
        <v>-9.9980809811006655E-4</v>
      </c>
      <c r="J7" s="3">
        <f t="shared" si="16"/>
        <v>0.9822397428296491</v>
      </c>
      <c r="K7" s="2">
        <f t="shared" si="0"/>
        <v>1.2510218376609039E-3</v>
      </c>
      <c r="L7" s="9">
        <f t="shared" si="1"/>
        <v>1.1251021837660904E-2</v>
      </c>
      <c r="M7" s="23">
        <f t="shared" si="2"/>
        <v>5.6255109188304521E-3</v>
      </c>
      <c r="N7" s="10">
        <f t="shared" si="8"/>
        <v>10570.684435348983</v>
      </c>
      <c r="O7" s="12">
        <f t="shared" si="9"/>
        <v>925.01902822400655</v>
      </c>
      <c r="P7" s="12">
        <f t="shared" si="10"/>
        <v>9645.6654071249759</v>
      </c>
      <c r="Q7" s="11">
        <f t="shared" si="11"/>
        <v>161611.22567577678</v>
      </c>
      <c r="R7" s="9">
        <f t="shared" si="3"/>
        <v>1.1251021837660904E-2</v>
      </c>
      <c r="S7" s="23">
        <f t="shared" si="4"/>
        <v>5.6255109188304521E-3</v>
      </c>
      <c r="T7" s="10">
        <f t="shared" si="12"/>
        <v>10558.41286967158</v>
      </c>
      <c r="U7" s="12">
        <f t="shared" si="13"/>
        <v>923.94516854849303</v>
      </c>
      <c r="V7" s="12">
        <f t="shared" si="14"/>
        <v>9634.467701123087</v>
      </c>
      <c r="W7" s="11">
        <f t="shared" si="15"/>
        <v>161423.61031536979</v>
      </c>
    </row>
    <row r="8" spans="1:23" ht="15.75" x14ac:dyDescent="0.25">
      <c r="A8" s="30" t="s">
        <v>8</v>
      </c>
      <c r="B8" s="31">
        <v>6</v>
      </c>
      <c r="C8" s="31">
        <v>0</v>
      </c>
      <c r="D8" s="31">
        <v>97.0518</v>
      </c>
      <c r="E8" s="1"/>
      <c r="F8" s="1">
        <f t="shared" si="5"/>
        <v>5</v>
      </c>
      <c r="G8">
        <f t="shared" si="6"/>
        <v>2.5</v>
      </c>
      <c r="H8">
        <f>(1/(1+I8))^G8</f>
        <v>1.0013762472710934</v>
      </c>
      <c r="I8" s="2">
        <f>(I7+I9)/2</f>
        <v>-5.4996915581956296E-4</v>
      </c>
      <c r="J8" s="3">
        <f t="shared" si="16"/>
        <v>0.97676015676144634</v>
      </c>
      <c r="K8" s="2">
        <f t="shared" si="0"/>
        <v>2.1509466745515127E-3</v>
      </c>
      <c r="L8" s="9">
        <f t="shared" si="1"/>
        <v>1.2150946674551513E-2</v>
      </c>
      <c r="M8" s="23">
        <f t="shared" si="2"/>
        <v>6.0754733372757564E-3</v>
      </c>
      <c r="N8" s="10">
        <f t="shared" si="8"/>
        <v>10590.457892934523</v>
      </c>
      <c r="O8" s="12">
        <f t="shared" si="9"/>
        <v>909.1457146446545</v>
      </c>
      <c r="P8" s="12">
        <f t="shared" si="10"/>
        <v>9681.3121782898688</v>
      </c>
      <c r="Q8" s="11">
        <f t="shared" si="11"/>
        <v>151929.91349748691</v>
      </c>
      <c r="R8" s="9">
        <f t="shared" si="3"/>
        <v>1.2150946674551513E-2</v>
      </c>
      <c r="S8" s="23">
        <f t="shared" si="4"/>
        <v>6.0754733372757564E-3</v>
      </c>
      <c r="T8" s="10">
        <f t="shared" si="12"/>
        <v>10578.163372141495</v>
      </c>
      <c r="U8" s="12">
        <f t="shared" si="13"/>
        <v>908.09028238614474</v>
      </c>
      <c r="V8" s="12">
        <f t="shared" si="14"/>
        <v>9670.0730897553494</v>
      </c>
      <c r="W8" s="11">
        <f t="shared" si="15"/>
        <v>151753.53722561445</v>
      </c>
    </row>
    <row r="9" spans="1:23" ht="15.75" x14ac:dyDescent="0.25">
      <c r="A9" s="30" t="s">
        <v>9</v>
      </c>
      <c r="B9" s="31">
        <v>7</v>
      </c>
      <c r="C9" s="31">
        <v>5.5</v>
      </c>
      <c r="D9" s="31">
        <v>133.1525</v>
      </c>
      <c r="E9" s="1"/>
      <c r="F9" s="1">
        <f t="shared" si="5"/>
        <v>6</v>
      </c>
      <c r="G9">
        <f t="shared" si="6"/>
        <v>3</v>
      </c>
      <c r="H9">
        <f>(1-(C5*(H5+H7)))/(1+C5)</f>
        <v>1.0003004508069855</v>
      </c>
      <c r="I9" s="2">
        <f t="shared" si="7"/>
        <v>-1.0013021352905938E-4</v>
      </c>
      <c r="J9" s="3">
        <f t="shared" si="16"/>
        <v>0.97087887467508449</v>
      </c>
      <c r="K9" s="2">
        <f t="shared" si="0"/>
        <v>1.4287626277177168E-2</v>
      </c>
      <c r="L9" s="9">
        <f t="shared" si="1"/>
        <v>2.428762627717717E-2</v>
      </c>
      <c r="M9" s="23">
        <f t="shared" si="2"/>
        <v>1.2143813138588585E-2</v>
      </c>
      <c r="N9" s="10">
        <f t="shared" si="8"/>
        <v>10627.90887076037</v>
      </c>
      <c r="O9" s="12">
        <f t="shared" si="9"/>
        <v>923.04613858859375</v>
      </c>
      <c r="P9" s="12">
        <f t="shared" si="10"/>
        <v>9704.8627321717759</v>
      </c>
      <c r="Q9" s="11">
        <f t="shared" si="11"/>
        <v>142225.05076531513</v>
      </c>
      <c r="R9" s="9">
        <f t="shared" si="3"/>
        <v>2.428762627717717E-2</v>
      </c>
      <c r="S9" s="23">
        <f t="shared" si="4"/>
        <v>1.2143813138588585E-2</v>
      </c>
      <c r="T9" s="10">
        <f t="shared" si="12"/>
        <v>10615.57087292128</v>
      </c>
      <c r="U9" s="12">
        <f t="shared" si="13"/>
        <v>921.97456925150459</v>
      </c>
      <c r="V9" s="12">
        <f t="shared" si="14"/>
        <v>9693.5963036697758</v>
      </c>
      <c r="W9" s="11">
        <f t="shared" si="15"/>
        <v>142059.94092194468</v>
      </c>
    </row>
    <row r="10" spans="1:23" ht="15.75" x14ac:dyDescent="0.25">
      <c r="A10" s="30" t="s">
        <v>8</v>
      </c>
      <c r="B10" s="31">
        <v>8</v>
      </c>
      <c r="C10" s="31">
        <v>0</v>
      </c>
      <c r="D10" s="31">
        <v>93.4529</v>
      </c>
      <c r="E10" s="1"/>
      <c r="F10" s="1">
        <f t="shared" si="5"/>
        <v>7</v>
      </c>
      <c r="G10">
        <f t="shared" si="6"/>
        <v>3.5</v>
      </c>
      <c r="H10">
        <f>(1/(1+I10))^G10</f>
        <v>0.99320517860276891</v>
      </c>
      <c r="I10" s="2">
        <f>(I9+I11)/2</f>
        <v>1.949901820440858E-3</v>
      </c>
      <c r="J10" s="3">
        <f t="shared" si="16"/>
        <v>0.95927572797718286</v>
      </c>
      <c r="K10" s="2">
        <f t="shared" si="0"/>
        <v>1.8383595443519418E-2</v>
      </c>
      <c r="L10" s="9">
        <f t="shared" si="1"/>
        <v>2.838359544351942E-2</v>
      </c>
      <c r="M10" s="23">
        <f t="shared" si="2"/>
        <v>1.419179772175971E-2</v>
      </c>
      <c r="N10" s="10">
        <f t="shared" si="8"/>
        <v>11108.380402087321</v>
      </c>
      <c r="O10" s="12">
        <f t="shared" si="9"/>
        <v>1727.1544401202623</v>
      </c>
      <c r="P10" s="12">
        <f t="shared" si="10"/>
        <v>9381.2259619670585</v>
      </c>
      <c r="Q10" s="11">
        <f t="shared" si="11"/>
        <v>132843.82480334808</v>
      </c>
      <c r="R10" s="9">
        <f t="shared" si="3"/>
        <v>2.838359544351942E-2</v>
      </c>
      <c r="S10" s="23">
        <f t="shared" si="4"/>
        <v>1.419179772175971E-2</v>
      </c>
      <c r="T10" s="10">
        <f t="shared" si="12"/>
        <v>11095.484622205939</v>
      </c>
      <c r="U10" s="12">
        <f t="shared" si="13"/>
        <v>1725.1493770350301</v>
      </c>
      <c r="V10" s="12">
        <f t="shared" si="14"/>
        <v>9370.3352451709088</v>
      </c>
      <c r="W10" s="11">
        <f t="shared" si="15"/>
        <v>132689.60567677376</v>
      </c>
    </row>
    <row r="11" spans="1:23" ht="15.75" x14ac:dyDescent="0.25">
      <c r="A11" s="30" t="s">
        <v>8</v>
      </c>
      <c r="B11" s="31">
        <v>9</v>
      </c>
      <c r="C11" s="31">
        <v>0</v>
      </c>
      <c r="D11" s="31">
        <v>93.079800000000006</v>
      </c>
      <c r="E11" s="1"/>
      <c r="F11" s="1">
        <f t="shared" si="5"/>
        <v>8</v>
      </c>
      <c r="G11">
        <f t="shared" si="6"/>
        <v>4</v>
      </c>
      <c r="H11">
        <f>(D6-C6*(H9+H7+H5))/(100+C6)</f>
        <v>0.98415898825666204</v>
      </c>
      <c r="I11" s="2">
        <f t="shared" si="7"/>
        <v>3.9999338544107754E-3</v>
      </c>
      <c r="J11" s="3">
        <f t="shared" si="16"/>
        <v>0.94590668187671434</v>
      </c>
      <c r="K11" s="2">
        <f t="shared" si="0"/>
        <v>1.7519416374693897E-3</v>
      </c>
      <c r="L11" s="9">
        <f t="shared" si="1"/>
        <v>1.175194163746939E-2</v>
      </c>
      <c r="M11" s="23">
        <f t="shared" si="2"/>
        <v>5.8759708187346949E-3</v>
      </c>
      <c r="N11" s="10">
        <f t="shared" si="8"/>
        <v>11262.508547783154</v>
      </c>
      <c r="O11" s="12">
        <f t="shared" si="9"/>
        <v>1885.2926901940014</v>
      </c>
      <c r="P11" s="12">
        <f t="shared" si="10"/>
        <v>9377.2158575891535</v>
      </c>
      <c r="Q11" s="11">
        <f t="shared" si="11"/>
        <v>123466.60894575893</v>
      </c>
      <c r="R11" s="9">
        <f t="shared" si="3"/>
        <v>1.175194163746939E-2</v>
      </c>
      <c r="S11" s="23">
        <f t="shared" si="4"/>
        <v>5.8759708187346949E-3</v>
      </c>
      <c r="T11" s="10">
        <f t="shared" si="12"/>
        <v>11249.433839690049</v>
      </c>
      <c r="U11" s="12">
        <f t="shared" si="13"/>
        <v>1883.1040435448322</v>
      </c>
      <c r="V11" s="12">
        <f t="shared" si="14"/>
        <v>9366.3297961452172</v>
      </c>
      <c r="W11" s="11">
        <f t="shared" si="15"/>
        <v>123323.27588062854</v>
      </c>
    </row>
    <row r="12" spans="1:23" ht="15.75" x14ac:dyDescent="0.25">
      <c r="A12" s="30" t="s">
        <v>9</v>
      </c>
      <c r="B12" s="31">
        <v>10</v>
      </c>
      <c r="C12" s="31">
        <v>4</v>
      </c>
      <c r="D12" s="31">
        <v>129.65539999999999</v>
      </c>
      <c r="E12" s="1"/>
      <c r="F12" s="1">
        <f t="shared" si="5"/>
        <v>9</v>
      </c>
      <c r="G12">
        <f t="shared" si="6"/>
        <v>4.5</v>
      </c>
      <c r="H12">
        <f>(1/(1+I12))^G12</f>
        <v>0.98329764821069909</v>
      </c>
      <c r="I12" s="2">
        <f>(I11+I13)/2</f>
        <v>3.7499934589726447E-3</v>
      </c>
      <c r="J12" s="3">
        <f t="shared" si="16"/>
        <v>0.94039672961227028</v>
      </c>
      <c r="K12" s="2">
        <f t="shared" si="0"/>
        <v>1.2529958027096555E-3</v>
      </c>
      <c r="L12" s="9">
        <f t="shared" si="1"/>
        <v>1.1252995802709656E-2</v>
      </c>
      <c r="M12" s="23">
        <f t="shared" si="2"/>
        <v>5.6264979013548279E-3</v>
      </c>
      <c r="N12" s="10">
        <f t="shared" si="8"/>
        <v>10686.076358654429</v>
      </c>
      <c r="O12" s="12">
        <f t="shared" si="9"/>
        <v>725.48619125340747</v>
      </c>
      <c r="P12" s="12">
        <f t="shared" si="10"/>
        <v>9960.590167401022</v>
      </c>
      <c r="Q12" s="11">
        <f t="shared" si="11"/>
        <v>113506.0187783579</v>
      </c>
      <c r="R12" s="9">
        <f t="shared" si="3"/>
        <v>1.1252995802709656E-2</v>
      </c>
      <c r="S12" s="23">
        <f t="shared" si="4"/>
        <v>5.6264979013548279E-3</v>
      </c>
      <c r="T12" s="10">
        <f t="shared" si="12"/>
        <v>10673.670833858847</v>
      </c>
      <c r="U12" s="12">
        <f t="shared" si="13"/>
        <v>724.64397034534159</v>
      </c>
      <c r="V12" s="12">
        <f t="shared" si="14"/>
        <v>9949.0268635135053</v>
      </c>
      <c r="W12" s="11">
        <f t="shared" si="15"/>
        <v>113374.24901711504</v>
      </c>
    </row>
    <row r="13" spans="1:23" ht="15.75" x14ac:dyDescent="0.25">
      <c r="A13" s="30" t="s">
        <v>8</v>
      </c>
      <c r="B13" s="31">
        <v>13</v>
      </c>
      <c r="C13" s="31">
        <v>0</v>
      </c>
      <c r="D13" s="31">
        <v>86.743099999999998</v>
      </c>
      <c r="E13" s="1"/>
      <c r="F13" s="1">
        <f t="shared" si="5"/>
        <v>10</v>
      </c>
      <c r="G13">
        <f t="shared" si="6"/>
        <v>5</v>
      </c>
      <c r="H13">
        <f>D7/100</f>
        <v>0.98268199999999994</v>
      </c>
      <c r="I13" s="2">
        <f t="shared" si="7"/>
        <v>3.500053063534514E-3</v>
      </c>
      <c r="J13" s="3">
        <f t="shared" si="16"/>
        <v>0.93514966186847948</v>
      </c>
      <c r="K13" s="2">
        <f t="shared" si="0"/>
        <v>1.1746238882987647E-2</v>
      </c>
      <c r="L13" s="9">
        <f t="shared" si="1"/>
        <v>2.1746238882987649E-2</v>
      </c>
      <c r="M13" s="23">
        <f t="shared" si="2"/>
        <v>1.0873119441493825E-2</v>
      </c>
      <c r="N13" s="10">
        <f t="shared" si="8"/>
        <v>10670.336106907222</v>
      </c>
      <c r="O13" s="12">
        <f t="shared" si="9"/>
        <v>638.64137644757238</v>
      </c>
      <c r="P13" s="12">
        <f t="shared" si="10"/>
        <v>10031.694730459649</v>
      </c>
      <c r="Q13" s="11">
        <f t="shared" si="11"/>
        <v>103474.32404789825</v>
      </c>
      <c r="R13" s="9">
        <f t="shared" si="3"/>
        <v>2.1746238882987649E-2</v>
      </c>
      <c r="S13" s="23">
        <f t="shared" si="4"/>
        <v>1.0873119441493825E-2</v>
      </c>
      <c r="T13" s="10">
        <f t="shared" si="12"/>
        <v>10657.948855056429</v>
      </c>
      <c r="U13" s="12">
        <f t="shared" si="13"/>
        <v>637.89997416247741</v>
      </c>
      <c r="V13" s="12">
        <f t="shared" si="14"/>
        <v>10020.048880893952</v>
      </c>
      <c r="W13" s="11">
        <f t="shared" si="15"/>
        <v>103354.20013622109</v>
      </c>
    </row>
    <row r="14" spans="1:23" ht="15.75" x14ac:dyDescent="0.25">
      <c r="B14" s="1"/>
      <c r="C14" s="1"/>
      <c r="D14" s="1"/>
      <c r="E14" s="1"/>
      <c r="F14" s="1">
        <f t="shared" si="5"/>
        <v>11</v>
      </c>
      <c r="G14">
        <f t="shared" si="6"/>
        <v>5.5</v>
      </c>
      <c r="H14">
        <f>(1/(1+I14))^G14</f>
        <v>0.97694428950008072</v>
      </c>
      <c r="I14" s="2">
        <f>(I13+I15)/2</f>
        <v>4.2500332600903246E-3</v>
      </c>
      <c r="J14" s="3">
        <f t="shared" si="16"/>
        <v>0.92512907798759392</v>
      </c>
      <c r="K14" s="2">
        <f t="shared" si="0"/>
        <v>1.3243009403392403E-2</v>
      </c>
      <c r="L14" s="9">
        <f t="shared" si="1"/>
        <v>2.3243009403392405E-2</v>
      </c>
      <c r="M14" s="23">
        <f t="shared" si="2"/>
        <v>1.1621504701696202E-2</v>
      </c>
      <c r="N14" s="10">
        <f t="shared" si="8"/>
        <v>10976.267141687995</v>
      </c>
      <c r="O14" s="12">
        <f t="shared" si="9"/>
        <v>1125.0886845006344</v>
      </c>
      <c r="P14" s="12">
        <f t="shared" si="10"/>
        <v>9851.1784571873613</v>
      </c>
      <c r="Q14" s="11">
        <f t="shared" si="11"/>
        <v>93623.14559071089</v>
      </c>
      <c r="R14" s="9">
        <f t="shared" si="3"/>
        <v>2.3243009403392405E-2</v>
      </c>
      <c r="S14" s="23">
        <f t="shared" si="4"/>
        <v>1.1621504701696202E-2</v>
      </c>
      <c r="T14" s="10">
        <f t="shared" si="12"/>
        <v>10963.524732816952</v>
      </c>
      <c r="U14" s="12">
        <f t="shared" si="13"/>
        <v>1123.7825628611893</v>
      </c>
      <c r="V14" s="12">
        <f t="shared" si="14"/>
        <v>9839.7421699557617</v>
      </c>
      <c r="W14" s="11">
        <f t="shared" si="15"/>
        <v>93514.457966265327</v>
      </c>
    </row>
    <row r="15" spans="1:23" ht="15.75" x14ac:dyDescent="0.25">
      <c r="F15" s="1">
        <f t="shared" si="5"/>
        <v>12</v>
      </c>
      <c r="G15">
        <f t="shared" si="6"/>
        <v>6</v>
      </c>
      <c r="H15">
        <f>D8/100</f>
        <v>0.97051799999999999</v>
      </c>
      <c r="I15" s="2">
        <f t="shared" si="7"/>
        <v>5.0000134566461352E-3</v>
      </c>
      <c r="J15" s="3">
        <f t="shared" si="16"/>
        <v>0.9145421197690824</v>
      </c>
      <c r="K15" s="2">
        <f t="shared" si="0"/>
        <v>1.7997106171416366E-2</v>
      </c>
      <c r="L15" s="9">
        <f t="shared" si="1"/>
        <v>2.7997106171416368E-2</v>
      </c>
      <c r="M15" s="23">
        <f t="shared" si="2"/>
        <v>1.3998553085708184E-2</v>
      </c>
      <c r="N15" s="10">
        <f t="shared" si="8"/>
        <v>11016.35013910954</v>
      </c>
      <c r="O15" s="12">
        <f t="shared" si="9"/>
        <v>1088.0418266700347</v>
      </c>
      <c r="P15" s="12">
        <f t="shared" si="10"/>
        <v>9928.3083124395052</v>
      </c>
      <c r="Q15" s="11">
        <f t="shared" si="11"/>
        <v>83694.837278271385</v>
      </c>
      <c r="R15" s="9">
        <f t="shared" si="3"/>
        <v>2.7997106171416368E-2</v>
      </c>
      <c r="S15" s="23">
        <f t="shared" si="4"/>
        <v>1.3998553085708184E-2</v>
      </c>
      <c r="T15" s="10">
        <f t="shared" si="12"/>
        <v>11003.561197666417</v>
      </c>
      <c r="U15" s="12">
        <f t="shared" si="13"/>
        <v>1086.7787129315243</v>
      </c>
      <c r="V15" s="12">
        <f t="shared" si="14"/>
        <v>9916.7824847348929</v>
      </c>
      <c r="W15" s="11">
        <f t="shared" si="15"/>
        <v>83597.67548153043</v>
      </c>
    </row>
    <row r="16" spans="1:23" ht="15.75" x14ac:dyDescent="0.25">
      <c r="A16" s="4" t="s">
        <v>19</v>
      </c>
      <c r="B16" s="8"/>
      <c r="F16" s="1">
        <f t="shared" si="5"/>
        <v>13</v>
      </c>
      <c r="G16">
        <f t="shared" si="6"/>
        <v>6.5</v>
      </c>
      <c r="H16">
        <f>(1/(1+I16))^G16</f>
        <v>0.96186262808006284</v>
      </c>
      <c r="I16" s="2">
        <f>(I15+I17)/2</f>
        <v>6.0000264442713336E-3</v>
      </c>
      <c r="J16" s="3">
        <f t="shared" si="16"/>
        <v>0.90196736643126996</v>
      </c>
      <c r="K16" s="2">
        <f t="shared" si="0"/>
        <v>1.9991117351729315E-2</v>
      </c>
      <c r="L16" s="9">
        <f t="shared" si="1"/>
        <v>2.9991117351729317E-2</v>
      </c>
      <c r="M16" s="23">
        <f t="shared" si="2"/>
        <v>1.4995558675864658E-2</v>
      </c>
      <c r="N16" s="10">
        <f t="shared" si="8"/>
        <v>11131.569533730413</v>
      </c>
      <c r="O16" s="12">
        <f t="shared" si="9"/>
        <v>1171.6066226395903</v>
      </c>
      <c r="P16" s="12">
        <f t="shared" si="10"/>
        <v>9959.9629110908227</v>
      </c>
      <c r="Q16" s="11">
        <f t="shared" si="11"/>
        <v>73734.874367180557</v>
      </c>
      <c r="R16" s="9">
        <f t="shared" si="3"/>
        <v>2.9991117351729317E-2</v>
      </c>
      <c r="S16" s="23">
        <f t="shared" si="4"/>
        <v>1.4995558675864658E-2</v>
      </c>
      <c r="T16" s="10">
        <f t="shared" si="12"/>
        <v>11118.646833458612</v>
      </c>
      <c r="U16" s="12">
        <f t="shared" si="13"/>
        <v>1170.2464980700092</v>
      </c>
      <c r="V16" s="12">
        <f t="shared" si="14"/>
        <v>9948.4003353886019</v>
      </c>
      <c r="W16" s="11">
        <f t="shared" si="15"/>
        <v>73649.275146141823</v>
      </c>
    </row>
    <row r="17" spans="1:23" ht="15.75" x14ac:dyDescent="0.25">
      <c r="A17" t="s">
        <v>4</v>
      </c>
      <c r="B17" s="7">
        <v>0.01</v>
      </c>
      <c r="F17" s="1">
        <f t="shared" si="5"/>
        <v>14</v>
      </c>
      <c r="G17">
        <f t="shared" si="6"/>
        <v>7</v>
      </c>
      <c r="H17">
        <f>(D9-C9*(H15+H13+H11+H9+H7+H5))/(C9+100)</f>
        <v>0.95234342351078705</v>
      </c>
      <c r="I17" s="2">
        <f t="shared" si="7"/>
        <v>7.000039431896532E-3</v>
      </c>
      <c r="J17" s="3">
        <f t="shared" si="16"/>
        <v>0.88869597185501403</v>
      </c>
      <c r="K17" s="2">
        <f t="shared" si="0"/>
        <v>1.8225532697013325E-2</v>
      </c>
      <c r="L17" s="9">
        <f t="shared" si="1"/>
        <v>2.8225532697013327E-2</v>
      </c>
      <c r="M17" s="23">
        <f t="shared" si="2"/>
        <v>1.4112766348506663E-2</v>
      </c>
      <c r="N17" s="10">
        <f t="shared" si="8"/>
        <v>11174.782071395875</v>
      </c>
      <c r="O17" s="12">
        <f t="shared" si="9"/>
        <v>1105.695635030565</v>
      </c>
      <c r="P17" s="12">
        <f t="shared" si="10"/>
        <v>10069.086436365311</v>
      </c>
      <c r="Q17" s="11">
        <f t="shared" si="11"/>
        <v>63665.787930815248</v>
      </c>
      <c r="R17" s="9">
        <f t="shared" si="3"/>
        <v>2.8225532697013327E-2</v>
      </c>
      <c r="S17" s="23">
        <f t="shared" si="4"/>
        <v>1.4112766348506663E-2</v>
      </c>
      <c r="T17" s="10">
        <f t="shared" si="12"/>
        <v>11161.809205451524</v>
      </c>
      <c r="U17" s="12">
        <f t="shared" si="13"/>
        <v>1104.4120268888703</v>
      </c>
      <c r="V17" s="12">
        <f t="shared" si="14"/>
        <v>10057.397178562653</v>
      </c>
      <c r="W17" s="11">
        <f t="shared" si="15"/>
        <v>63591.877967579174</v>
      </c>
    </row>
    <row r="18" spans="1:23" ht="15.75" x14ac:dyDescent="0.25">
      <c r="A18" t="s">
        <v>3</v>
      </c>
      <c r="B18" s="7">
        <v>0.01</v>
      </c>
      <c r="F18" s="1">
        <f t="shared" si="5"/>
        <v>15</v>
      </c>
      <c r="G18">
        <f t="shared" si="6"/>
        <v>7.5</v>
      </c>
      <c r="H18">
        <f>(1/(1+I18))^G18</f>
        <v>0.94374331122264909</v>
      </c>
      <c r="I18" s="2">
        <f>(I17+I19)/2</f>
        <v>7.7500192516104516E-3</v>
      </c>
      <c r="J18" s="3">
        <f t="shared" si="16"/>
        <v>0.87637827990878037</v>
      </c>
      <c r="K18" s="2">
        <f t="shared" si="0"/>
        <v>1.9719690288154013E-2</v>
      </c>
      <c r="L18" s="9">
        <f t="shared" si="1"/>
        <v>2.9719690288154015E-2</v>
      </c>
      <c r="M18" s="23">
        <f t="shared" si="2"/>
        <v>1.4859845144077007E-2</v>
      </c>
      <c r="N18" s="10">
        <f t="shared" si="8"/>
        <v>11141.210097593505</v>
      </c>
      <c r="O18" s="12">
        <f t="shared" si="9"/>
        <v>898.50038946117115</v>
      </c>
      <c r="P18" s="12">
        <f t="shared" si="10"/>
        <v>10242.709708132334</v>
      </c>
      <c r="Q18" s="11">
        <f t="shared" si="11"/>
        <v>53423.078222682918</v>
      </c>
      <c r="R18" s="9">
        <f t="shared" si="3"/>
        <v>2.9719690288154015E-2</v>
      </c>
      <c r="S18" s="23">
        <f t="shared" si="4"/>
        <v>1.4859845144077007E-2</v>
      </c>
      <c r="T18" s="10">
        <f t="shared" si="12"/>
        <v>11128.276205538114</v>
      </c>
      <c r="U18" s="12">
        <f t="shared" si="13"/>
        <v>897.45731541919372</v>
      </c>
      <c r="V18" s="12">
        <f t="shared" si="14"/>
        <v>10230.818890118921</v>
      </c>
      <c r="W18" s="11">
        <f t="shared" si="15"/>
        <v>53361.059077460253</v>
      </c>
    </row>
    <row r="19" spans="1:23" ht="15.75" x14ac:dyDescent="0.25">
      <c r="A19" t="s">
        <v>25</v>
      </c>
      <c r="B19" s="25">
        <v>200000</v>
      </c>
      <c r="F19" s="1">
        <f t="shared" si="5"/>
        <v>16</v>
      </c>
      <c r="G19">
        <f t="shared" si="6"/>
        <v>8</v>
      </c>
      <c r="H19">
        <f>D10/100</f>
        <v>0.93452899999999994</v>
      </c>
      <c r="I19" s="2">
        <f t="shared" si="7"/>
        <v>8.4999990713243712E-3</v>
      </c>
      <c r="J19" s="3">
        <f t="shared" si="16"/>
        <v>0.86359821594082542</v>
      </c>
      <c r="K19" s="2">
        <f t="shared" si="0"/>
        <v>4.2533988762443187E-3</v>
      </c>
      <c r="L19" s="9">
        <f t="shared" si="1"/>
        <v>1.4253398876244319E-2</v>
      </c>
      <c r="M19" s="23">
        <f t="shared" si="2"/>
        <v>7.1266994381221594E-3</v>
      </c>
      <c r="N19" s="10">
        <f t="shared" si="8"/>
        <v>11165.614335749549</v>
      </c>
      <c r="O19" s="12">
        <f t="shared" si="9"/>
        <v>793.85866950898082</v>
      </c>
      <c r="P19" s="12">
        <f t="shared" si="10"/>
        <v>10371.755666240568</v>
      </c>
      <c r="Q19" s="11">
        <f t="shared" si="11"/>
        <v>43051.322556442348</v>
      </c>
      <c r="R19" s="9">
        <f t="shared" si="3"/>
        <v>1.4253398876244319E-2</v>
      </c>
      <c r="S19" s="23">
        <f t="shared" si="4"/>
        <v>7.1266994381221594E-3</v>
      </c>
      <c r="T19" s="10">
        <f t="shared" si="12"/>
        <v>11152.652112679911</v>
      </c>
      <c r="U19" s="12">
        <f t="shared" si="13"/>
        <v>792.93707461500401</v>
      </c>
      <c r="V19" s="12">
        <f t="shared" si="14"/>
        <v>10359.715038064907</v>
      </c>
      <c r="W19" s="11">
        <f t="shared" si="15"/>
        <v>43001.34403939535</v>
      </c>
    </row>
    <row r="20" spans="1:23" ht="15.75" x14ac:dyDescent="0.25">
      <c r="A20" t="s">
        <v>51</v>
      </c>
      <c r="B20" s="7">
        <v>0.01</v>
      </c>
      <c r="F20" s="1">
        <f t="shared" si="5"/>
        <v>17</v>
      </c>
      <c r="G20">
        <f t="shared" si="6"/>
        <v>8.5</v>
      </c>
      <c r="H20">
        <f>(1/(1+I20))^G20</f>
        <v>0.93254575546582763</v>
      </c>
      <c r="I20" s="2">
        <f>(I19+I21)/2</f>
        <v>8.2499698222319173E-3</v>
      </c>
      <c r="J20" s="3">
        <f t="shared" si="16"/>
        <v>0.85750675516411468</v>
      </c>
      <c r="K20" s="2">
        <f t="shared" si="0"/>
        <v>3.7553915367838364E-3</v>
      </c>
      <c r="L20" s="9">
        <f t="shared" si="1"/>
        <v>1.3755391536783837E-2</v>
      </c>
      <c r="M20" s="23">
        <f t="shared" si="2"/>
        <v>6.8776957683919183E-3</v>
      </c>
      <c r="N20" s="10">
        <f t="shared" si="8"/>
        <v>10955.270156835126</v>
      </c>
      <c r="O20" s="12">
        <f t="shared" si="9"/>
        <v>306.81383627341353</v>
      </c>
      <c r="P20" s="12">
        <f t="shared" si="10"/>
        <v>10648.456320561712</v>
      </c>
      <c r="Q20" s="11">
        <f t="shared" si="11"/>
        <v>32402.866235880636</v>
      </c>
      <c r="R20" s="9">
        <f t="shared" si="3"/>
        <v>1.3755391536783837E-2</v>
      </c>
      <c r="S20" s="23">
        <f t="shared" si="4"/>
        <v>6.8776957683919183E-3</v>
      </c>
      <c r="T20" s="10">
        <f t="shared" si="12"/>
        <v>10942.552123479241</v>
      </c>
      <c r="U20" s="12">
        <f t="shared" si="13"/>
        <v>306.45765440405648</v>
      </c>
      <c r="V20" s="12">
        <f t="shared" si="14"/>
        <v>10636.094469075186</v>
      </c>
      <c r="W20" s="11">
        <f t="shared" si="15"/>
        <v>32365.249570320164</v>
      </c>
    </row>
    <row r="21" spans="1:23" ht="15.75" x14ac:dyDescent="0.25">
      <c r="F21" s="1">
        <f t="shared" si="5"/>
        <v>18</v>
      </c>
      <c r="G21">
        <f t="shared" si="6"/>
        <v>9</v>
      </c>
      <c r="H21">
        <f>D11/100</f>
        <v>0.93079800000000001</v>
      </c>
      <c r="I21" s="2">
        <f t="shared" si="7"/>
        <v>7.9999405731394635E-3</v>
      </c>
      <c r="J21" s="3">
        <f t="shared" si="16"/>
        <v>0.85166779703543893</v>
      </c>
      <c r="K21" s="2">
        <f t="shared" si="0"/>
        <v>2.2222400016056465E-2</v>
      </c>
      <c r="L21" s="9">
        <f t="shared" si="1"/>
        <v>3.2222400016056467E-2</v>
      </c>
      <c r="M21" s="23">
        <f t="shared" si="2"/>
        <v>1.6111200008028233E-2</v>
      </c>
      <c r="N21" s="10">
        <f t="shared" si="8"/>
        <v>10949.866223566449</v>
      </c>
      <c r="O21" s="12">
        <f t="shared" si="9"/>
        <v>222.85705599428562</v>
      </c>
      <c r="P21" s="12">
        <f t="shared" si="10"/>
        <v>10727.009167572163</v>
      </c>
      <c r="Q21" s="11">
        <f t="shared" si="11"/>
        <v>21675.857068308473</v>
      </c>
      <c r="R21" s="9">
        <f t="shared" si="3"/>
        <v>3.2222400016056467E-2</v>
      </c>
      <c r="S21" s="23">
        <f t="shared" si="4"/>
        <v>1.6111200008028233E-2</v>
      </c>
      <c r="T21" s="10">
        <f t="shared" si="12"/>
        <v>10937.154463666402</v>
      </c>
      <c r="U21" s="12">
        <f t="shared" si="13"/>
        <v>222.59834001273936</v>
      </c>
      <c r="V21" s="12">
        <f t="shared" si="14"/>
        <v>10714.556123653663</v>
      </c>
      <c r="W21" s="11">
        <f t="shared" si="15"/>
        <v>21650.693446666501</v>
      </c>
    </row>
    <row r="22" spans="1:23" ht="15.75" x14ac:dyDescent="0.25">
      <c r="F22" s="1">
        <f t="shared" si="5"/>
        <v>19</v>
      </c>
      <c r="G22">
        <f t="shared" si="6"/>
        <v>9.5</v>
      </c>
      <c r="H22">
        <f>(1/(1+I22))^G22</f>
        <v>0.92056936961296598</v>
      </c>
      <c r="I22" s="2">
        <f>(I21+I23)/2</f>
        <v>8.7499452761649055E-3</v>
      </c>
      <c r="J22" s="3">
        <f t="shared" si="16"/>
        <v>0.83821960644518101</v>
      </c>
      <c r="K22" s="2">
        <f t="shared" si="0"/>
        <v>2.3715852349651012E-2</v>
      </c>
      <c r="L22" s="9">
        <f t="shared" si="1"/>
        <v>3.3715852349651014E-2</v>
      </c>
      <c r="M22" s="23">
        <f t="shared" si="2"/>
        <v>1.6857926174825507E-2</v>
      </c>
      <c r="N22" s="10">
        <f t="shared" si="8"/>
        <v>11100.544267688101</v>
      </c>
      <c r="O22" s="12">
        <f t="shared" si="9"/>
        <v>349.22406857295033</v>
      </c>
      <c r="P22" s="12">
        <f t="shared" si="10"/>
        <v>10751.320199115151</v>
      </c>
      <c r="Q22" s="11">
        <f t="shared" si="11"/>
        <v>10924.536869193322</v>
      </c>
      <c r="R22" s="9">
        <f t="shared" si="3"/>
        <v>3.3715852349651014E-2</v>
      </c>
      <c r="S22" s="23">
        <f t="shared" si="4"/>
        <v>1.6857926174825507E-2</v>
      </c>
      <c r="T22" s="10">
        <f t="shared" si="12"/>
        <v>11087.657584818226</v>
      </c>
      <c r="U22" s="12">
        <f t="shared" si="13"/>
        <v>348.81865243175014</v>
      </c>
      <c r="V22" s="12">
        <f t="shared" si="14"/>
        <v>10738.838932386476</v>
      </c>
      <c r="W22" s="11">
        <f t="shared" si="15"/>
        <v>10911.854514280025</v>
      </c>
    </row>
    <row r="23" spans="1:23" ht="15.75" x14ac:dyDescent="0.25">
      <c r="F23" s="16">
        <f t="shared" si="5"/>
        <v>20</v>
      </c>
      <c r="G23" s="8">
        <f t="shared" si="6"/>
        <v>10</v>
      </c>
      <c r="H23" s="8">
        <f>(D12-C12*(H21+H19+H17+H15+H13+H11+H9+H7+H5))/(100+C12)</f>
        <v>0.9097812507068439</v>
      </c>
      <c r="I23" s="17">
        <f t="shared" si="7"/>
        <v>9.4999499791903474E-3</v>
      </c>
      <c r="J23" s="18">
        <f>1/(1+I23+$B$20)^G23</f>
        <v>0.82438088261873965</v>
      </c>
      <c r="K23" s="17">
        <f>(H23/H24-1)/0.5</f>
        <v>9.7645232201394538E-2</v>
      </c>
      <c r="L23" s="19">
        <f t="shared" si="1"/>
        <v>0.10764523220139453</v>
      </c>
      <c r="M23" s="24">
        <f t="shared" si="2"/>
        <v>5.3822616100697267E-2</v>
      </c>
      <c r="N23" s="48">
        <f t="shared" si="8"/>
        <v>11108.701905228412</v>
      </c>
      <c r="O23" s="20">
        <f t="shared" si="9"/>
        <v>184.16503603502039</v>
      </c>
      <c r="P23" s="20">
        <f t="shared" si="10"/>
        <v>10924.536869193393</v>
      </c>
      <c r="Q23" s="21">
        <f t="shared" si="11"/>
        <v>-7.0940586738288403E-11</v>
      </c>
      <c r="R23" s="19">
        <f t="shared" si="3"/>
        <v>0.10764523220139453</v>
      </c>
      <c r="S23" s="24">
        <f t="shared" si="4"/>
        <v>5.3822616100697267E-2</v>
      </c>
      <c r="T23" s="42">
        <f t="shared" si="12"/>
        <v>11095.805752112265</v>
      </c>
      <c r="U23" s="20">
        <f t="shared" si="13"/>
        <v>183.95123783216911</v>
      </c>
      <c r="V23" s="20">
        <f t="shared" si="14"/>
        <v>10911.854514280096</v>
      </c>
      <c r="W23" s="21">
        <f t="shared" si="15"/>
        <v>-7.0940586738288403E-11</v>
      </c>
    </row>
    <row r="24" spans="1:23" x14ac:dyDescent="0.25">
      <c r="G24">
        <v>13</v>
      </c>
      <c r="H24">
        <f>D13/100</f>
        <v>0.86743099999999995</v>
      </c>
    </row>
    <row r="25" spans="1:23" ht="15.75" x14ac:dyDescent="0.25">
      <c r="B25" s="40"/>
      <c r="C25" s="40"/>
      <c r="G25" s="1"/>
      <c r="O25" s="12"/>
      <c r="U25" s="12"/>
    </row>
    <row r="26" spans="1:23" ht="15.75" x14ac:dyDescent="0.25">
      <c r="B26" s="40"/>
      <c r="C26" s="40"/>
      <c r="G26" s="1"/>
      <c r="N26" t="s">
        <v>22</v>
      </c>
      <c r="O26" s="41" cm="1">
        <f t="array" ref="O26">SUM(N4:N23*J4:J23)</f>
        <v>200522.37875877912</v>
      </c>
      <c r="T26" t="s">
        <v>22</v>
      </c>
      <c r="U26" s="41" cm="1">
        <f t="array" ref="U26">SUM(T4:T23*J4:J23)</f>
        <v>200055.23151755071</v>
      </c>
    </row>
  </sheetData>
  <mergeCells count="2">
    <mergeCell ref="L1:Q1"/>
    <mergeCell ref="R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tasks and results</vt:lpstr>
      <vt:lpstr>Project 1</vt:lpstr>
    </vt:vector>
  </TitlesOfParts>
  <Company>Fachhochschule des bfi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Miazhynskaia, Tatiana</dc:creator>
  <cp:lastModifiedBy>Baksa, István</cp:lastModifiedBy>
  <dcterms:created xsi:type="dcterms:W3CDTF">2018-05-07T16:32:33Z</dcterms:created>
  <dcterms:modified xsi:type="dcterms:W3CDTF">2024-02-26T15:51:50Z</dcterms:modified>
</cp:coreProperties>
</file>