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3ED40BF4-1C29-480B-B857-09DD261862F9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1" l="1"/>
  <c r="M25" i="1"/>
  <c r="M23" i="1"/>
  <c r="M19" i="1"/>
  <c r="M18" i="1"/>
  <c r="M16" i="1"/>
  <c r="M15" i="1"/>
  <c r="M14" i="1"/>
  <c r="D42" i="1"/>
  <c r="E42" i="1"/>
  <c r="F42" i="1"/>
  <c r="B42" i="1"/>
  <c r="B27" i="1"/>
  <c r="B21" i="1"/>
  <c r="J21" i="1"/>
  <c r="J19" i="1"/>
  <c r="J17" i="1"/>
  <c r="J15" i="1"/>
  <c r="J11" i="1"/>
  <c r="J13" i="1" s="1"/>
  <c r="I11" i="1"/>
  <c r="I13" i="1" s="1"/>
  <c r="I15" i="1" s="1"/>
  <c r="I17" i="1" s="1"/>
  <c r="I19" i="1" s="1"/>
  <c r="I21" i="1" s="1"/>
  <c r="F14" i="1"/>
  <c r="F16" i="1"/>
  <c r="F18" i="1"/>
  <c r="F20" i="1"/>
  <c r="E20" i="1"/>
  <c r="E18" i="1"/>
  <c r="E16" i="1"/>
  <c r="E14" i="1"/>
  <c r="F12" i="1"/>
  <c r="E12" i="1"/>
  <c r="B39" i="1"/>
  <c r="C22" i="1"/>
  <c r="E22" i="1" s="1"/>
  <c r="C20" i="1"/>
  <c r="C18" i="1"/>
  <c r="C16" i="1"/>
  <c r="C14" i="1"/>
  <c r="B37" i="1"/>
  <c r="B35" i="1"/>
  <c r="B33" i="1"/>
  <c r="B31" i="1"/>
  <c r="B29" i="1"/>
  <c r="B25" i="1"/>
  <c r="B23" i="1"/>
  <c r="B19" i="1"/>
  <c r="B17" i="1"/>
  <c r="B15" i="1"/>
  <c r="B13" i="1"/>
  <c r="C12" i="1"/>
  <c r="F5" i="1"/>
  <c r="E5" i="1"/>
  <c r="C24" i="1" l="1"/>
  <c r="F22" i="1"/>
  <c r="J23" i="1" s="1"/>
  <c r="I23" i="1"/>
  <c r="F24" i="1" l="1"/>
  <c r="J25" i="1" s="1"/>
  <c r="C26" i="1"/>
  <c r="E24" i="1"/>
  <c r="I25" i="1" s="1"/>
  <c r="E26" i="1" l="1"/>
  <c r="I27" i="1" s="1"/>
  <c r="F26" i="1"/>
  <c r="J27" i="1" s="1"/>
  <c r="C28" i="1"/>
  <c r="F28" i="1" l="1"/>
  <c r="J29" i="1" s="1"/>
  <c r="C30" i="1"/>
  <c r="E28" i="1"/>
  <c r="I29" i="1" s="1"/>
  <c r="E30" i="1" l="1"/>
  <c r="I31" i="1" s="1"/>
  <c r="F30" i="1"/>
  <c r="J31" i="1" s="1"/>
  <c r="C32" i="1"/>
  <c r="F32" i="1" l="1"/>
  <c r="J33" i="1" s="1"/>
  <c r="C34" i="1"/>
  <c r="E32" i="1"/>
  <c r="I33" i="1" s="1"/>
  <c r="E34" i="1" l="1"/>
  <c r="I35" i="1" s="1"/>
  <c r="F34" i="1"/>
  <c r="J35" i="1" s="1"/>
  <c r="C36" i="1"/>
  <c r="F36" i="1" l="1"/>
  <c r="J37" i="1" s="1"/>
  <c r="C38" i="1"/>
  <c r="E36" i="1"/>
  <c r="I37" i="1" s="1"/>
  <c r="E38" i="1" l="1"/>
  <c r="I39" i="1" s="1"/>
  <c r="F38" i="1"/>
  <c r="J39" i="1" s="1"/>
  <c r="C40" i="1"/>
  <c r="F40" i="1" l="1"/>
  <c r="J41" i="1" s="1"/>
  <c r="E40" i="1"/>
  <c r="I4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L18" authorId="0" shapeId="0" xr:uid="{8FDEECA0-5E66-4CB4-9149-17D5851E7BBE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длина хода без учёта привязочных сторон
</t>
        </r>
      </text>
    </comment>
    <comment ref="L25" authorId="0" shapeId="0" xr:uid="{CC695D61-277D-4B49-AF68-914857E1BEA1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корень из суммы квадратов t и u должен быть равен fs</t>
        </r>
      </text>
    </comment>
  </commentList>
</comments>
</file>

<file path=xl/sharedStrings.xml><?xml version="1.0" encoding="utf-8"?>
<sst xmlns="http://schemas.openxmlformats.org/spreadsheetml/2006/main" count="39" uniqueCount="38">
  <si>
    <t>X428</t>
  </si>
  <si>
    <t>Y428</t>
  </si>
  <si>
    <t>X13</t>
  </si>
  <si>
    <t>Y13</t>
  </si>
  <si>
    <t>°</t>
  </si>
  <si>
    <t>'</t>
  </si>
  <si>
    <t>''</t>
  </si>
  <si>
    <t>доли °</t>
  </si>
  <si>
    <t>радианы</t>
  </si>
  <si>
    <t>Исходные данные для варианта №14</t>
  </si>
  <si>
    <t>Точка</t>
  </si>
  <si>
    <t>Расстояние</t>
  </si>
  <si>
    <t>ΔX</t>
  </si>
  <si>
    <t>ΔY</t>
  </si>
  <si>
    <t>Vx</t>
  </si>
  <si>
    <t>Vy</t>
  </si>
  <si>
    <t>X</t>
  </si>
  <si>
    <t>Y</t>
  </si>
  <si>
    <t>ств13</t>
  </si>
  <si>
    <t>ст428</t>
  </si>
  <si>
    <r>
      <t xml:space="preserve">Измеренный угол </t>
    </r>
    <r>
      <rPr>
        <b/>
        <sz val="11"/>
        <color theme="1"/>
        <rFont val="Calibri"/>
        <family val="2"/>
        <charset val="204"/>
      </rPr>
      <t>β</t>
    </r>
  </si>
  <si>
    <r>
      <t xml:space="preserve">Дирекционный угол </t>
    </r>
    <r>
      <rPr>
        <b/>
        <sz val="11"/>
        <color theme="1"/>
        <rFont val="Calibri"/>
        <family val="2"/>
        <charset val="204"/>
      </rPr>
      <t>α</t>
    </r>
  </si>
  <si>
    <t>α428-1101</t>
  </si>
  <si>
    <t>Ведомость вычисления координат пунктов полигонометрии</t>
  </si>
  <si>
    <t>сумма</t>
  </si>
  <si>
    <t>fx</t>
  </si>
  <si>
    <t>fy</t>
  </si>
  <si>
    <t>fs</t>
  </si>
  <si>
    <t>Невязки</t>
  </si>
  <si>
    <t>L</t>
  </si>
  <si>
    <t>fs/L</t>
  </si>
  <si>
    <t>1/8560</t>
  </si>
  <si>
    <t>не удвл.</t>
  </si>
  <si>
    <t>t</t>
  </si>
  <si>
    <t>u</t>
  </si>
  <si>
    <t>контроль</t>
  </si>
  <si>
    <t>не выпол.</t>
  </si>
  <si>
    <t>Сдвиги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</si>
</sst>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0" fontId="0" fillId="0" borderId="1" xfId="0" applyBorder="1"/>
    <xf numFmtId="16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2" borderId="1" xfId="0" applyFill="1" applyBorder="1"/>
    <xf numFmtId="164" fontId="0" fillId="2" borderId="1" xfId="0" applyNumberFormat="1" applyFill="1" applyBorder="1"/>
    <xf numFmtId="0" fontId="6" fillId="2" borderId="1" xfId="0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1" xfId="0" applyNumberFormat="1" applyBorder="1"/>
    <xf numFmtId="0" fontId="6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"/>
  <sheetViews>
    <sheetView tabSelected="1" workbookViewId="0">
      <selection activeCell="M14" sqref="M14"/>
    </sheetView>
  </sheetViews>
  <sheetFormatPr defaultRowHeight="15" x14ac:dyDescent="0.25"/>
  <cols>
    <col min="1" max="1" width="9.7109375" customWidth="1"/>
    <col min="2" max="2" width="13.5703125" customWidth="1"/>
    <col min="3" max="3" width="15.42578125" customWidth="1"/>
    <col min="4" max="4" width="10.7109375" customWidth="1"/>
    <col min="11" max="11" width="8.140625" customWidth="1"/>
    <col min="12" max="12" width="10.5703125" customWidth="1"/>
    <col min="14" max="14" width="10.7109375" customWidth="1"/>
  </cols>
  <sheetData>
    <row r="1" spans="1:13" ht="18.75" x14ac:dyDescent="0.3">
      <c r="A1" s="23" t="s">
        <v>9</v>
      </c>
      <c r="B1" s="23"/>
      <c r="C1" s="23"/>
      <c r="D1" s="23"/>
      <c r="E1" s="23"/>
      <c r="F1" s="23"/>
    </row>
    <row r="2" spans="1:13" x14ac:dyDescent="0.25">
      <c r="A2" s="11" t="s">
        <v>0</v>
      </c>
      <c r="B2" s="7">
        <v>7478.22</v>
      </c>
      <c r="C2" s="1"/>
      <c r="D2" s="1"/>
    </row>
    <row r="3" spans="1:13" x14ac:dyDescent="0.25">
      <c r="A3" s="8" t="s">
        <v>1</v>
      </c>
      <c r="B3" s="3">
        <v>5848.0360000000001</v>
      </c>
      <c r="C3" s="1"/>
      <c r="D3" s="1"/>
    </row>
    <row r="4" spans="1:13" x14ac:dyDescent="0.25">
      <c r="A4" s="22" t="s">
        <v>22</v>
      </c>
      <c r="B4" s="4" t="s">
        <v>4</v>
      </c>
      <c r="C4" s="5" t="s">
        <v>5</v>
      </c>
      <c r="D4" s="5" t="s">
        <v>6</v>
      </c>
      <c r="E4" s="6" t="s">
        <v>7</v>
      </c>
      <c r="F4" s="6" t="s">
        <v>8</v>
      </c>
    </row>
    <row r="5" spans="1:13" x14ac:dyDescent="0.25">
      <c r="A5" s="22"/>
      <c r="B5" s="2">
        <v>202</v>
      </c>
      <c r="C5" s="2">
        <v>25</v>
      </c>
      <c r="D5" s="2">
        <v>34</v>
      </c>
      <c r="E5" s="6">
        <f>B5+C5/60 + D5 / 3600</f>
        <v>202.42611111111111</v>
      </c>
      <c r="F5" s="6">
        <f>RADIANS(E5)</f>
        <v>3.5330021308967661</v>
      </c>
    </row>
    <row r="6" spans="1:13" x14ac:dyDescent="0.25">
      <c r="A6" s="8" t="s">
        <v>2</v>
      </c>
      <c r="B6" s="3">
        <v>7215.3</v>
      </c>
      <c r="C6" s="1"/>
      <c r="D6" s="1"/>
    </row>
    <row r="7" spans="1:13" x14ac:dyDescent="0.25">
      <c r="A7" s="12" t="s">
        <v>3</v>
      </c>
      <c r="B7" s="16">
        <v>6441.2640000000001</v>
      </c>
      <c r="C7" s="1"/>
      <c r="D7" s="1"/>
    </row>
    <row r="8" spans="1:13" x14ac:dyDescent="0.25">
      <c r="A8" s="24" t="s">
        <v>23</v>
      </c>
      <c r="B8" s="24"/>
      <c r="C8" s="24"/>
      <c r="D8" s="24"/>
      <c r="E8" s="24"/>
      <c r="F8" s="24"/>
      <c r="G8" s="24"/>
      <c r="H8" s="24"/>
      <c r="I8" s="24"/>
      <c r="J8" s="24"/>
    </row>
    <row r="9" spans="1:13" x14ac:dyDescent="0.25">
      <c r="A9" s="24"/>
      <c r="B9" s="24"/>
      <c r="C9" s="24"/>
      <c r="D9" s="24"/>
      <c r="E9" s="24"/>
      <c r="F9" s="24"/>
      <c r="G9" s="24"/>
      <c r="H9" s="24"/>
      <c r="I9" s="24"/>
      <c r="J9" s="24"/>
    </row>
    <row r="10" spans="1:13" ht="30" x14ac:dyDescent="0.25">
      <c r="A10" s="8" t="s">
        <v>10</v>
      </c>
      <c r="B10" s="9" t="s">
        <v>20</v>
      </c>
      <c r="C10" s="9" t="s">
        <v>21</v>
      </c>
      <c r="D10" s="8" t="s">
        <v>11</v>
      </c>
      <c r="E10" s="10" t="s">
        <v>12</v>
      </c>
      <c r="F10" s="10" t="s">
        <v>13</v>
      </c>
      <c r="G10" s="8" t="s">
        <v>14</v>
      </c>
      <c r="H10" s="8" t="s">
        <v>15</v>
      </c>
      <c r="I10" s="8" t="s">
        <v>16</v>
      </c>
      <c r="J10" s="8" t="s">
        <v>17</v>
      </c>
    </row>
    <row r="11" spans="1:13" ht="15.75" x14ac:dyDescent="0.25">
      <c r="A11" s="15" t="s">
        <v>19</v>
      </c>
      <c r="B11" s="13"/>
      <c r="C11" s="13"/>
      <c r="D11" s="13"/>
      <c r="E11" s="13"/>
      <c r="F11" s="13"/>
      <c r="G11" s="13"/>
      <c r="H11" s="13"/>
      <c r="I11" s="14">
        <f>B2</f>
        <v>7478.22</v>
      </c>
      <c r="J11" s="14">
        <f>B3</f>
        <v>5848.0360000000001</v>
      </c>
    </row>
    <row r="12" spans="1:13" x14ac:dyDescent="0.25">
      <c r="A12" s="2"/>
      <c r="B12" s="6"/>
      <c r="C12" s="6">
        <f>E5</f>
        <v>202.42611111111111</v>
      </c>
      <c r="D12" s="6">
        <v>45.216000000000001</v>
      </c>
      <c r="E12" s="6">
        <f>D12*COS(RADIANS(C12))</f>
        <v>-41.796416757781934</v>
      </c>
      <c r="F12" s="6">
        <f>D12*SIN(RADIANS(C12))</f>
        <v>-17.249527593815589</v>
      </c>
      <c r="G12" s="6"/>
      <c r="H12" s="6"/>
      <c r="I12" s="6"/>
      <c r="J12" s="6"/>
    </row>
    <row r="13" spans="1:13" ht="15.75" x14ac:dyDescent="0.25">
      <c r="A13" s="15">
        <v>1101</v>
      </c>
      <c r="B13" s="13">
        <f>92 + 14/60 + 20/3600</f>
        <v>92.238888888888894</v>
      </c>
      <c r="C13" s="13"/>
      <c r="D13" s="13"/>
      <c r="E13" s="13"/>
      <c r="F13" s="13"/>
      <c r="G13" s="13"/>
      <c r="H13" s="13"/>
      <c r="I13" s="14">
        <f>I11+E12</f>
        <v>7436.4235832422182</v>
      </c>
      <c r="J13" s="14">
        <f>J11+F12</f>
        <v>5830.7864724061847</v>
      </c>
      <c r="L13" s="25" t="s">
        <v>28</v>
      </c>
      <c r="M13" s="25"/>
    </row>
    <row r="14" spans="1:13" ht="15.75" x14ac:dyDescent="0.25">
      <c r="A14" s="2"/>
      <c r="B14" s="6"/>
      <c r="C14" s="6">
        <f>C12+B13-180</f>
        <v>114.66500000000002</v>
      </c>
      <c r="D14" s="6">
        <v>50.829000000000001</v>
      </c>
      <c r="E14" s="6">
        <f>D14*COS(RADIANS(C14))</f>
        <v>-21.211552654742118</v>
      </c>
      <c r="F14" s="6">
        <f t="shared" ref="F14:F40" si="0">D14*SIN(RADIANS(C14))</f>
        <v>46.191528173195387</v>
      </c>
      <c r="G14" s="6"/>
      <c r="H14" s="6"/>
      <c r="I14" s="6"/>
      <c r="J14" s="6"/>
      <c r="L14" s="18" t="s">
        <v>25</v>
      </c>
      <c r="M14" s="17">
        <f>B6-I41</f>
        <v>-7.5396783171527204E-2</v>
      </c>
    </row>
    <row r="15" spans="1:13" ht="15.75" x14ac:dyDescent="0.25">
      <c r="A15" s="15">
        <v>1103</v>
      </c>
      <c r="B15" s="13">
        <f>181 + 4/60 + 53/3600</f>
        <v>181.08138888888888</v>
      </c>
      <c r="C15" s="13"/>
      <c r="D15" s="13"/>
      <c r="E15" s="13"/>
      <c r="F15" s="13"/>
      <c r="G15" s="13"/>
      <c r="H15" s="13"/>
      <c r="I15" s="14">
        <f>I13+E14</f>
        <v>7415.212030587476</v>
      </c>
      <c r="J15" s="14">
        <f>J13+F14</f>
        <v>5876.97800057938</v>
      </c>
      <c r="L15" s="18" t="s">
        <v>26</v>
      </c>
      <c r="M15" s="17">
        <f>B7-J41</f>
        <v>1.0089646317283041E-2</v>
      </c>
    </row>
    <row r="16" spans="1:13" ht="15.75" x14ac:dyDescent="0.25">
      <c r="A16" s="2"/>
      <c r="B16" s="6"/>
      <c r="C16" s="6">
        <f>C14+B15-180</f>
        <v>115.74638888888887</v>
      </c>
      <c r="D16" s="6">
        <v>49.234999999999999</v>
      </c>
      <c r="E16" s="6">
        <f>D16*COS(RADIANS(C16))</f>
        <v>-21.387117272350888</v>
      </c>
      <c r="F16" s="6">
        <f t="shared" si="0"/>
        <v>44.347225840842739</v>
      </c>
      <c r="G16" s="6"/>
      <c r="H16" s="6"/>
      <c r="I16" s="6"/>
      <c r="J16" s="6"/>
      <c r="L16" s="18" t="s">
        <v>27</v>
      </c>
      <c r="M16" s="6">
        <f>SQRT(M14*M14+M15*M15)</f>
        <v>7.6068889011356999E-2</v>
      </c>
    </row>
    <row r="17" spans="1:14" ht="15.75" x14ac:dyDescent="0.25">
      <c r="A17" s="15">
        <v>1105</v>
      </c>
      <c r="B17" s="13">
        <f>179+33/60+17/3600</f>
        <v>179.55472222222224</v>
      </c>
      <c r="C17" s="13"/>
      <c r="D17" s="13"/>
      <c r="E17" s="13"/>
      <c r="F17" s="13"/>
      <c r="G17" s="13"/>
      <c r="H17" s="13"/>
      <c r="I17" s="14">
        <f>I15+E16</f>
        <v>7393.8249133151248</v>
      </c>
      <c r="J17" s="14">
        <f>J15+F16</f>
        <v>5921.3252264202229</v>
      </c>
    </row>
    <row r="18" spans="1:14" ht="15.75" x14ac:dyDescent="0.25">
      <c r="A18" s="2"/>
      <c r="B18" s="6"/>
      <c r="C18" s="6">
        <f>C16+B17-180</f>
        <v>115.30111111111114</v>
      </c>
      <c r="D18" s="6">
        <v>50.113</v>
      </c>
      <c r="E18" s="6">
        <f>D18*COS(RADIANS(C18))</f>
        <v>-21.417063208241576</v>
      </c>
      <c r="F18" s="6">
        <f t="shared" si="0"/>
        <v>45.305873488259614</v>
      </c>
      <c r="G18" s="6"/>
      <c r="H18" s="6"/>
      <c r="I18" s="6"/>
      <c r="J18" s="6"/>
      <c r="L18" s="21" t="s">
        <v>29</v>
      </c>
      <c r="M18" s="6">
        <f>D42-D40-D12</f>
        <v>651.22299999999996</v>
      </c>
    </row>
    <row r="19" spans="1:14" ht="15.75" x14ac:dyDescent="0.25">
      <c r="A19" s="15">
        <v>1107</v>
      </c>
      <c r="B19" s="13">
        <f>180+56/60 + 43/3600</f>
        <v>180.94527777777779</v>
      </c>
      <c r="C19" s="13"/>
      <c r="D19" s="13"/>
      <c r="E19" s="13"/>
      <c r="F19" s="13"/>
      <c r="G19" s="13"/>
      <c r="H19" s="13"/>
      <c r="I19" s="14">
        <f>I17+E18</f>
        <v>7372.4078501068834</v>
      </c>
      <c r="J19" s="14">
        <f>J17+F18</f>
        <v>5966.6310999084826</v>
      </c>
      <c r="L19" s="21" t="s">
        <v>30</v>
      </c>
      <c r="M19" s="6">
        <f>M16/M18</f>
        <v>1.168092788666202E-4</v>
      </c>
    </row>
    <row r="20" spans="1:14" ht="15.75" x14ac:dyDescent="0.25">
      <c r="A20" s="2"/>
      <c r="B20" s="6"/>
      <c r="C20" s="6">
        <f>C18+B19-180</f>
        <v>116.24638888888893</v>
      </c>
      <c r="D20" s="6">
        <v>50.277999999999999</v>
      </c>
      <c r="E20" s="6">
        <f>D20*COS(RADIANS(C20))</f>
        <v>-22.234548703270558</v>
      </c>
      <c r="F20" s="6">
        <f t="shared" si="0"/>
        <v>45.094369138085185</v>
      </c>
      <c r="G20" s="6"/>
      <c r="H20" s="6"/>
      <c r="I20" s="6"/>
      <c r="J20" s="6"/>
      <c r="L20" s="21" t="s">
        <v>30</v>
      </c>
      <c r="M20" s="20" t="s">
        <v>31</v>
      </c>
      <c r="N20" s="19" t="s">
        <v>32</v>
      </c>
    </row>
    <row r="21" spans="1:14" ht="15.75" x14ac:dyDescent="0.25">
      <c r="A21" s="15">
        <v>1109</v>
      </c>
      <c r="B21" s="13">
        <f>179 + 28/60 + 37/3600</f>
        <v>179.47694444444446</v>
      </c>
      <c r="C21" s="13"/>
      <c r="D21" s="13"/>
      <c r="E21" s="13"/>
      <c r="F21" s="13"/>
      <c r="G21" s="13"/>
      <c r="H21" s="13"/>
      <c r="I21" s="14">
        <f>I19+E20</f>
        <v>7350.1733014036126</v>
      </c>
      <c r="J21" s="14">
        <f>J19+F20</f>
        <v>6011.7254690465679</v>
      </c>
    </row>
    <row r="22" spans="1:14" x14ac:dyDescent="0.25">
      <c r="A22" s="2"/>
      <c r="B22" s="6"/>
      <c r="C22" s="6">
        <f>C20+B21-180</f>
        <v>115.72333333333336</v>
      </c>
      <c r="D22" s="6">
        <v>50.295999999999999</v>
      </c>
      <c r="E22" s="6">
        <f>D22*COS(RADIANS(C22))</f>
        <v>-21.829772016368373</v>
      </c>
      <c r="F22" s="6">
        <f t="shared" si="0"/>
        <v>45.311683589482527</v>
      </c>
      <c r="G22" s="6"/>
      <c r="H22" s="6"/>
      <c r="I22" s="6"/>
      <c r="J22" s="6"/>
      <c r="L22" s="26" t="s">
        <v>37</v>
      </c>
      <c r="M22" s="26"/>
    </row>
    <row r="23" spans="1:14" ht="15.75" x14ac:dyDescent="0.25">
      <c r="A23" s="15">
        <v>1111</v>
      </c>
      <c r="B23" s="13">
        <f>182 + 15/60 + 39/3600</f>
        <v>182.26083333333332</v>
      </c>
      <c r="C23" s="13"/>
      <c r="D23" s="13"/>
      <c r="E23" s="13"/>
      <c r="F23" s="13"/>
      <c r="G23" s="13"/>
      <c r="H23" s="13"/>
      <c r="I23" s="14">
        <f>I21+E22</f>
        <v>7328.3435293872444</v>
      </c>
      <c r="J23" s="14">
        <f>J21+F22</f>
        <v>6057.0371526360505</v>
      </c>
      <c r="L23" s="21" t="s">
        <v>33</v>
      </c>
      <c r="M23" s="6">
        <f>(M15*F42+M14*E42)/M18</f>
        <v>3.9622366625705181E-2</v>
      </c>
    </row>
    <row r="24" spans="1:14" ht="15.75" x14ac:dyDescent="0.25">
      <c r="A24" s="2"/>
      <c r="B24" s="6"/>
      <c r="C24" s="6">
        <f>C22+B23-180</f>
        <v>117.98416666666668</v>
      </c>
      <c r="D24" s="6">
        <v>49.826999999999998</v>
      </c>
      <c r="E24" s="6">
        <f>D24*COS(RADIANS(C24))</f>
        <v>-23.380201022822373</v>
      </c>
      <c r="F24" s="6">
        <f t="shared" si="0"/>
        <v>44.001092362944988</v>
      </c>
      <c r="G24" s="6"/>
      <c r="H24" s="6"/>
      <c r="I24" s="6"/>
      <c r="J24" s="6"/>
      <c r="L24" s="21" t="s">
        <v>34</v>
      </c>
      <c r="M24" s="6">
        <f>(M15*F42-M14*E42)/M18</f>
        <v>-2.1240463945528431E-2</v>
      </c>
    </row>
    <row r="25" spans="1:14" ht="15.75" x14ac:dyDescent="0.25">
      <c r="A25" s="15">
        <v>1113</v>
      </c>
      <c r="B25" s="13">
        <f>172 + 54/60 + 48/3600</f>
        <v>172.91333333333333</v>
      </c>
      <c r="C25" s="13"/>
      <c r="D25" s="13"/>
      <c r="E25" s="13"/>
      <c r="F25" s="13"/>
      <c r="G25" s="13"/>
      <c r="H25" s="13"/>
      <c r="I25" s="14">
        <f>I23+E24</f>
        <v>7304.9633283644216</v>
      </c>
      <c r="J25" s="14">
        <f>J23+F24</f>
        <v>6101.0382449989957</v>
      </c>
      <c r="L25" s="21" t="s">
        <v>35</v>
      </c>
      <c r="M25" s="6">
        <f>M16- SQRT(M23*M23+M24*M24)</f>
        <v>3.1112362837250877E-2</v>
      </c>
      <c r="N25" s="19" t="s">
        <v>36</v>
      </c>
    </row>
    <row r="26" spans="1:14" x14ac:dyDescent="0.25">
      <c r="A26" s="2"/>
      <c r="B26" s="6"/>
      <c r="C26" s="6">
        <f>C24+B25-180</f>
        <v>110.89750000000004</v>
      </c>
      <c r="D26" s="6">
        <v>49.985999999999997</v>
      </c>
      <c r="E26" s="6">
        <f>D26*COS(RADIANS(C26))</f>
        <v>-17.82986806969431</v>
      </c>
      <c r="F26" s="6">
        <f t="shared" si="0"/>
        <v>46.697922872621376</v>
      </c>
      <c r="G26" s="6"/>
      <c r="H26" s="6"/>
      <c r="I26" s="6"/>
      <c r="J26" s="6"/>
    </row>
    <row r="27" spans="1:14" ht="15.75" x14ac:dyDescent="0.25">
      <c r="A27" s="15">
        <v>1115</v>
      </c>
      <c r="B27" s="13">
        <f>173 + 6/60 + 25/3600</f>
        <v>173.10694444444445</v>
      </c>
      <c r="C27" s="13"/>
      <c r="D27" s="13"/>
      <c r="E27" s="13"/>
      <c r="F27" s="13"/>
      <c r="G27" s="13"/>
      <c r="H27" s="13"/>
      <c r="I27" s="14">
        <f>I25+E26</f>
        <v>7287.1334602947272</v>
      </c>
      <c r="J27" s="14">
        <f>J25+F26</f>
        <v>6147.736167871617</v>
      </c>
    </row>
    <row r="28" spans="1:14" x14ac:dyDescent="0.25">
      <c r="A28" s="2"/>
      <c r="B28" s="6"/>
      <c r="C28" s="6">
        <f>C26+B27-180</f>
        <v>104.00444444444452</v>
      </c>
      <c r="D28" s="6">
        <v>50.106999999999999</v>
      </c>
      <c r="E28" s="6">
        <f>D28*COS(RADIANS(C28))</f>
        <v>-12.125751740946052</v>
      </c>
      <c r="F28" s="6">
        <f t="shared" si="0"/>
        <v>48.617667505927756</v>
      </c>
      <c r="G28" s="6"/>
      <c r="H28" s="6"/>
      <c r="I28" s="6"/>
      <c r="J28" s="6"/>
    </row>
    <row r="29" spans="1:14" ht="15.75" x14ac:dyDescent="0.25">
      <c r="A29" s="15">
        <v>1117</v>
      </c>
      <c r="B29" s="13">
        <f>183+42/60 + 17/3600</f>
        <v>183.70472222222222</v>
      </c>
      <c r="C29" s="13"/>
      <c r="D29" s="13"/>
      <c r="E29" s="13"/>
      <c r="F29" s="13"/>
      <c r="G29" s="13"/>
      <c r="H29" s="13"/>
      <c r="I29" s="14">
        <f>I27+E28</f>
        <v>7275.0077085537814</v>
      </c>
      <c r="J29" s="14">
        <f>J27+F28</f>
        <v>6196.3538353775448</v>
      </c>
    </row>
    <row r="30" spans="1:14" x14ac:dyDescent="0.25">
      <c r="A30" s="2"/>
      <c r="B30" s="6"/>
      <c r="C30" s="6">
        <f>C28+B29-180</f>
        <v>107.70916666666676</v>
      </c>
      <c r="D30" s="6">
        <v>50.308999999999997</v>
      </c>
      <c r="E30" s="6">
        <f>D30*COS(RADIANS(C30))</f>
        <v>-15.303266907288018</v>
      </c>
      <c r="F30" s="6">
        <f t="shared" si="0"/>
        <v>47.924998726805441</v>
      </c>
      <c r="G30" s="6"/>
      <c r="H30" s="6"/>
      <c r="I30" s="6"/>
      <c r="J30" s="6"/>
    </row>
    <row r="31" spans="1:14" ht="15.75" x14ac:dyDescent="0.25">
      <c r="A31" s="15">
        <v>1119</v>
      </c>
      <c r="B31" s="13">
        <f>179 + 37/60 + 49/3600</f>
        <v>179.63027777777779</v>
      </c>
      <c r="C31" s="13"/>
      <c r="D31" s="13"/>
      <c r="E31" s="13"/>
      <c r="F31" s="13"/>
      <c r="G31" s="13"/>
      <c r="H31" s="13"/>
      <c r="I31" s="14">
        <f>I29+E30</f>
        <v>7259.7044416464933</v>
      </c>
      <c r="J31" s="14">
        <f>J29+F30</f>
        <v>6244.2788341043506</v>
      </c>
    </row>
    <row r="32" spans="1:14" x14ac:dyDescent="0.25">
      <c r="A32" s="2"/>
      <c r="B32" s="6"/>
      <c r="C32" s="6">
        <f>C30+B31-180</f>
        <v>107.33944444444455</v>
      </c>
      <c r="D32" s="6">
        <v>50.262999999999998</v>
      </c>
      <c r="E32" s="6">
        <f>D32*COS(RADIANS(C32))</f>
        <v>-14.979987176675467</v>
      </c>
      <c r="F32" s="6">
        <f t="shared" si="0"/>
        <v>47.97884068197812</v>
      </c>
      <c r="G32" s="6"/>
      <c r="H32" s="6"/>
      <c r="I32" s="6"/>
      <c r="J32" s="6"/>
    </row>
    <row r="33" spans="1:10" ht="15.75" x14ac:dyDescent="0.25">
      <c r="A33" s="15">
        <v>1121</v>
      </c>
      <c r="B33" s="13">
        <f>179 + 47/60 + 18/3600</f>
        <v>179.78833333333333</v>
      </c>
      <c r="C33" s="13"/>
      <c r="D33" s="13"/>
      <c r="E33" s="13"/>
      <c r="F33" s="13"/>
      <c r="G33" s="13"/>
      <c r="H33" s="13"/>
      <c r="I33" s="14">
        <f>I31+E32</f>
        <v>7244.7244544698178</v>
      </c>
      <c r="J33" s="14">
        <f>J31+F32</f>
        <v>6292.2576747863286</v>
      </c>
    </row>
    <row r="34" spans="1:10" x14ac:dyDescent="0.25">
      <c r="A34" s="2"/>
      <c r="B34" s="6"/>
      <c r="C34" s="6">
        <f>C32+B33-180</f>
        <v>107.12777777777785</v>
      </c>
      <c r="D34" s="6">
        <v>49.911000000000001</v>
      </c>
      <c r="E34" s="6">
        <f>D34*COS(RADIANS(C34))</f>
        <v>-14.698972782564516</v>
      </c>
      <c r="F34" s="6">
        <f t="shared" si="0"/>
        <v>47.697464504283957</v>
      </c>
      <c r="G34" s="6"/>
      <c r="H34" s="6"/>
      <c r="I34" s="6"/>
      <c r="J34" s="6"/>
    </row>
    <row r="35" spans="1:10" ht="15.75" x14ac:dyDescent="0.25">
      <c r="A35" s="15">
        <v>1123</v>
      </c>
      <c r="B35" s="13">
        <f>180 + 16/60 + 43/3600</f>
        <v>180.27861111111113</v>
      </c>
      <c r="C35" s="13"/>
      <c r="D35" s="13"/>
      <c r="E35" s="13"/>
      <c r="F35" s="13"/>
      <c r="G35" s="13"/>
      <c r="H35" s="13"/>
      <c r="I35" s="14">
        <f>I33+E34</f>
        <v>7230.025481687253</v>
      </c>
      <c r="J35" s="14">
        <f>J33+F34</f>
        <v>6339.9551392906124</v>
      </c>
    </row>
    <row r="36" spans="1:10" x14ac:dyDescent="0.25">
      <c r="A36" s="2"/>
      <c r="B36" s="6"/>
      <c r="C36" s="6">
        <f>C34+B35-180</f>
        <v>107.40638888888896</v>
      </c>
      <c r="D36" s="6">
        <v>49.893000000000001</v>
      </c>
      <c r="E36" s="6">
        <f>D36*COS(RADIANS(C36))</f>
        <v>-14.925351000784117</v>
      </c>
      <c r="F36" s="6">
        <f t="shared" si="0"/>
        <v>47.608248723339869</v>
      </c>
      <c r="G36" s="6"/>
      <c r="H36" s="6"/>
      <c r="I36" s="6"/>
      <c r="J36" s="6"/>
    </row>
    <row r="37" spans="1:10" ht="15.75" x14ac:dyDescent="0.25">
      <c r="A37" s="15">
        <v>1125</v>
      </c>
      <c r="B37" s="13">
        <f>179 + 51/60 + 58/3600</f>
        <v>179.86611111111111</v>
      </c>
      <c r="C37" s="13"/>
      <c r="D37" s="13"/>
      <c r="E37" s="13"/>
      <c r="F37" s="13"/>
      <c r="G37" s="13"/>
      <c r="H37" s="13"/>
      <c r="I37" s="14">
        <f>I35+E36</f>
        <v>7215.1001306864691</v>
      </c>
      <c r="J37" s="14">
        <f>J35+F36</f>
        <v>6387.5633880139521</v>
      </c>
    </row>
    <row r="38" spans="1:10" x14ac:dyDescent="0.25">
      <c r="A38" s="2"/>
      <c r="B38" s="6"/>
      <c r="C38" s="6">
        <f>C36+B37-180</f>
        <v>107.27250000000004</v>
      </c>
      <c r="D38" s="6">
        <v>50.176000000000002</v>
      </c>
      <c r="E38" s="6">
        <f>D38*COS(RADIANS(C38))</f>
        <v>-14.898086697205132</v>
      </c>
      <c r="F38" s="6">
        <f t="shared" si="0"/>
        <v>47.913233962680494</v>
      </c>
      <c r="G38" s="6"/>
      <c r="H38" s="6"/>
      <c r="I38" s="6"/>
      <c r="J38" s="6"/>
    </row>
    <row r="39" spans="1:10" ht="15.75" x14ac:dyDescent="0.25">
      <c r="A39" s="15">
        <v>1127</v>
      </c>
      <c r="B39" s="13">
        <f>93 + 34/60 + 19/3600</f>
        <v>93.571944444444441</v>
      </c>
      <c r="C39" s="13"/>
      <c r="D39" s="13"/>
      <c r="E39" s="13"/>
      <c r="F39" s="13"/>
      <c r="G39" s="13"/>
      <c r="H39" s="13"/>
      <c r="I39" s="14">
        <f>I37+E38</f>
        <v>7200.202043989264</v>
      </c>
      <c r="J39" s="14">
        <f>J37+F38</f>
        <v>6435.4766219766325</v>
      </c>
    </row>
    <row r="40" spans="1:10" x14ac:dyDescent="0.25">
      <c r="A40" s="2"/>
      <c r="B40" s="6"/>
      <c r="C40" s="6">
        <f>C38+B39-180</f>
        <v>20.844444444444491</v>
      </c>
      <c r="D40" s="6">
        <v>16.236000000000001</v>
      </c>
      <c r="E40" s="6">
        <f>D40*COS(RADIANS(C40))</f>
        <v>15.173352793908043</v>
      </c>
      <c r="F40" s="6">
        <f t="shared" si="0"/>
        <v>5.7772883770505175</v>
      </c>
      <c r="G40" s="6"/>
      <c r="H40" s="6"/>
      <c r="I40" s="6"/>
      <c r="J40" s="6"/>
    </row>
    <row r="41" spans="1:10" ht="15.75" x14ac:dyDescent="0.25">
      <c r="A41" s="15" t="s">
        <v>18</v>
      </c>
      <c r="B41" s="13"/>
      <c r="C41" s="13"/>
      <c r="D41" s="13"/>
      <c r="E41" s="13"/>
      <c r="F41" s="13"/>
      <c r="G41" s="13"/>
      <c r="H41" s="13"/>
      <c r="I41" s="14">
        <f>I39+E40</f>
        <v>7215.3753967831717</v>
      </c>
      <c r="J41" s="14">
        <f>J39+F40</f>
        <v>6441.2539103536828</v>
      </c>
    </row>
    <row r="42" spans="1:10" x14ac:dyDescent="0.25">
      <c r="A42" s="8" t="s">
        <v>24</v>
      </c>
      <c r="B42" s="6">
        <f>SUM(B11:B41)</f>
        <v>2338.4183333333335</v>
      </c>
      <c r="C42" s="6"/>
      <c r="D42" s="6">
        <f t="shared" ref="D42:F42" si="1">SUM(D11:D41)</f>
        <v>712.67499999999995</v>
      </c>
      <c r="E42" s="6">
        <f t="shared" si="1"/>
        <v>-262.84460321682735</v>
      </c>
      <c r="F42" s="6">
        <f t="shared" si="1"/>
        <v>593.21791035368233</v>
      </c>
      <c r="G42" s="6"/>
      <c r="H42" s="6"/>
      <c r="I42" s="6"/>
      <c r="J42" s="6"/>
    </row>
  </sheetData>
  <mergeCells count="5">
    <mergeCell ref="A4:A5"/>
    <mergeCell ref="A1:F1"/>
    <mergeCell ref="A8:J9"/>
    <mergeCell ref="L13:M13"/>
    <mergeCell ref="L22:M22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2020-11-05T14:00:54Z</dcterms:modified>
</cp:coreProperties>
</file>