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theme/themeOverride1.xml" ContentType="application/vnd.openxmlformats-officedocument.themeOverride+xml"/>
  <Override PartName="/xl/charts/chart5.xml" ContentType="application/vnd.openxmlformats-officedocument.drawingml.chart+xml"/>
  <Override PartName="/xl/theme/themeOverride2.xml" ContentType="application/vnd.openxmlformats-officedocument.themeOverride+xml"/>
  <Override PartName="/xl/charts/chart6.xml" ContentType="application/vnd.openxmlformats-officedocument.drawingml.chart+xml"/>
  <Override PartName="/xl/theme/themeOverride3.xml" ContentType="application/vnd.openxmlformats-officedocument.themeOverride+xml"/>
  <Override PartName="/xl/charts/chart7.xml" ContentType="application/vnd.openxmlformats-officedocument.drawingml.chart+xml"/>
  <Override PartName="/xl/theme/themeOverride4.xml" ContentType="application/vnd.openxmlformats-officedocument.themeOverride+xml"/>
  <Override PartName="/xl/charts/chart8.xml" ContentType="application/vnd.openxmlformats-officedocument.drawingml.chart+xml"/>
  <Override PartName="/xl/theme/themeOverride5.xml" ContentType="application/vnd.openxmlformats-officedocument.themeOverride+xml"/>
  <Override PartName="/xl/charts/chart9.xml" ContentType="application/vnd.openxmlformats-officedocument.drawingml.chart+xml"/>
  <Override PartName="/xl/theme/themeOverride6.xml" ContentType="application/vnd.openxmlformats-officedocument.themeOverride+xml"/>
  <Override PartName="/xl/charts/chart10.xml" ContentType="application/vnd.openxmlformats-officedocument.drawingml.chart+xml"/>
  <Override PartName="/xl/theme/themeOverride7.xml" ContentType="application/vnd.openxmlformats-officedocument.themeOverride+xml"/>
  <Override PartName="/xl/charts/chart11.xml" ContentType="application/vnd.openxmlformats-officedocument.drawingml.chart+xml"/>
  <Override PartName="/xl/theme/themeOverride8.xml" ContentType="application/vnd.openxmlformats-officedocument.themeOverride+xml"/>
  <Override PartName="/xl/charts/chart12.xml" ContentType="application/vnd.openxmlformats-officedocument.drawingml.chart+xml"/>
  <Override PartName="/xl/theme/themeOverride9.xml" ContentType="application/vnd.openxmlformats-officedocument.themeOverride+xml"/>
  <Override PartName="/xl/charts/chart13.xml" ContentType="application/vnd.openxmlformats-officedocument.drawingml.chart+xml"/>
  <Override PartName="/xl/theme/themeOverride10.xml" ContentType="application/vnd.openxmlformats-officedocument.themeOverride+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omments5.xml" ContentType="application/vnd.openxmlformats-officedocument.spreadsheetml.comment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8.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drawings/drawing9.xml" ContentType="application/vnd.openxmlformats-officedocument.drawing+xml"/>
  <Override PartName="/xl/charts/chart30.xml" ContentType="application/vnd.openxmlformats-officedocument.drawingml.chart+xml"/>
  <Override PartName="/xl/drawings/drawing10.xml" ContentType="application/vnd.openxmlformats-officedocument.drawingml.chartshapes+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drawings/drawing11.xml" ContentType="application/vnd.openxmlformats-officedocument.drawing+xml"/>
  <Override PartName="/xl/charts/chart34.xml" ContentType="application/vnd.openxmlformats-officedocument.drawingml.chart+xml"/>
  <Override PartName="/xl/drawings/drawing12.xml" ContentType="application/vnd.openxmlformats-officedocument.drawingml.chartshapes+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drawings/drawing13.xml" ContentType="application/vnd.openxmlformats-officedocument.drawing+xml"/>
  <Override PartName="/xl/charts/chart38.xml" ContentType="application/vnd.openxmlformats-officedocument.drawingml.chart+xml"/>
  <Override PartName="/xl/drawings/drawing14.xml" ContentType="application/vnd.openxmlformats-officedocument.drawingml.chartshapes+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drawings/drawing15.xml" ContentType="application/vnd.openxmlformats-officedocument.drawing+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drawings/drawing16.xml" ContentType="application/vnd.openxmlformats-officedocument.drawing+xml"/>
  <Override PartName="/xl/comments6.xml" ContentType="application/vnd.openxmlformats-officedocument.spreadsheetml.comments+xml"/>
  <Override PartName="/xl/drawings/drawing17.xml" ContentType="application/vnd.openxmlformats-officedocument.drawing+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drawings/drawing18.xml" ContentType="application/vnd.openxmlformats-officedocument.drawing+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codeName="ThisWorkbook" defaultThemeVersion="124226"/>
  <mc:AlternateContent xmlns:mc="http://schemas.openxmlformats.org/markup-compatibility/2006">
    <mc:Choice Requires="x15">
      <x15ac:absPath xmlns:x15ac="http://schemas.microsoft.com/office/spreadsheetml/2010/11/ac" url="C:\Users\Usuario\Documents\Google Drive\GESTION DE LA PRODUCCION\Informe mensual de operaciones\2021\Informe mensual de operaciones 2021\"/>
    </mc:Choice>
  </mc:AlternateContent>
  <xr:revisionPtr revIDLastSave="0" documentId="13_ncr:1_{39C47966-F6AE-49C7-8EE7-BF3F6AE64976}" xr6:coauthVersionLast="46" xr6:coauthVersionMax="46" xr10:uidLastSave="{00000000-0000-0000-0000-000000000000}"/>
  <bookViews>
    <workbookView xWindow="-120" yWindow="-120" windowWidth="20730" windowHeight="11160" tabRatio="838" firstSheet="9" activeTab="11" xr2:uid="{00000000-000D-0000-FFFF-FFFF00000000}"/>
  </bookViews>
  <sheets>
    <sheet name="RESUMEN" sheetId="1" r:id="rId1"/>
    <sheet name="REFINACION ACEITE DE PALMA" sheetId="4" r:id="rId2"/>
    <sheet name="REFINACION GLICERINA" sheetId="61" r:id="rId3"/>
    <sheet name="INDICADORES PRODUCCION" sheetId="5" r:id="rId4"/>
    <sheet name="INVENTARIOS" sheetId="3" r:id="rId5"/>
    <sheet name="PROCESO" sheetId="62" r:id="rId6"/>
    <sheet name="ENERGIA" sheetId="40" r:id="rId7"/>
    <sheet name="CALIDAD" sheetId="6" r:id="rId8"/>
    <sheet name="PARADAS P1" sheetId="7" r:id="rId9"/>
    <sheet name="PARADAS P2" sheetId="55" r:id="rId10"/>
    <sheet name="PARADAS P3" sheetId="51" r:id="rId11"/>
    <sheet name="INDICADORES MANTENIMIENTO P1" sheetId="16" r:id="rId12"/>
    <sheet name="31-03-2013" sheetId="26" state="hidden" r:id="rId13"/>
    <sheet name="INFORME LAB MARZO 2013" sheetId="23" state="hidden" r:id="rId14"/>
    <sheet name="INDICADORES MANTENIMIENTO P2" sheetId="60" r:id="rId15"/>
    <sheet name="INDICADORES MANTENIMIENTO P3" sheetId="48" r:id="rId16"/>
  </sheets>
  <definedNames>
    <definedName name="Movimientos" localSheetId="5">#REF!</definedName>
    <definedName name="Movimientos">#REF!</definedName>
  </definedNames>
  <calcPr calcId="181029"/>
</workbook>
</file>

<file path=xl/calcChain.xml><?xml version="1.0" encoding="utf-8"?>
<calcChain xmlns="http://schemas.openxmlformats.org/spreadsheetml/2006/main">
  <c r="O17" i="4" l="1"/>
  <c r="G17" i="4"/>
  <c r="F17" i="4"/>
  <c r="O16" i="4"/>
  <c r="E16" i="4"/>
  <c r="D16" i="4"/>
  <c r="C16" i="4"/>
  <c r="B16" i="4"/>
  <c r="G16" i="4" s="1"/>
  <c r="O15" i="4"/>
  <c r="E15" i="4"/>
  <c r="D15" i="4"/>
  <c r="C15" i="4"/>
  <c r="B15" i="4"/>
  <c r="G15" i="4" s="1"/>
  <c r="O14" i="4"/>
  <c r="H14" i="4"/>
  <c r="G14" i="4"/>
  <c r="F14" i="4"/>
  <c r="O13" i="4"/>
  <c r="E13" i="4"/>
  <c r="D13" i="4"/>
  <c r="C13" i="4"/>
  <c r="B13" i="4"/>
  <c r="G13" i="4" s="1"/>
  <c r="H12" i="4"/>
  <c r="O12" i="4" s="1"/>
  <c r="G12" i="4"/>
  <c r="E12" i="4"/>
  <c r="D12" i="4"/>
  <c r="C12" i="4"/>
  <c r="B12" i="4"/>
  <c r="F12" i="4" s="1"/>
  <c r="O11" i="4"/>
  <c r="E11" i="4"/>
  <c r="D11" i="4"/>
  <c r="C11" i="4"/>
  <c r="B11" i="4"/>
  <c r="G11" i="4" s="1"/>
  <c r="O10" i="4"/>
  <c r="G10" i="4"/>
  <c r="F10" i="4"/>
  <c r="O9" i="4"/>
  <c r="G9" i="4"/>
  <c r="F9" i="4"/>
  <c r="O8" i="4"/>
  <c r="G8" i="4"/>
  <c r="F8" i="4"/>
  <c r="O7" i="4"/>
  <c r="G7" i="4"/>
  <c r="F7" i="4"/>
  <c r="F16" i="61"/>
  <c r="E16" i="61"/>
  <c r="F15" i="61"/>
  <c r="E15" i="61"/>
  <c r="F13" i="61"/>
  <c r="E13" i="61"/>
  <c r="F12" i="61"/>
  <c r="E12" i="61"/>
  <c r="F11" i="61"/>
  <c r="E11" i="61"/>
  <c r="F10" i="61"/>
  <c r="E10" i="61"/>
  <c r="F9" i="61"/>
  <c r="E9" i="61"/>
  <c r="F8" i="61"/>
  <c r="E8" i="61"/>
  <c r="F7" i="61"/>
  <c r="E7" i="61"/>
  <c r="I11" i="7"/>
  <c r="F11" i="4" l="1"/>
  <c r="F15" i="4"/>
  <c r="F13" i="4"/>
  <c r="F16" i="4"/>
  <c r="I22" i="40" l="1"/>
  <c r="M22" i="40"/>
  <c r="L22" i="40"/>
  <c r="D22" i="40"/>
  <c r="E22" i="40" s="1"/>
  <c r="R47" i="3"/>
  <c r="R41" i="3"/>
  <c r="R42" i="3" s="1"/>
  <c r="R48" i="3" l="1"/>
  <c r="M118" i="3" l="1"/>
  <c r="L118" i="3"/>
  <c r="K118" i="3"/>
  <c r="J118" i="3"/>
  <c r="I118" i="3"/>
  <c r="H118" i="3"/>
  <c r="G118" i="3"/>
  <c r="F118" i="3"/>
  <c r="E118" i="3"/>
  <c r="D118" i="3"/>
  <c r="C118" i="3"/>
  <c r="M113" i="3"/>
  <c r="L113" i="3"/>
  <c r="K113" i="3"/>
  <c r="J113" i="3"/>
  <c r="I113" i="3"/>
  <c r="H113" i="3"/>
  <c r="G113" i="3"/>
  <c r="F113" i="3"/>
  <c r="E113" i="3"/>
  <c r="D113" i="3"/>
  <c r="C113" i="3"/>
  <c r="M109" i="3"/>
  <c r="L109" i="3"/>
  <c r="K109" i="3"/>
  <c r="J109" i="3"/>
  <c r="I109" i="3"/>
  <c r="H109" i="3"/>
  <c r="G109" i="3"/>
  <c r="F109" i="3"/>
  <c r="E109" i="3"/>
  <c r="D109" i="3"/>
  <c r="C109" i="3"/>
  <c r="M105" i="3"/>
  <c r="L105" i="3"/>
  <c r="K105" i="3"/>
  <c r="J105" i="3"/>
  <c r="I105" i="3"/>
  <c r="H105" i="3"/>
  <c r="G105" i="3"/>
  <c r="F105" i="3"/>
  <c r="E105" i="3"/>
  <c r="D105" i="3"/>
  <c r="C105" i="3"/>
  <c r="M95" i="3"/>
  <c r="M102" i="3" s="1"/>
  <c r="L95" i="3"/>
  <c r="L102" i="3" s="1"/>
  <c r="K95" i="3"/>
  <c r="K102" i="3" s="1"/>
  <c r="J95" i="3"/>
  <c r="J102" i="3" s="1"/>
  <c r="I95" i="3"/>
  <c r="I102" i="3" s="1"/>
  <c r="H95" i="3"/>
  <c r="H102" i="3" s="1"/>
  <c r="G95" i="3"/>
  <c r="G102" i="3" s="1"/>
  <c r="F95" i="3"/>
  <c r="F102" i="3" s="1"/>
  <c r="E95" i="3"/>
  <c r="E102" i="3" s="1"/>
  <c r="D95" i="3"/>
  <c r="D102" i="3" s="1"/>
  <c r="C102" i="3"/>
  <c r="M89" i="3"/>
  <c r="L89" i="3"/>
  <c r="K89" i="3"/>
  <c r="J89" i="3"/>
  <c r="I89" i="3"/>
  <c r="H89" i="3"/>
  <c r="G89" i="3"/>
  <c r="F89" i="3"/>
  <c r="E89" i="3"/>
  <c r="E94" i="3" s="1"/>
  <c r="D89" i="3"/>
  <c r="D94" i="3" s="1"/>
  <c r="C94" i="3"/>
  <c r="M83" i="3"/>
  <c r="M88" i="3" s="1"/>
  <c r="L83" i="3"/>
  <c r="L88" i="3" s="1"/>
  <c r="K83" i="3"/>
  <c r="K88" i="3" s="1"/>
  <c r="J83" i="3"/>
  <c r="J88" i="3" s="1"/>
  <c r="I83" i="3"/>
  <c r="I88" i="3" s="1"/>
  <c r="H83" i="3"/>
  <c r="H88" i="3" s="1"/>
  <c r="G83" i="3"/>
  <c r="G88" i="3" s="1"/>
  <c r="F83" i="3"/>
  <c r="F88" i="3" s="1"/>
  <c r="E83" i="3"/>
  <c r="E88" i="3" s="1"/>
  <c r="D83" i="3"/>
  <c r="D88" i="3" s="1"/>
  <c r="C88" i="3"/>
  <c r="M75" i="3"/>
  <c r="M82" i="3" s="1"/>
  <c r="L75" i="3"/>
  <c r="L82" i="3" s="1"/>
  <c r="K75" i="3"/>
  <c r="K82" i="3" s="1"/>
  <c r="J75" i="3"/>
  <c r="J82" i="3" s="1"/>
  <c r="I75" i="3"/>
  <c r="I82" i="3" s="1"/>
  <c r="H75" i="3"/>
  <c r="H82" i="3" s="1"/>
  <c r="G75" i="3"/>
  <c r="G82" i="3" s="1"/>
  <c r="F75" i="3"/>
  <c r="F82" i="3" s="1"/>
  <c r="E75" i="3"/>
  <c r="E82" i="3" s="1"/>
  <c r="D75" i="3"/>
  <c r="D82" i="3" s="1"/>
  <c r="C82" i="3"/>
  <c r="C72" i="3"/>
  <c r="M67" i="3"/>
  <c r="L67" i="3"/>
  <c r="K67" i="3"/>
  <c r="J67" i="3"/>
  <c r="I67" i="3"/>
  <c r="H67" i="3"/>
  <c r="G67" i="3"/>
  <c r="F67" i="3"/>
  <c r="E67" i="3"/>
  <c r="D67" i="3"/>
  <c r="M62" i="3"/>
  <c r="M66" i="3" s="1"/>
  <c r="L62" i="3"/>
  <c r="L66" i="3" s="1"/>
  <c r="K62" i="3"/>
  <c r="K66" i="3" s="1"/>
  <c r="J62" i="3"/>
  <c r="J66" i="3" s="1"/>
  <c r="I62" i="3"/>
  <c r="I66" i="3" s="1"/>
  <c r="H62" i="3"/>
  <c r="H66" i="3" s="1"/>
  <c r="G62" i="3"/>
  <c r="G66" i="3" s="1"/>
  <c r="F62" i="3"/>
  <c r="F66" i="3" s="1"/>
  <c r="E62" i="3"/>
  <c r="E66" i="3" s="1"/>
  <c r="D62" i="3"/>
  <c r="D66" i="3" s="1"/>
  <c r="C66" i="3"/>
  <c r="M57" i="3"/>
  <c r="M61" i="3" s="1"/>
  <c r="L57" i="3"/>
  <c r="L61" i="3" s="1"/>
  <c r="K57" i="3"/>
  <c r="K61" i="3" s="1"/>
  <c r="J57" i="3"/>
  <c r="J61" i="3" s="1"/>
  <c r="I57" i="3"/>
  <c r="I61" i="3" s="1"/>
  <c r="H57" i="3"/>
  <c r="H61" i="3" s="1"/>
  <c r="G57" i="3"/>
  <c r="G61" i="3" s="1"/>
  <c r="F57" i="3"/>
  <c r="F61" i="3" s="1"/>
  <c r="E57" i="3"/>
  <c r="E61" i="3" s="1"/>
  <c r="D57" i="3"/>
  <c r="D61" i="3" s="1"/>
  <c r="C61" i="3"/>
  <c r="M51" i="3"/>
  <c r="M56" i="3" s="1"/>
  <c r="L51" i="3"/>
  <c r="L56" i="3" s="1"/>
  <c r="K51" i="3"/>
  <c r="K56" i="3" s="1"/>
  <c r="J51" i="3"/>
  <c r="J56" i="3" s="1"/>
  <c r="I51" i="3"/>
  <c r="I56" i="3" s="1"/>
  <c r="H51" i="3"/>
  <c r="H56" i="3" s="1"/>
  <c r="G51" i="3"/>
  <c r="G56" i="3" s="1"/>
  <c r="F51" i="3"/>
  <c r="F56" i="3" s="1"/>
  <c r="E51" i="3"/>
  <c r="E56" i="3" s="1"/>
  <c r="D51" i="3"/>
  <c r="D56" i="3" s="1"/>
  <c r="C56" i="3"/>
  <c r="M45" i="3"/>
  <c r="M50" i="3" s="1"/>
  <c r="L45" i="3"/>
  <c r="L50" i="3" s="1"/>
  <c r="K45" i="3"/>
  <c r="K50" i="3" s="1"/>
  <c r="J45" i="3"/>
  <c r="J50" i="3" s="1"/>
  <c r="I45" i="3"/>
  <c r="I50" i="3" s="1"/>
  <c r="H45" i="3"/>
  <c r="H50" i="3" s="1"/>
  <c r="G45" i="3"/>
  <c r="G50" i="3" s="1"/>
  <c r="F45" i="3"/>
  <c r="F50" i="3" s="1"/>
  <c r="E45" i="3"/>
  <c r="E50" i="3" s="1"/>
  <c r="D45" i="3"/>
  <c r="D50" i="3" s="1"/>
  <c r="C50" i="3"/>
  <c r="M39" i="3"/>
  <c r="M44" i="3" s="1"/>
  <c r="L39" i="3"/>
  <c r="L44" i="3" s="1"/>
  <c r="K39" i="3"/>
  <c r="K44" i="3" s="1"/>
  <c r="J39" i="3"/>
  <c r="J44" i="3" s="1"/>
  <c r="I39" i="3"/>
  <c r="I44" i="3" s="1"/>
  <c r="H39" i="3"/>
  <c r="H44" i="3" s="1"/>
  <c r="G39" i="3"/>
  <c r="G44" i="3" s="1"/>
  <c r="F39" i="3"/>
  <c r="F44" i="3" s="1"/>
  <c r="E39" i="3"/>
  <c r="E44" i="3" s="1"/>
  <c r="D39" i="3"/>
  <c r="D44" i="3" s="1"/>
  <c r="C44" i="3"/>
  <c r="M33" i="3"/>
  <c r="M38" i="3" s="1"/>
  <c r="L33" i="3"/>
  <c r="L38" i="3" s="1"/>
  <c r="K33" i="3"/>
  <c r="K38" i="3" s="1"/>
  <c r="J33" i="3"/>
  <c r="J38" i="3" s="1"/>
  <c r="I33" i="3"/>
  <c r="I38" i="3" s="1"/>
  <c r="H33" i="3"/>
  <c r="H38" i="3" s="1"/>
  <c r="G33" i="3"/>
  <c r="G38" i="3" s="1"/>
  <c r="F33" i="3"/>
  <c r="F38" i="3" s="1"/>
  <c r="E33" i="3"/>
  <c r="E38" i="3" s="1"/>
  <c r="D33" i="3"/>
  <c r="D38" i="3" s="1"/>
  <c r="C38" i="3"/>
  <c r="M26" i="3"/>
  <c r="M32" i="3" s="1"/>
  <c r="L26" i="3"/>
  <c r="L32" i="3" s="1"/>
  <c r="K26" i="3"/>
  <c r="K32" i="3" s="1"/>
  <c r="J26" i="3"/>
  <c r="J32" i="3" s="1"/>
  <c r="I26" i="3"/>
  <c r="I32" i="3" s="1"/>
  <c r="H26" i="3"/>
  <c r="H32" i="3" s="1"/>
  <c r="G26" i="3"/>
  <c r="G32" i="3" s="1"/>
  <c r="F26" i="3"/>
  <c r="F32" i="3" s="1"/>
  <c r="E26" i="3"/>
  <c r="E32" i="3" s="1"/>
  <c r="D26" i="3"/>
  <c r="D32" i="3" s="1"/>
  <c r="C32" i="3"/>
  <c r="M20" i="3"/>
  <c r="L20" i="3"/>
  <c r="K20" i="3"/>
  <c r="J20" i="3"/>
  <c r="I20" i="3"/>
  <c r="H20" i="3"/>
  <c r="G20" i="3"/>
  <c r="F20" i="3"/>
  <c r="E20" i="3"/>
  <c r="D20" i="3"/>
  <c r="M14" i="3"/>
  <c r="L14" i="3"/>
  <c r="K14" i="3"/>
  <c r="J14" i="3"/>
  <c r="I14" i="3"/>
  <c r="H14" i="3"/>
  <c r="G14" i="3"/>
  <c r="F14" i="3"/>
  <c r="E14" i="3"/>
  <c r="D14" i="3"/>
  <c r="M7" i="3"/>
  <c r="L7" i="3"/>
  <c r="K7" i="3"/>
  <c r="K13" i="3" s="1"/>
  <c r="J7" i="3"/>
  <c r="J13" i="3" s="1"/>
  <c r="I7" i="3"/>
  <c r="I13" i="3" s="1"/>
  <c r="H7" i="3"/>
  <c r="H13" i="3" s="1"/>
  <c r="G7" i="3"/>
  <c r="G13" i="3" s="1"/>
  <c r="F7" i="3"/>
  <c r="F13" i="3" s="1"/>
  <c r="E7" i="3"/>
  <c r="E13" i="3" s="1"/>
  <c r="D7" i="3"/>
  <c r="D13" i="3" s="1"/>
  <c r="C13" i="3"/>
  <c r="I21" i="40" l="1"/>
  <c r="M21" i="40"/>
  <c r="L21" i="40"/>
  <c r="D21" i="40"/>
  <c r="E21" i="40" s="1"/>
  <c r="I20" i="40" l="1"/>
  <c r="N105" i="3" l="1"/>
  <c r="M20" i="40" l="1"/>
  <c r="L20" i="40"/>
  <c r="D20" i="40"/>
  <c r="E20" i="40" s="1"/>
  <c r="I19" i="40" l="1"/>
  <c r="N14" i="3" l="1"/>
  <c r="AF50" i="5" l="1"/>
  <c r="AG50" i="5"/>
  <c r="AH50" i="5"/>
  <c r="AI50" i="5"/>
  <c r="AJ50" i="5"/>
  <c r="AK50" i="5"/>
  <c r="AL50" i="5"/>
  <c r="AM50" i="5"/>
  <c r="AN50" i="5"/>
  <c r="AO50" i="5"/>
  <c r="AE50" i="5"/>
  <c r="B24" i="51" l="1"/>
  <c r="B25" i="51" s="1"/>
  <c r="C24" i="51"/>
  <c r="C25" i="51" s="1"/>
  <c r="D24" i="51"/>
  <c r="D25" i="51" s="1"/>
  <c r="E24" i="51"/>
  <c r="E25" i="51" s="1"/>
  <c r="F24" i="51"/>
  <c r="G24" i="51"/>
  <c r="G25" i="51" s="1"/>
  <c r="H24" i="51"/>
  <c r="H25" i="51" s="1"/>
  <c r="I24" i="51"/>
  <c r="I25" i="51" s="1"/>
  <c r="J24" i="51"/>
  <c r="K24" i="51"/>
  <c r="K25" i="51" s="1"/>
  <c r="L24" i="51"/>
  <c r="L25" i="51" s="1"/>
  <c r="F25" i="51"/>
  <c r="J25" i="51"/>
  <c r="B26" i="51"/>
  <c r="C26" i="51"/>
  <c r="D26" i="51"/>
  <c r="E26" i="51"/>
  <c r="F26" i="51"/>
  <c r="G26" i="51"/>
  <c r="H26" i="51"/>
  <c r="I26" i="51"/>
  <c r="J26" i="51"/>
  <c r="K26" i="51"/>
  <c r="L26" i="51"/>
  <c r="B27" i="51"/>
  <c r="C27" i="51"/>
  <c r="D27" i="51"/>
  <c r="E27" i="51"/>
  <c r="F27" i="51"/>
  <c r="G27" i="51"/>
  <c r="H27" i="51"/>
  <c r="I27" i="51"/>
  <c r="J27" i="51"/>
  <c r="K27" i="51"/>
  <c r="L27" i="51"/>
  <c r="B28" i="51"/>
  <c r="C28" i="51"/>
  <c r="D28" i="51"/>
  <c r="E28" i="51"/>
  <c r="F28" i="51"/>
  <c r="G28" i="51"/>
  <c r="H28" i="51"/>
  <c r="I28" i="51"/>
  <c r="J28" i="51"/>
  <c r="K28" i="51"/>
  <c r="L28" i="51"/>
  <c r="B29" i="51"/>
  <c r="C29" i="51"/>
  <c r="D29" i="51"/>
  <c r="E29" i="51"/>
  <c r="F29" i="51"/>
  <c r="G29" i="51"/>
  <c r="H29" i="51"/>
  <c r="I29" i="51"/>
  <c r="J29" i="51"/>
  <c r="K29" i="51"/>
  <c r="L29" i="51"/>
  <c r="B20" i="55" l="1"/>
  <c r="B19" i="55"/>
  <c r="B21" i="55" l="1"/>
  <c r="B22" i="55" s="1"/>
  <c r="C20" i="55"/>
  <c r="C19" i="55"/>
  <c r="C21" i="55" l="1"/>
  <c r="C22" i="55" s="1"/>
  <c r="D19" i="55"/>
  <c r="D20" i="55"/>
  <c r="D21" i="55" l="1"/>
  <c r="D22" i="55" s="1"/>
  <c r="E19" i="55"/>
  <c r="L20" i="55"/>
  <c r="K20" i="55"/>
  <c r="J20" i="55"/>
  <c r="I20" i="55"/>
  <c r="H20" i="55"/>
  <c r="G20" i="55"/>
  <c r="F20" i="55"/>
  <c r="E20" i="55"/>
  <c r="E21" i="55" l="1"/>
  <c r="E22" i="55" s="1"/>
  <c r="D19" i="61" l="1"/>
  <c r="C19" i="61"/>
  <c r="B19" i="61"/>
  <c r="F19" i="61" l="1"/>
  <c r="E19" i="61"/>
  <c r="N113" i="3" l="1"/>
  <c r="M20" i="55" l="1"/>
  <c r="M19" i="55"/>
  <c r="L19" i="55"/>
  <c r="L21" i="55" s="1"/>
  <c r="L22" i="55" s="1"/>
  <c r="K19" i="55"/>
  <c r="K21" i="55" s="1"/>
  <c r="K22" i="55" s="1"/>
  <c r="J19" i="55"/>
  <c r="J21" i="55" s="1"/>
  <c r="J22" i="55" s="1"/>
  <c r="I19" i="55"/>
  <c r="I21" i="55" s="1"/>
  <c r="I22" i="55" s="1"/>
  <c r="H19" i="55"/>
  <c r="H21" i="55" s="1"/>
  <c r="H22" i="55" s="1"/>
  <c r="G19" i="55"/>
  <c r="G21" i="55" s="1"/>
  <c r="G22" i="55" s="1"/>
  <c r="F19" i="55"/>
  <c r="F21" i="55" s="1"/>
  <c r="F22" i="55" s="1"/>
  <c r="P8" i="3"/>
  <c r="P9" i="3"/>
  <c r="P10" i="3"/>
  <c r="P11" i="3"/>
  <c r="P12" i="3"/>
  <c r="P15" i="3"/>
  <c r="P16" i="3"/>
  <c r="P17" i="3"/>
  <c r="P18" i="3"/>
  <c r="P19" i="3"/>
  <c r="P21" i="3"/>
  <c r="P22" i="3"/>
  <c r="P23" i="3"/>
  <c r="P24" i="3"/>
  <c r="P25" i="3"/>
  <c r="P27" i="3"/>
  <c r="P28" i="3"/>
  <c r="P29" i="3"/>
  <c r="P30" i="3"/>
  <c r="P31" i="3"/>
  <c r="P34" i="3"/>
  <c r="P35" i="3"/>
  <c r="P36" i="3"/>
  <c r="P37" i="3"/>
  <c r="P40" i="3"/>
  <c r="P41" i="3"/>
  <c r="P42" i="3"/>
  <c r="P43" i="3"/>
  <c r="P46" i="3"/>
  <c r="P47" i="3"/>
  <c r="P48" i="3"/>
  <c r="P49" i="3"/>
  <c r="P52" i="3"/>
  <c r="P53" i="3"/>
  <c r="P54" i="3"/>
  <c r="P55" i="3"/>
  <c r="P58" i="3"/>
  <c r="P59" i="3"/>
  <c r="P60" i="3"/>
  <c r="P63" i="3"/>
  <c r="P64" i="3"/>
  <c r="P65" i="3"/>
  <c r="P68" i="3"/>
  <c r="P69" i="3"/>
  <c r="P70" i="3"/>
  <c r="P71" i="3"/>
  <c r="P72" i="3"/>
  <c r="P73" i="3"/>
  <c r="P74" i="3"/>
  <c r="P76" i="3"/>
  <c r="P77" i="3"/>
  <c r="P78" i="3"/>
  <c r="P79" i="3"/>
  <c r="P80" i="3"/>
  <c r="P81" i="3"/>
  <c r="P84" i="3"/>
  <c r="P85" i="3"/>
  <c r="P86" i="3"/>
  <c r="P87" i="3"/>
  <c r="P90" i="3"/>
  <c r="P91" i="3"/>
  <c r="P92" i="3"/>
  <c r="P93" i="3"/>
  <c r="P96" i="3"/>
  <c r="P97" i="3"/>
  <c r="P98" i="3"/>
  <c r="P99" i="3"/>
  <c r="P100" i="3"/>
  <c r="P101" i="3"/>
  <c r="P103" i="3"/>
  <c r="P104" i="3"/>
  <c r="P106" i="3"/>
  <c r="P107" i="3"/>
  <c r="P108" i="3"/>
  <c r="P110" i="3"/>
  <c r="P111" i="3"/>
  <c r="P112" i="3"/>
  <c r="P114" i="3"/>
  <c r="P115" i="3"/>
  <c r="M21" i="55" l="1"/>
  <c r="M22" i="55" s="1"/>
  <c r="P11" i="60" l="1"/>
  <c r="O11" i="60"/>
  <c r="P10" i="60"/>
  <c r="O10" i="60"/>
  <c r="P9" i="60"/>
  <c r="O9" i="60"/>
  <c r="P8" i="60"/>
  <c r="O8" i="60"/>
  <c r="P7" i="60"/>
  <c r="O7" i="60"/>
  <c r="P6" i="60"/>
  <c r="P14" i="3" l="1"/>
  <c r="N29" i="5" l="1"/>
  <c r="M29" i="5"/>
  <c r="AO29" i="5" s="1"/>
  <c r="L29" i="5"/>
  <c r="AN29" i="5" s="1"/>
  <c r="K29" i="5"/>
  <c r="AM29" i="5" s="1"/>
  <c r="J29" i="5"/>
  <c r="AL29" i="5" s="1"/>
  <c r="I29" i="5"/>
  <c r="AK29" i="5" s="1"/>
  <c r="H29" i="5"/>
  <c r="AJ29" i="5" s="1"/>
  <c r="G29" i="5"/>
  <c r="AI29" i="5" s="1"/>
  <c r="F29" i="5"/>
  <c r="AH29" i="5" s="1"/>
  <c r="E29" i="5"/>
  <c r="AG29" i="5" s="1"/>
  <c r="D29" i="5"/>
  <c r="AF29" i="5" s="1"/>
  <c r="C29" i="5"/>
  <c r="AE29" i="5" s="1"/>
  <c r="N17" i="5"/>
  <c r="M17" i="5"/>
  <c r="L17" i="5"/>
  <c r="K17" i="5"/>
  <c r="J17" i="5"/>
  <c r="I17" i="5"/>
  <c r="H17" i="5"/>
  <c r="G17" i="5"/>
  <c r="F17" i="5"/>
  <c r="E17" i="5"/>
  <c r="D17" i="5"/>
  <c r="C17" i="5"/>
  <c r="N16" i="5"/>
  <c r="M16" i="5"/>
  <c r="L16" i="5"/>
  <c r="K16" i="5"/>
  <c r="J16" i="5"/>
  <c r="I16" i="5"/>
  <c r="H16" i="5"/>
  <c r="G16" i="5"/>
  <c r="F16" i="5"/>
  <c r="E16" i="5"/>
  <c r="D16" i="5"/>
  <c r="C16" i="5"/>
  <c r="N13" i="5"/>
  <c r="M13" i="5"/>
  <c r="L13" i="5"/>
  <c r="K13" i="5"/>
  <c r="J13" i="5"/>
  <c r="I13" i="5"/>
  <c r="H13" i="5"/>
  <c r="G13" i="5"/>
  <c r="F13" i="5"/>
  <c r="E13" i="5"/>
  <c r="D13" i="5"/>
  <c r="C13" i="5"/>
  <c r="N9" i="5"/>
  <c r="N41" i="5" s="1"/>
  <c r="M9" i="5"/>
  <c r="AZ9" i="5" s="1"/>
  <c r="L9" i="5"/>
  <c r="K9" i="5"/>
  <c r="J9" i="5"/>
  <c r="I9" i="5"/>
  <c r="H9" i="5"/>
  <c r="G9" i="5"/>
  <c r="F9" i="5"/>
  <c r="E9" i="5"/>
  <c r="D9" i="5"/>
  <c r="C9" i="5"/>
  <c r="N7" i="5"/>
  <c r="M7" i="5"/>
  <c r="M48" i="5" s="1"/>
  <c r="L7" i="5"/>
  <c r="L38" i="5" s="1"/>
  <c r="K7" i="5"/>
  <c r="K38" i="5" s="1"/>
  <c r="J7" i="5"/>
  <c r="J57" i="5" s="1"/>
  <c r="I7" i="5"/>
  <c r="I48" i="5" s="1"/>
  <c r="H7" i="5"/>
  <c r="H38" i="5" s="1"/>
  <c r="G7" i="5"/>
  <c r="G38" i="5" s="1"/>
  <c r="F7" i="5"/>
  <c r="F57" i="5" s="1"/>
  <c r="E7" i="5"/>
  <c r="E48" i="5" s="1"/>
  <c r="D7" i="5"/>
  <c r="D38" i="5" s="1"/>
  <c r="C7" i="5"/>
  <c r="C38" i="5" s="1"/>
  <c r="O61" i="5"/>
  <c r="O60" i="5"/>
  <c r="O58" i="5"/>
  <c r="O53" i="5"/>
  <c r="O54" i="5"/>
  <c r="O51" i="5"/>
  <c r="O50" i="5"/>
  <c r="O49" i="5"/>
  <c r="O45" i="5"/>
  <c r="O44" i="5"/>
  <c r="O43" i="5"/>
  <c r="O42" i="5"/>
  <c r="O39" i="5"/>
  <c r="O40" i="5"/>
  <c r="O41" i="5"/>
  <c r="O35" i="5"/>
  <c r="O34" i="5"/>
  <c r="O32" i="5"/>
  <c r="O31" i="5"/>
  <c r="O30" i="5"/>
  <c r="O29" i="5"/>
  <c r="O28" i="5"/>
  <c r="O26" i="5"/>
  <c r="O25" i="5"/>
  <c r="O22" i="5"/>
  <c r="O23" i="5" s="1"/>
  <c r="O21" i="5"/>
  <c r="AI9" i="5" l="1"/>
  <c r="AE13" i="5"/>
  <c r="AE16" i="5"/>
  <c r="AM16" i="5"/>
  <c r="AF13" i="5"/>
  <c r="AJ13" i="5"/>
  <c r="AN13" i="5"/>
  <c r="AF16" i="5"/>
  <c r="AJ16" i="5"/>
  <c r="AN16" i="5"/>
  <c r="AF17" i="5"/>
  <c r="AJ17" i="5"/>
  <c r="AN17" i="5"/>
  <c r="AM9" i="5"/>
  <c r="AI13" i="5"/>
  <c r="AI16" i="5"/>
  <c r="AE17" i="5"/>
  <c r="AI17" i="5"/>
  <c r="AM17" i="5"/>
  <c r="AG13" i="5"/>
  <c r="AK13" i="5"/>
  <c r="AO13" i="5"/>
  <c r="AZ13" i="5"/>
  <c r="AG16" i="5"/>
  <c r="AK16" i="5"/>
  <c r="AO16" i="5"/>
  <c r="AZ16" i="5"/>
  <c r="AG17" i="5"/>
  <c r="AK17" i="5"/>
  <c r="AO17" i="5"/>
  <c r="AZ17" i="5"/>
  <c r="AE9" i="5"/>
  <c r="AM13" i="5"/>
  <c r="AH13" i="5"/>
  <c r="AL13" i="5"/>
  <c r="AH16" i="5"/>
  <c r="AL16" i="5"/>
  <c r="AH17" i="5"/>
  <c r="AL17" i="5"/>
  <c r="D39" i="5"/>
  <c r="AF39" i="5" s="1"/>
  <c r="AF9" i="5"/>
  <c r="H39" i="5"/>
  <c r="AJ39" i="5" s="1"/>
  <c r="AJ9" i="5"/>
  <c r="L39" i="5"/>
  <c r="AN39" i="5" s="1"/>
  <c r="AN9" i="5"/>
  <c r="E41" i="5"/>
  <c r="AG41" i="5" s="1"/>
  <c r="AG9" i="5"/>
  <c r="I41" i="5"/>
  <c r="AK41" i="5" s="1"/>
  <c r="AK9" i="5"/>
  <c r="M41" i="5"/>
  <c r="AO41" i="5" s="1"/>
  <c r="AO9" i="5"/>
  <c r="F41" i="5"/>
  <c r="AH41" i="5" s="1"/>
  <c r="AH9" i="5"/>
  <c r="J41" i="5"/>
  <c r="AL41" i="5" s="1"/>
  <c r="AL9" i="5"/>
  <c r="G54" i="5"/>
  <c r="AI54" i="5" s="1"/>
  <c r="G53" i="5"/>
  <c r="AI53" i="5" s="1"/>
  <c r="D53" i="5"/>
  <c r="AF53" i="5" s="1"/>
  <c r="D54" i="5"/>
  <c r="AF54" i="5" s="1"/>
  <c r="H54" i="5"/>
  <c r="AJ54" i="5" s="1"/>
  <c r="H53" i="5"/>
  <c r="AJ53" i="5" s="1"/>
  <c r="L54" i="5"/>
  <c r="AN54" i="5" s="1"/>
  <c r="L53" i="5"/>
  <c r="AN53" i="5" s="1"/>
  <c r="C54" i="5"/>
  <c r="AE54" i="5" s="1"/>
  <c r="C53" i="5"/>
  <c r="AE53" i="5" s="1"/>
  <c r="K54" i="5"/>
  <c r="AM54" i="5" s="1"/>
  <c r="K53" i="5"/>
  <c r="AM53" i="5" s="1"/>
  <c r="E53" i="5"/>
  <c r="AG53" i="5" s="1"/>
  <c r="E54" i="5"/>
  <c r="AG54" i="5" s="1"/>
  <c r="I53" i="5"/>
  <c r="AK53" i="5" s="1"/>
  <c r="I54" i="5"/>
  <c r="AK54" i="5" s="1"/>
  <c r="M53" i="5"/>
  <c r="AO53" i="5" s="1"/>
  <c r="M54" i="5"/>
  <c r="AO54" i="5" s="1"/>
  <c r="F53" i="5"/>
  <c r="AH53" i="5" s="1"/>
  <c r="F54" i="5"/>
  <c r="AH54" i="5" s="1"/>
  <c r="J53" i="5"/>
  <c r="AL53" i="5" s="1"/>
  <c r="J54" i="5"/>
  <c r="AL54" i="5" s="1"/>
  <c r="G49" i="5"/>
  <c r="AI49" i="5" s="1"/>
  <c r="G51" i="5"/>
  <c r="AI51" i="5" s="1"/>
  <c r="D51" i="5"/>
  <c r="AF51" i="5" s="1"/>
  <c r="D49" i="5"/>
  <c r="AF49" i="5" s="1"/>
  <c r="H49" i="5"/>
  <c r="AJ49" i="5" s="1"/>
  <c r="H51" i="5"/>
  <c r="AJ51" i="5" s="1"/>
  <c r="L51" i="5"/>
  <c r="AN51" i="5" s="1"/>
  <c r="L49" i="5"/>
  <c r="AN49" i="5" s="1"/>
  <c r="C49" i="5"/>
  <c r="AE49" i="5" s="1"/>
  <c r="C51" i="5"/>
  <c r="AE51" i="5" s="1"/>
  <c r="K49" i="5"/>
  <c r="AM49" i="5" s="1"/>
  <c r="K51" i="5"/>
  <c r="AM51" i="5" s="1"/>
  <c r="E51" i="5"/>
  <c r="AG51" i="5" s="1"/>
  <c r="E49" i="5"/>
  <c r="AG49" i="5" s="1"/>
  <c r="I51" i="5"/>
  <c r="AK51" i="5" s="1"/>
  <c r="I49" i="5"/>
  <c r="AK49" i="5" s="1"/>
  <c r="M51" i="5"/>
  <c r="AO51" i="5" s="1"/>
  <c r="M49" i="5"/>
  <c r="AO49" i="5" s="1"/>
  <c r="F49" i="5"/>
  <c r="AH49" i="5" s="1"/>
  <c r="F51" i="5"/>
  <c r="AH51" i="5" s="1"/>
  <c r="J51" i="5"/>
  <c r="AL51" i="5" s="1"/>
  <c r="J49" i="5"/>
  <c r="AL49" i="5" s="1"/>
  <c r="N54" i="5"/>
  <c r="P61" i="5"/>
  <c r="I39" i="5"/>
  <c r="AK39" i="5" s="1"/>
  <c r="C20" i="5"/>
  <c r="M39" i="5"/>
  <c r="AO39" i="5" s="1"/>
  <c r="E38" i="5"/>
  <c r="L40" i="5"/>
  <c r="AN40" i="5" s="1"/>
  <c r="I38" i="5"/>
  <c r="K57" i="5"/>
  <c r="O52" i="5"/>
  <c r="O27" i="5"/>
  <c r="N49" i="5"/>
  <c r="Q7" i="5"/>
  <c r="N48" i="5"/>
  <c r="Q48" i="5" s="1"/>
  <c r="P7" i="5"/>
  <c r="P9" i="5"/>
  <c r="G20" i="5"/>
  <c r="F48" i="5"/>
  <c r="K20" i="5"/>
  <c r="M38" i="5"/>
  <c r="D40" i="5"/>
  <c r="AF40" i="5" s="1"/>
  <c r="J48" i="5"/>
  <c r="C57" i="5"/>
  <c r="E39" i="5"/>
  <c r="AG39" i="5" s="1"/>
  <c r="H40" i="5"/>
  <c r="AJ40" i="5" s="1"/>
  <c r="G57" i="5"/>
  <c r="P34" i="5"/>
  <c r="G41" i="5"/>
  <c r="AI41" i="5" s="1"/>
  <c r="P58" i="5"/>
  <c r="D20" i="5"/>
  <c r="H20" i="5"/>
  <c r="L20" i="5"/>
  <c r="P22" i="5"/>
  <c r="P23" i="5" s="1"/>
  <c r="P31" i="5"/>
  <c r="P35" i="5"/>
  <c r="F38" i="5"/>
  <c r="J38" i="5"/>
  <c r="N38" i="5"/>
  <c r="F39" i="5"/>
  <c r="AH39" i="5" s="1"/>
  <c r="J39" i="5"/>
  <c r="AL39" i="5" s="1"/>
  <c r="N39" i="5"/>
  <c r="E40" i="5"/>
  <c r="AG40" i="5" s="1"/>
  <c r="I40" i="5"/>
  <c r="AK40" i="5" s="1"/>
  <c r="M40" i="5"/>
  <c r="AO40" i="5" s="1"/>
  <c r="D41" i="5"/>
  <c r="AF41" i="5" s="1"/>
  <c r="H41" i="5"/>
  <c r="AJ41" i="5" s="1"/>
  <c r="L41" i="5"/>
  <c r="AN41" i="5" s="1"/>
  <c r="P42" i="5"/>
  <c r="C48" i="5"/>
  <c r="G48" i="5"/>
  <c r="K48" i="5"/>
  <c r="P49" i="5"/>
  <c r="N53" i="5"/>
  <c r="D57" i="5"/>
  <c r="H57" i="5"/>
  <c r="L57" i="5"/>
  <c r="P21" i="5"/>
  <c r="C41" i="5"/>
  <c r="AE41" i="5" s="1"/>
  <c r="K41" i="5"/>
  <c r="AM41" i="5" s="1"/>
  <c r="P41" i="5"/>
  <c r="P16" i="5"/>
  <c r="E20" i="5"/>
  <c r="I20" i="5"/>
  <c r="M20" i="5"/>
  <c r="P25" i="5"/>
  <c r="P28" i="5"/>
  <c r="P32" i="5"/>
  <c r="C39" i="5"/>
  <c r="AE39" i="5" s="1"/>
  <c r="G39" i="5"/>
  <c r="AI39" i="5" s="1"/>
  <c r="K39" i="5"/>
  <c r="AM39" i="5" s="1"/>
  <c r="P39" i="5"/>
  <c r="F40" i="5"/>
  <c r="AH40" i="5" s="1"/>
  <c r="J40" i="5"/>
  <c r="AL40" i="5" s="1"/>
  <c r="N40" i="5"/>
  <c r="P43" i="5"/>
  <c r="D48" i="5"/>
  <c r="H48" i="5"/>
  <c r="L48" i="5"/>
  <c r="P50" i="5"/>
  <c r="N51" i="5"/>
  <c r="P53" i="5"/>
  <c r="E57" i="5"/>
  <c r="I57" i="5"/>
  <c r="M57" i="5"/>
  <c r="P60" i="5"/>
  <c r="P30" i="5"/>
  <c r="P45" i="5"/>
  <c r="P13" i="5"/>
  <c r="P17" i="5"/>
  <c r="F20" i="5"/>
  <c r="J20" i="5"/>
  <c r="N20" i="5"/>
  <c r="P26" i="5"/>
  <c r="P29" i="5"/>
  <c r="C40" i="5"/>
  <c r="AE40" i="5" s="1"/>
  <c r="G40" i="5"/>
  <c r="AI40" i="5" s="1"/>
  <c r="K40" i="5"/>
  <c r="AM40" i="5" s="1"/>
  <c r="P40" i="5"/>
  <c r="P44" i="5"/>
  <c r="P51" i="5"/>
  <c r="P54" i="5"/>
  <c r="N57" i="5"/>
  <c r="F52" i="5" l="1"/>
  <c r="AH52" i="5" s="1"/>
  <c r="L52" i="5"/>
  <c r="AN52" i="5" s="1"/>
  <c r="I52" i="5"/>
  <c r="AK52" i="5" s="1"/>
  <c r="K52" i="5"/>
  <c r="AM52" i="5" s="1"/>
  <c r="C52" i="5"/>
  <c r="AE52" i="5" s="1"/>
  <c r="D52" i="5"/>
  <c r="AF52" i="5" s="1"/>
  <c r="G52" i="5"/>
  <c r="AI52" i="5" s="1"/>
  <c r="J52" i="5"/>
  <c r="AL52" i="5" s="1"/>
  <c r="M52" i="5"/>
  <c r="AO52" i="5" s="1"/>
  <c r="E52" i="5"/>
  <c r="AG52" i="5" s="1"/>
  <c r="H52" i="5"/>
  <c r="AJ52" i="5" s="1"/>
  <c r="P48" i="5"/>
  <c r="N52" i="5"/>
  <c r="P52" i="5"/>
  <c r="Q57" i="5"/>
  <c r="P57" i="5"/>
  <c r="Q20" i="5"/>
  <c r="P20" i="5"/>
  <c r="P27" i="5"/>
  <c r="P36" i="5" s="1"/>
  <c r="O36" i="5" l="1"/>
  <c r="N118" i="3" l="1"/>
  <c r="O33" i="5" l="1"/>
  <c r="P33" i="5"/>
  <c r="F18" i="4" l="1"/>
  <c r="G18" i="4"/>
  <c r="M25" i="55" l="1"/>
  <c r="L25" i="55"/>
  <c r="K25" i="55"/>
  <c r="F16" i="1"/>
  <c r="F17" i="1"/>
  <c r="F18" i="1"/>
  <c r="F19" i="1"/>
  <c r="F20" i="1"/>
  <c r="F21" i="1"/>
  <c r="F22" i="1"/>
  <c r="F23" i="1"/>
  <c r="F24" i="1"/>
  <c r="F25" i="1"/>
  <c r="F26" i="1"/>
  <c r="F15" i="1"/>
  <c r="F11" i="1"/>
  <c r="N18" i="55" l="1"/>
  <c r="N17" i="55"/>
  <c r="N16" i="55"/>
  <c r="N15" i="55"/>
  <c r="N14" i="55"/>
  <c r="N13" i="55"/>
  <c r="N12" i="55"/>
  <c r="N11" i="55"/>
  <c r="N10" i="55"/>
  <c r="N9" i="55"/>
  <c r="N8" i="55"/>
  <c r="N7" i="55"/>
  <c r="F10" i="1" l="1"/>
  <c r="N20" i="55"/>
  <c r="K30" i="55"/>
  <c r="L30" i="55"/>
  <c r="M30" i="55"/>
  <c r="N30" i="55" l="1"/>
  <c r="N19" i="55"/>
  <c r="N22" i="55" l="1"/>
  <c r="N21" i="55"/>
  <c r="G16" i="1" l="1"/>
  <c r="G17" i="1"/>
  <c r="G18" i="1"/>
  <c r="G19" i="1"/>
  <c r="G20" i="1"/>
  <c r="G21" i="1"/>
  <c r="G22" i="1"/>
  <c r="G23" i="1"/>
  <c r="G24" i="1"/>
  <c r="G25" i="1"/>
  <c r="G26" i="1"/>
  <c r="G15" i="1"/>
  <c r="G10" i="1"/>
  <c r="G11" i="1" s="1"/>
  <c r="N57" i="3" l="1"/>
  <c r="P57" i="3" l="1"/>
  <c r="N61" i="3"/>
  <c r="N26" i="3"/>
  <c r="P26" i="3" l="1"/>
  <c r="N32" i="3"/>
  <c r="P32" i="3" s="1"/>
  <c r="P113" i="3"/>
  <c r="N51" i="3"/>
  <c r="P51" i="3" l="1"/>
  <c r="N56" i="3"/>
  <c r="P56" i="3" s="1"/>
  <c r="C12" i="5"/>
  <c r="D12" i="5"/>
  <c r="E12" i="5"/>
  <c r="F12" i="5"/>
  <c r="G12" i="5"/>
  <c r="H12" i="5"/>
  <c r="I12" i="5"/>
  <c r="J12" i="5"/>
  <c r="K12" i="5"/>
  <c r="L12" i="5"/>
  <c r="M12" i="5"/>
  <c r="AE12" i="5" l="1"/>
  <c r="AJ12" i="5"/>
  <c r="AM12" i="5"/>
  <c r="AH12" i="5"/>
  <c r="AN12" i="5"/>
  <c r="AF12" i="5"/>
  <c r="AI12" i="5"/>
  <c r="AL12" i="5"/>
  <c r="AO12" i="5"/>
  <c r="AZ12" i="5"/>
  <c r="AK12" i="5"/>
  <c r="AG12" i="5"/>
  <c r="O18" i="4"/>
  <c r="B27" i="7" l="1"/>
  <c r="B28" i="7" s="1"/>
  <c r="B22" i="7" s="1"/>
  <c r="C27" i="7"/>
  <c r="C28" i="7" s="1"/>
  <c r="C22" i="7" s="1"/>
  <c r="D27" i="7"/>
  <c r="D28" i="7" s="1"/>
  <c r="D22" i="7" s="1"/>
  <c r="E27" i="7"/>
  <c r="E28" i="7" s="1"/>
  <c r="E22" i="7" s="1"/>
  <c r="F27" i="7"/>
  <c r="F28" i="7" s="1"/>
  <c r="F22" i="7" s="1"/>
  <c r="G27" i="7"/>
  <c r="G28" i="7" s="1"/>
  <c r="G22" i="7" s="1"/>
  <c r="H27" i="7"/>
  <c r="H28" i="7" s="1"/>
  <c r="H22" i="7" s="1"/>
  <c r="I27" i="7"/>
  <c r="I28" i="7" s="1"/>
  <c r="I22" i="7" s="1"/>
  <c r="J27" i="7"/>
  <c r="J28" i="7" s="1"/>
  <c r="J22" i="7" s="1"/>
  <c r="K27" i="7"/>
  <c r="K28" i="7" s="1"/>
  <c r="K22" i="7" s="1"/>
  <c r="L27" i="7"/>
  <c r="L28" i="7" s="1"/>
  <c r="L22" i="7" s="1"/>
  <c r="B29" i="7"/>
  <c r="C29" i="7"/>
  <c r="D29" i="7"/>
  <c r="E29" i="7"/>
  <c r="F29" i="7"/>
  <c r="G29" i="7"/>
  <c r="H29" i="7"/>
  <c r="I29" i="7"/>
  <c r="J29" i="7"/>
  <c r="K29" i="7"/>
  <c r="L29" i="7"/>
  <c r="B30" i="7"/>
  <c r="C30" i="7"/>
  <c r="D30" i="7"/>
  <c r="E30" i="7"/>
  <c r="F30" i="7"/>
  <c r="G30" i="7"/>
  <c r="H30" i="7"/>
  <c r="I30" i="7"/>
  <c r="J30" i="7"/>
  <c r="K30" i="7"/>
  <c r="L30" i="7"/>
  <c r="B31" i="7"/>
  <c r="C31" i="7"/>
  <c r="D31" i="7"/>
  <c r="E31" i="7"/>
  <c r="F31" i="7"/>
  <c r="G31" i="7"/>
  <c r="H31" i="7"/>
  <c r="I31" i="7"/>
  <c r="J31" i="7"/>
  <c r="K31" i="7"/>
  <c r="L31" i="7"/>
  <c r="B32" i="7"/>
  <c r="C32" i="7"/>
  <c r="D32" i="7"/>
  <c r="E32" i="7"/>
  <c r="F32" i="7"/>
  <c r="G32" i="7"/>
  <c r="H32" i="7"/>
  <c r="I32" i="7"/>
  <c r="J32" i="7"/>
  <c r="K32" i="7"/>
  <c r="L32" i="7"/>
  <c r="N95" i="3" l="1"/>
  <c r="N102" i="3" s="1"/>
  <c r="N33" i="3"/>
  <c r="P33" i="3" s="1"/>
  <c r="P102" i="3" l="1"/>
  <c r="P95" i="3"/>
  <c r="N38" i="3"/>
  <c r="P38" i="3" s="1"/>
  <c r="J17" i="1"/>
  <c r="J18" i="1"/>
  <c r="J19" i="1"/>
  <c r="J20" i="1"/>
  <c r="J21" i="1"/>
  <c r="J22" i="1"/>
  <c r="J23" i="1"/>
  <c r="J24" i="1"/>
  <c r="J25" i="1"/>
  <c r="J26" i="1"/>
  <c r="J16" i="1"/>
  <c r="J15" i="1"/>
  <c r="M29" i="51"/>
  <c r="M28" i="51"/>
  <c r="M27" i="51"/>
  <c r="J11" i="1" l="1"/>
  <c r="M26" i="51"/>
  <c r="M24" i="51"/>
  <c r="M25" i="51" s="1"/>
  <c r="M19" i="51" s="1"/>
  <c r="M20" i="51"/>
  <c r="L20" i="51"/>
  <c r="K20" i="51"/>
  <c r="J20" i="51"/>
  <c r="I20" i="51"/>
  <c r="H20" i="51"/>
  <c r="G20" i="51"/>
  <c r="F20" i="51"/>
  <c r="E20" i="51"/>
  <c r="D20" i="51"/>
  <c r="C20" i="51"/>
  <c r="B20" i="51"/>
  <c r="N18" i="51"/>
  <c r="N17" i="51"/>
  <c r="N16" i="51"/>
  <c r="N15" i="51"/>
  <c r="N14" i="51"/>
  <c r="N13" i="51"/>
  <c r="N12" i="51"/>
  <c r="N11" i="51"/>
  <c r="N10" i="51"/>
  <c r="N9" i="51"/>
  <c r="N8" i="51"/>
  <c r="N7" i="51"/>
  <c r="M21" i="51" l="1"/>
  <c r="M22" i="51" s="1"/>
  <c r="C30" i="51"/>
  <c r="C19" i="51"/>
  <c r="C21" i="51" s="1"/>
  <c r="C22" i="51" s="1"/>
  <c r="D30" i="51"/>
  <c r="D19" i="51"/>
  <c r="D21" i="51" s="1"/>
  <c r="H30" i="51"/>
  <c r="H19" i="51"/>
  <c r="H21" i="51" s="1"/>
  <c r="H22" i="51" s="1"/>
  <c r="K30" i="51"/>
  <c r="K19" i="51"/>
  <c r="K21" i="51" s="1"/>
  <c r="K22" i="51" s="1"/>
  <c r="G30" i="51"/>
  <c r="G19" i="51"/>
  <c r="G21" i="51" s="1"/>
  <c r="G22" i="51" s="1"/>
  <c r="L30" i="51"/>
  <c r="L19" i="51"/>
  <c r="L21" i="51" s="1"/>
  <c r="L22" i="51" s="1"/>
  <c r="E30" i="51"/>
  <c r="E19" i="51"/>
  <c r="E21" i="51" s="1"/>
  <c r="E22" i="51" s="1"/>
  <c r="I30" i="51"/>
  <c r="I19" i="51"/>
  <c r="I21" i="51" s="1"/>
  <c r="I22" i="51" s="1"/>
  <c r="B30" i="51"/>
  <c r="B19" i="51"/>
  <c r="F30" i="51"/>
  <c r="F19" i="51"/>
  <c r="F21" i="51" s="1"/>
  <c r="F22" i="51" s="1"/>
  <c r="J30" i="51"/>
  <c r="J19" i="51"/>
  <c r="J21" i="51" s="1"/>
  <c r="J22" i="51" s="1"/>
  <c r="M30" i="51"/>
  <c r="J10" i="1"/>
  <c r="K10" i="1" s="1"/>
  <c r="K11" i="1" s="1"/>
  <c r="N20" i="51"/>
  <c r="P11" i="16"/>
  <c r="P10" i="16"/>
  <c r="P9" i="16"/>
  <c r="P8" i="16"/>
  <c r="P7" i="16"/>
  <c r="P10" i="48"/>
  <c r="P9" i="48"/>
  <c r="P8" i="48"/>
  <c r="P7" i="48"/>
  <c r="N30" i="51" l="1"/>
  <c r="D22" i="51"/>
  <c r="N22" i="51" s="1"/>
  <c r="N19" i="51"/>
  <c r="B21" i="51"/>
  <c r="N21" i="51" s="1"/>
  <c r="D19" i="40" l="1"/>
  <c r="M19" i="40" l="1"/>
  <c r="L19" i="40"/>
  <c r="C23" i="7" l="1"/>
  <c r="C24" i="7" s="1"/>
  <c r="C25" i="7" s="1"/>
  <c r="D23" i="7"/>
  <c r="D24" i="7" s="1"/>
  <c r="D25" i="7" s="1"/>
  <c r="E23" i="7"/>
  <c r="E24" i="7" s="1"/>
  <c r="E25" i="7" s="1"/>
  <c r="F23" i="7"/>
  <c r="F24" i="7" s="1"/>
  <c r="F25" i="7" s="1"/>
  <c r="G23" i="7"/>
  <c r="G24" i="7" s="1"/>
  <c r="G25" i="7" s="1"/>
  <c r="H23" i="7"/>
  <c r="H24" i="7" s="1"/>
  <c r="H25" i="7" s="1"/>
  <c r="I23" i="7"/>
  <c r="I24" i="7" s="1"/>
  <c r="I25" i="7" s="1"/>
  <c r="J23" i="7"/>
  <c r="J24" i="7" s="1"/>
  <c r="J25" i="7" s="1"/>
  <c r="K23" i="7"/>
  <c r="K24" i="7" s="1"/>
  <c r="K25" i="7" s="1"/>
  <c r="L23" i="7"/>
  <c r="L24" i="7" s="1"/>
  <c r="L25" i="7" s="1"/>
  <c r="M23" i="7"/>
  <c r="B23" i="7"/>
  <c r="B24" i="7" s="1"/>
  <c r="B25" i="7" s="1"/>
  <c r="N21" i="7"/>
  <c r="N83" i="3" l="1"/>
  <c r="P83" i="3" s="1"/>
  <c r="N109" i="3" l="1"/>
  <c r="P109" i="3" l="1"/>
  <c r="N12" i="5"/>
  <c r="P12" i="5" s="1"/>
  <c r="P30" i="6" l="1"/>
  <c r="P33" i="6"/>
  <c r="O33" i="6"/>
  <c r="P32" i="6"/>
  <c r="O32" i="6"/>
  <c r="P28" i="6"/>
  <c r="O28" i="6"/>
  <c r="P27" i="6"/>
  <c r="O27" i="6"/>
  <c r="P26" i="6"/>
  <c r="O26" i="6"/>
  <c r="P25" i="6"/>
  <c r="O25" i="6"/>
  <c r="P24" i="6"/>
  <c r="O24" i="6"/>
  <c r="P22" i="6"/>
  <c r="P20" i="6"/>
  <c r="P19" i="6"/>
  <c r="P18" i="6"/>
  <c r="P17" i="6"/>
  <c r="P16" i="6"/>
  <c r="P15" i="6"/>
  <c r="P14" i="6"/>
  <c r="P13" i="6"/>
  <c r="P12" i="6"/>
  <c r="P11" i="6"/>
  <c r="P10" i="6"/>
  <c r="P9" i="6"/>
  <c r="P8" i="6"/>
  <c r="P6" i="6"/>
  <c r="O9" i="6"/>
  <c r="O10" i="6"/>
  <c r="O11" i="6"/>
  <c r="O12" i="6"/>
  <c r="O13" i="6"/>
  <c r="O14" i="6"/>
  <c r="O15" i="6"/>
  <c r="O16" i="6"/>
  <c r="O17" i="6"/>
  <c r="O18" i="6"/>
  <c r="O19" i="6"/>
  <c r="O20" i="6"/>
  <c r="O8" i="6"/>
  <c r="E19" i="40" l="1"/>
  <c r="M32" i="7" l="1"/>
  <c r="M31" i="7"/>
  <c r="M30" i="7"/>
  <c r="M29" i="7"/>
  <c r="N20" i="3" l="1"/>
  <c r="P20" i="3" s="1"/>
  <c r="D19" i="4" l="1"/>
  <c r="N62" i="3" l="1"/>
  <c r="P62" i="3" l="1"/>
  <c r="N66" i="3"/>
  <c r="P66" i="3" s="1"/>
  <c r="P105" i="3" l="1"/>
  <c r="O59" i="5"/>
  <c r="P59" i="5"/>
  <c r="N18" i="1"/>
  <c r="N14" i="5"/>
  <c r="O10" i="48" l="1"/>
  <c r="O9" i="48"/>
  <c r="O8" i="48"/>
  <c r="O7" i="48"/>
  <c r="P6" i="48"/>
  <c r="I86" i="23"/>
  <c r="I85" i="23"/>
  <c r="I84" i="23"/>
  <c r="I83" i="23"/>
  <c r="I82" i="23"/>
  <c r="I81" i="23"/>
  <c r="I80" i="23"/>
  <c r="I79" i="23"/>
  <c r="I78" i="23"/>
  <c r="I77" i="23"/>
  <c r="I76" i="23"/>
  <c r="I75" i="23"/>
  <c r="I74" i="23"/>
  <c r="I73" i="23"/>
  <c r="I72" i="23"/>
  <c r="I71" i="23"/>
  <c r="I70" i="23"/>
  <c r="I69" i="23"/>
  <c r="I65" i="23"/>
  <c r="I64" i="23"/>
  <c r="I63" i="23"/>
  <c r="I62" i="23"/>
  <c r="I61" i="23"/>
  <c r="I60" i="23"/>
  <c r="I59" i="23"/>
  <c r="I58" i="23"/>
  <c r="I57" i="23"/>
  <c r="I56" i="23"/>
  <c r="I55" i="23"/>
  <c r="I54" i="23"/>
  <c r="I53" i="23"/>
  <c r="I52" i="23"/>
  <c r="I51" i="23"/>
  <c r="I50" i="23"/>
  <c r="I47" i="23"/>
  <c r="I45" i="23"/>
  <c r="I43" i="23"/>
  <c r="I41" i="23"/>
  <c r="I39" i="23"/>
  <c r="I38" i="23"/>
  <c r="I36" i="23"/>
  <c r="I35" i="23"/>
  <c r="I32" i="23"/>
  <c r="I31" i="23"/>
  <c r="I26" i="23"/>
  <c r="I25" i="23"/>
  <c r="I20" i="23"/>
  <c r="I19" i="23"/>
  <c r="I18" i="23"/>
  <c r="I17" i="23"/>
  <c r="I14" i="23"/>
  <c r="I13" i="23"/>
  <c r="I12" i="23"/>
  <c r="I11" i="23"/>
  <c r="I10" i="23"/>
  <c r="I9" i="23"/>
  <c r="I8" i="23"/>
  <c r="I7" i="23"/>
  <c r="I6" i="23"/>
  <c r="I5" i="23"/>
  <c r="O11" i="16"/>
  <c r="N32" i="7" s="1"/>
  <c r="O10" i="16"/>
  <c r="O9" i="16"/>
  <c r="O8" i="16"/>
  <c r="N27" i="51" s="1"/>
  <c r="O7" i="16"/>
  <c r="P6" i="16"/>
  <c r="M27" i="7"/>
  <c r="M28" i="7" s="1"/>
  <c r="D33" i="7"/>
  <c r="C33" i="7"/>
  <c r="N20" i="7"/>
  <c r="N19" i="7"/>
  <c r="N18" i="7"/>
  <c r="N17" i="7"/>
  <c r="N16" i="7"/>
  <c r="N15" i="7"/>
  <c r="N14" i="7"/>
  <c r="N13" i="7"/>
  <c r="N12" i="7"/>
  <c r="N11" i="7"/>
  <c r="N10" i="7"/>
  <c r="N9" i="7"/>
  <c r="N8" i="7"/>
  <c r="N7" i="7"/>
  <c r="B30" i="6"/>
  <c r="B22" i="6"/>
  <c r="L31" i="40"/>
  <c r="K31" i="40"/>
  <c r="J31" i="40"/>
  <c r="H31" i="40"/>
  <c r="G31" i="40"/>
  <c r="F31" i="40"/>
  <c r="C31" i="40"/>
  <c r="B31" i="40"/>
  <c r="N89" i="3"/>
  <c r="P89" i="3" s="1"/>
  <c r="N75" i="3"/>
  <c r="N67" i="3"/>
  <c r="P67" i="3" s="1"/>
  <c r="N45" i="3"/>
  <c r="N39" i="3"/>
  <c r="P39" i="3" s="1"/>
  <c r="N7" i="3"/>
  <c r="P13" i="3" s="1"/>
  <c r="O17" i="5"/>
  <c r="N15" i="5"/>
  <c r="N13" i="1" s="1"/>
  <c r="M15" i="5"/>
  <c r="L15" i="5"/>
  <c r="K15" i="5"/>
  <c r="J15" i="5"/>
  <c r="I15" i="5"/>
  <c r="H15" i="5"/>
  <c r="G15" i="5"/>
  <c r="F15" i="5"/>
  <c r="E15" i="5"/>
  <c r="D15" i="5"/>
  <c r="C15" i="5"/>
  <c r="M14" i="5"/>
  <c r="L14" i="5"/>
  <c r="K14" i="5"/>
  <c r="J14" i="5"/>
  <c r="I14" i="5"/>
  <c r="H14" i="5"/>
  <c r="G14" i="5"/>
  <c r="F14" i="5"/>
  <c r="E14" i="5"/>
  <c r="D14" i="5"/>
  <c r="C14" i="5"/>
  <c r="M43" i="5"/>
  <c r="AO43" i="5" s="1"/>
  <c r="L43" i="5"/>
  <c r="AN43" i="5" s="1"/>
  <c r="K43" i="5"/>
  <c r="AM43" i="5" s="1"/>
  <c r="J43" i="5"/>
  <c r="AL43" i="5" s="1"/>
  <c r="I43" i="5"/>
  <c r="AK43" i="5" s="1"/>
  <c r="H43" i="5"/>
  <c r="AJ43" i="5" s="1"/>
  <c r="G43" i="5"/>
  <c r="AI43" i="5" s="1"/>
  <c r="F43" i="5"/>
  <c r="AH43" i="5" s="1"/>
  <c r="E43" i="5"/>
  <c r="AG43" i="5" s="1"/>
  <c r="D43" i="5"/>
  <c r="AF43" i="5" s="1"/>
  <c r="C43" i="5"/>
  <c r="AE43" i="5" s="1"/>
  <c r="N8" i="5"/>
  <c r="M8" i="5"/>
  <c r="AZ8" i="5" s="1"/>
  <c r="L8" i="5"/>
  <c r="K8" i="5"/>
  <c r="J8" i="5"/>
  <c r="J59" i="5" s="1"/>
  <c r="AL59" i="5" s="1"/>
  <c r="I8" i="5"/>
  <c r="I59" i="5" s="1"/>
  <c r="AK59" i="5" s="1"/>
  <c r="H8" i="5"/>
  <c r="G8" i="5"/>
  <c r="F8" i="5"/>
  <c r="E8" i="5"/>
  <c r="D8" i="5"/>
  <c r="C8" i="5"/>
  <c r="AE8" i="5" s="1"/>
  <c r="Q19" i="4"/>
  <c r="P19" i="4"/>
  <c r="N19" i="4"/>
  <c r="M19" i="4"/>
  <c r="L19" i="4"/>
  <c r="K19" i="4"/>
  <c r="J19" i="4"/>
  <c r="I19" i="4"/>
  <c r="C19" i="4"/>
  <c r="H38" i="1"/>
  <c r="G38" i="1"/>
  <c r="D38" i="1"/>
  <c r="C38" i="1"/>
  <c r="L37" i="1"/>
  <c r="K37" i="1"/>
  <c r="H37" i="1"/>
  <c r="G37" i="1"/>
  <c r="D37" i="1"/>
  <c r="C37" i="1"/>
  <c r="L36" i="1"/>
  <c r="K36" i="1"/>
  <c r="H36" i="1"/>
  <c r="G36" i="1"/>
  <c r="D36" i="1"/>
  <c r="C36" i="1"/>
  <c r="H35" i="1"/>
  <c r="G35" i="1"/>
  <c r="D35" i="1"/>
  <c r="C35" i="1"/>
  <c r="L34" i="1"/>
  <c r="K34" i="1"/>
  <c r="H34" i="1"/>
  <c r="G34" i="1"/>
  <c r="D34" i="1"/>
  <c r="C34" i="1"/>
  <c r="L33" i="1"/>
  <c r="K33" i="1"/>
  <c r="H33" i="1"/>
  <c r="G33" i="1"/>
  <c r="D33" i="1"/>
  <c r="C33" i="1"/>
  <c r="N22" i="1"/>
  <c r="J12" i="1" s="1"/>
  <c r="B29" i="1"/>
  <c r="B28" i="1"/>
  <c r="B27" i="1"/>
  <c r="B26" i="1"/>
  <c r="B25" i="1"/>
  <c r="N17" i="1"/>
  <c r="F12" i="1" s="1"/>
  <c r="B24" i="1"/>
  <c r="B23" i="1"/>
  <c r="B22" i="1"/>
  <c r="B21" i="1"/>
  <c r="B20" i="1"/>
  <c r="N12" i="1"/>
  <c r="B19" i="1"/>
  <c r="N11" i="1"/>
  <c r="C7" i="62" s="1"/>
  <c r="B18" i="1"/>
  <c r="B17" i="1"/>
  <c r="B16" i="1"/>
  <c r="B15" i="1"/>
  <c r="B7" i="1"/>
  <c r="H32" i="1" s="1"/>
  <c r="N59" i="5" l="1"/>
  <c r="N35" i="5"/>
  <c r="P45" i="3"/>
  <c r="N50" i="3"/>
  <c r="P50" i="3" s="1"/>
  <c r="AM14" i="5"/>
  <c r="AJ15" i="5"/>
  <c r="AI8" i="5"/>
  <c r="AF14" i="5"/>
  <c r="AJ14" i="5"/>
  <c r="AN14" i="5"/>
  <c r="AG15" i="5"/>
  <c r="AK15" i="5"/>
  <c r="AO15" i="5"/>
  <c r="AZ15" i="5"/>
  <c r="AE14" i="5"/>
  <c r="AF15" i="5"/>
  <c r="D60" i="5"/>
  <c r="AF60" i="5" s="1"/>
  <c r="AJ8" i="5"/>
  <c r="AG14" i="5"/>
  <c r="AK14" i="5"/>
  <c r="AO14" i="5"/>
  <c r="AZ14" i="5"/>
  <c r="AH15" i="5"/>
  <c r="AL15" i="5"/>
  <c r="AL8" i="5"/>
  <c r="AI14" i="5"/>
  <c r="AN15" i="5"/>
  <c r="AK8" i="5"/>
  <c r="AH14" i="5"/>
  <c r="AL14" i="5"/>
  <c r="AE15" i="5"/>
  <c r="AI15" i="5"/>
  <c r="AM15" i="5"/>
  <c r="C59" i="5"/>
  <c r="AE59" i="5" s="1"/>
  <c r="C60" i="5"/>
  <c r="AE60" i="5" s="1"/>
  <c r="AM8" i="5"/>
  <c r="K59" i="5"/>
  <c r="D51" i="1" s="1"/>
  <c r="AN8" i="5"/>
  <c r="L59" i="5"/>
  <c r="AN59" i="5" s="1"/>
  <c r="E59" i="5"/>
  <c r="AG59" i="5" s="1"/>
  <c r="E60" i="5"/>
  <c r="AG60" i="5" s="1"/>
  <c r="AG8" i="5"/>
  <c r="F60" i="5"/>
  <c r="AH60" i="5" s="1"/>
  <c r="AH8" i="5"/>
  <c r="M59" i="5"/>
  <c r="AO59" i="5" s="1"/>
  <c r="AO8" i="5"/>
  <c r="D59" i="5"/>
  <c r="AF59" i="5" s="1"/>
  <c r="AF8" i="5"/>
  <c r="I61" i="5"/>
  <c r="AK61" i="5" s="1"/>
  <c r="I60" i="5"/>
  <c r="AK60" i="5" s="1"/>
  <c r="I58" i="5"/>
  <c r="AK58" i="5" s="1"/>
  <c r="F58" i="5"/>
  <c r="AH58" i="5" s="1"/>
  <c r="F61" i="5"/>
  <c r="AH61" i="5" s="1"/>
  <c r="F59" i="5"/>
  <c r="AH59" i="5" s="1"/>
  <c r="J58" i="5"/>
  <c r="AL58" i="5" s="1"/>
  <c r="J61" i="5"/>
  <c r="AL61" i="5" s="1"/>
  <c r="J60" i="5"/>
  <c r="AL60" i="5" s="1"/>
  <c r="E61" i="5"/>
  <c r="AG61" i="5" s="1"/>
  <c r="E58" i="5"/>
  <c r="AG58" i="5" s="1"/>
  <c r="M61" i="5"/>
  <c r="AO61" i="5" s="1"/>
  <c r="M60" i="5"/>
  <c r="AO60" i="5" s="1"/>
  <c r="M58" i="5"/>
  <c r="AO58" i="5" s="1"/>
  <c r="C35" i="5"/>
  <c r="AE35" i="5" s="1"/>
  <c r="C58" i="5"/>
  <c r="AE58" i="5" s="1"/>
  <c r="C61" i="5"/>
  <c r="AE61" i="5" s="1"/>
  <c r="G60" i="5"/>
  <c r="AI60" i="5" s="1"/>
  <c r="G58" i="5"/>
  <c r="AI58" i="5" s="1"/>
  <c r="G59" i="5"/>
  <c r="AI59" i="5" s="1"/>
  <c r="G61" i="5"/>
  <c r="AI61" i="5" s="1"/>
  <c r="K60" i="5"/>
  <c r="AM60" i="5" s="1"/>
  <c r="K58" i="5"/>
  <c r="AM58" i="5" s="1"/>
  <c r="K61" i="5"/>
  <c r="AM61" i="5" s="1"/>
  <c r="D58" i="5"/>
  <c r="AF58" i="5" s="1"/>
  <c r="D61" i="5"/>
  <c r="AF61" i="5" s="1"/>
  <c r="H60" i="5"/>
  <c r="AJ60" i="5" s="1"/>
  <c r="H59" i="5"/>
  <c r="AJ59" i="5" s="1"/>
  <c r="H61" i="5"/>
  <c r="AJ61" i="5" s="1"/>
  <c r="H58" i="5"/>
  <c r="AJ58" i="5" s="1"/>
  <c r="L60" i="5"/>
  <c r="L61" i="5"/>
  <c r="AN61" i="5" s="1"/>
  <c r="L58" i="5"/>
  <c r="AN58" i="5" s="1"/>
  <c r="D35" i="5"/>
  <c r="AF35" i="5" s="1"/>
  <c r="E35" i="5"/>
  <c r="AG35" i="5" s="1"/>
  <c r="M35" i="5"/>
  <c r="AO35" i="5" s="1"/>
  <c r="F35" i="5"/>
  <c r="AH35" i="5" s="1"/>
  <c r="G35" i="5"/>
  <c r="AI35" i="5" s="1"/>
  <c r="K35" i="5"/>
  <c r="AM35" i="5" s="1"/>
  <c r="I35" i="5"/>
  <c r="AK35" i="5" s="1"/>
  <c r="J35" i="5"/>
  <c r="AL35" i="5" s="1"/>
  <c r="H35" i="5"/>
  <c r="AJ35" i="5" s="1"/>
  <c r="L35" i="5"/>
  <c r="AN35" i="5" s="1"/>
  <c r="N31" i="5"/>
  <c r="G48" i="1" s="1"/>
  <c r="G51" i="1"/>
  <c r="C13" i="62" s="1"/>
  <c r="P75" i="3"/>
  <c r="N82" i="3"/>
  <c r="P82" i="3" s="1"/>
  <c r="N60" i="5"/>
  <c r="P94" i="3"/>
  <c r="P14" i="5"/>
  <c r="C51" i="1"/>
  <c r="N33" i="5"/>
  <c r="N61" i="5"/>
  <c r="N34" i="5"/>
  <c r="F34" i="5"/>
  <c r="AH34" i="5" s="1"/>
  <c r="J34" i="5"/>
  <c r="AL34" i="5" s="1"/>
  <c r="P10" i="5"/>
  <c r="P11" i="5" s="1"/>
  <c r="P8" i="5"/>
  <c r="C34" i="5"/>
  <c r="AE34" i="5" s="1"/>
  <c r="G34" i="5"/>
  <c r="AI34" i="5" s="1"/>
  <c r="K34" i="5"/>
  <c r="AM34" i="5" s="1"/>
  <c r="D34" i="5"/>
  <c r="AF34" i="5" s="1"/>
  <c r="H34" i="5"/>
  <c r="AJ34" i="5" s="1"/>
  <c r="L34" i="5"/>
  <c r="AN34" i="5" s="1"/>
  <c r="E34" i="5"/>
  <c r="AG34" i="5" s="1"/>
  <c r="I34" i="5"/>
  <c r="AK34" i="5" s="1"/>
  <c r="M33" i="5"/>
  <c r="AO33" i="5" s="1"/>
  <c r="M34" i="5"/>
  <c r="AO34" i="5" s="1"/>
  <c r="P15" i="5"/>
  <c r="N43" i="5"/>
  <c r="N45" i="5"/>
  <c r="N44" i="3"/>
  <c r="P44" i="3" s="1"/>
  <c r="I33" i="5"/>
  <c r="AK33" i="5" s="1"/>
  <c r="E45" i="5"/>
  <c r="AG45" i="5" s="1"/>
  <c r="E44" i="5"/>
  <c r="AG44" i="5" s="1"/>
  <c r="E42" i="5"/>
  <c r="AG42" i="5" s="1"/>
  <c r="I45" i="5"/>
  <c r="AK45" i="5" s="1"/>
  <c r="I44" i="5"/>
  <c r="AK44" i="5" s="1"/>
  <c r="I42" i="5"/>
  <c r="AK42" i="5" s="1"/>
  <c r="F33" i="5"/>
  <c r="AH33" i="5" s="1"/>
  <c r="N32" i="5"/>
  <c r="J45" i="5"/>
  <c r="AL45" i="5" s="1"/>
  <c r="J44" i="5"/>
  <c r="AL44" i="5" s="1"/>
  <c r="J42" i="5"/>
  <c r="AL42" i="5" s="1"/>
  <c r="C33" i="5"/>
  <c r="AE33" i="5" s="1"/>
  <c r="K33" i="5"/>
  <c r="AM33" i="5" s="1"/>
  <c r="C45" i="5"/>
  <c r="AE45" i="5" s="1"/>
  <c r="C44" i="5"/>
  <c r="AE44" i="5" s="1"/>
  <c r="C42" i="5"/>
  <c r="AE42" i="5" s="1"/>
  <c r="G45" i="5"/>
  <c r="AI45" i="5" s="1"/>
  <c r="G44" i="5"/>
  <c r="AI44" i="5" s="1"/>
  <c r="G42" i="5"/>
  <c r="AI42" i="5" s="1"/>
  <c r="K45" i="5"/>
  <c r="AM45" i="5" s="1"/>
  <c r="K44" i="5"/>
  <c r="AM44" i="5" s="1"/>
  <c r="K42" i="5"/>
  <c r="AM42" i="5" s="1"/>
  <c r="D33" i="5"/>
  <c r="AF33" i="5" s="1"/>
  <c r="H33" i="5"/>
  <c r="AJ33" i="5" s="1"/>
  <c r="L33" i="5"/>
  <c r="AN33" i="5" s="1"/>
  <c r="D45" i="5"/>
  <c r="AF45" i="5" s="1"/>
  <c r="D44" i="5"/>
  <c r="AF44" i="5" s="1"/>
  <c r="D42" i="5"/>
  <c r="AF42" i="5" s="1"/>
  <c r="H45" i="5"/>
  <c r="AJ45" i="5" s="1"/>
  <c r="H44" i="5"/>
  <c r="AJ44" i="5" s="1"/>
  <c r="H42" i="5"/>
  <c r="AJ42" i="5" s="1"/>
  <c r="L45" i="5"/>
  <c r="AN45" i="5" s="1"/>
  <c r="L44" i="5"/>
  <c r="AN44" i="5" s="1"/>
  <c r="L42" i="5"/>
  <c r="AN42" i="5" s="1"/>
  <c r="J33" i="5"/>
  <c r="AL33" i="5" s="1"/>
  <c r="N44" i="5"/>
  <c r="N42" i="5"/>
  <c r="E33" i="5"/>
  <c r="AG33" i="5" s="1"/>
  <c r="M30" i="5"/>
  <c r="M45" i="5"/>
  <c r="AO45" i="5" s="1"/>
  <c r="M44" i="5"/>
  <c r="AO44" i="5" s="1"/>
  <c r="M42" i="5"/>
  <c r="AO42" i="5" s="1"/>
  <c r="F45" i="5"/>
  <c r="AH45" i="5" s="1"/>
  <c r="F44" i="5"/>
  <c r="AH44" i="5" s="1"/>
  <c r="F42" i="5"/>
  <c r="AH42" i="5" s="1"/>
  <c r="G33" i="5"/>
  <c r="AI33" i="5" s="1"/>
  <c r="N30" i="5"/>
  <c r="G47" i="1" s="1"/>
  <c r="C11" i="62" s="1"/>
  <c r="N58" i="5"/>
  <c r="G50" i="1" s="1"/>
  <c r="M33" i="7"/>
  <c r="M22" i="7"/>
  <c r="N31" i="7"/>
  <c r="N29" i="51"/>
  <c r="N29" i="7"/>
  <c r="N26" i="51"/>
  <c r="N30" i="7"/>
  <c r="N28" i="51"/>
  <c r="C10" i="5"/>
  <c r="AE10" i="5" s="1"/>
  <c r="M31" i="40"/>
  <c r="B11" i="1"/>
  <c r="P7" i="3"/>
  <c r="G25" i="5"/>
  <c r="AI25" i="5" s="1"/>
  <c r="H31" i="5"/>
  <c r="AJ31" i="5" s="1"/>
  <c r="J32" i="5"/>
  <c r="O10" i="5"/>
  <c r="D21" i="5"/>
  <c r="AF21" i="5" s="1"/>
  <c r="E30" i="5"/>
  <c r="AG30" i="5" s="1"/>
  <c r="C31" i="5"/>
  <c r="AE31" i="5" s="1"/>
  <c r="N88" i="3"/>
  <c r="P88" i="3" s="1"/>
  <c r="K30" i="5"/>
  <c r="L22" i="5"/>
  <c r="AN22" i="5" s="1"/>
  <c r="D31" i="40"/>
  <c r="E31" i="40" s="1"/>
  <c r="O18" i="1"/>
  <c r="P61" i="3"/>
  <c r="B10" i="1"/>
  <c r="E33" i="7"/>
  <c r="G33" i="7"/>
  <c r="I33" i="7"/>
  <c r="K33" i="7"/>
  <c r="B33" i="7"/>
  <c r="F33" i="7"/>
  <c r="H33" i="7"/>
  <c r="J33" i="7"/>
  <c r="L33" i="7"/>
  <c r="N21" i="5"/>
  <c r="L35" i="1"/>
  <c r="K35" i="1"/>
  <c r="C41" i="1"/>
  <c r="O17" i="1"/>
  <c r="O12" i="1"/>
  <c r="O22" i="1"/>
  <c r="E41" i="1"/>
  <c r="C32" i="1"/>
  <c r="K32" i="1" s="1"/>
  <c r="F41" i="1"/>
  <c r="L21" i="5"/>
  <c r="G30" i="5"/>
  <c r="AI30" i="5" s="1"/>
  <c r="C25" i="5"/>
  <c r="AE25" i="5" s="1"/>
  <c r="D31" i="5"/>
  <c r="AF31" i="5" s="1"/>
  <c r="H21" i="5"/>
  <c r="AJ21" i="5" s="1"/>
  <c r="D25" i="5"/>
  <c r="AF25" i="5" s="1"/>
  <c r="O11" i="1"/>
  <c r="L25" i="5"/>
  <c r="AN25" i="5" s="1"/>
  <c r="C32" i="5"/>
  <c r="AE32" i="5" s="1"/>
  <c r="D22" i="5"/>
  <c r="I32" i="5"/>
  <c r="AK32" i="5" s="1"/>
  <c r="J22" i="5"/>
  <c r="O12" i="5"/>
  <c r="O15" i="5"/>
  <c r="F22" i="5"/>
  <c r="K22" i="5"/>
  <c r="AM22" i="5" s="1"/>
  <c r="J30" i="5"/>
  <c r="H22" i="5"/>
  <c r="H25" i="5"/>
  <c r="AJ25" i="5" s="1"/>
  <c r="F30" i="5"/>
  <c r="AH30" i="5" s="1"/>
  <c r="L31" i="5"/>
  <c r="K32" i="5"/>
  <c r="I31" i="40"/>
  <c r="O13" i="5"/>
  <c r="O14" i="5"/>
  <c r="G31" i="5"/>
  <c r="AI31" i="5" s="1"/>
  <c r="M21" i="5"/>
  <c r="AO21" i="5" s="1"/>
  <c r="G22" i="5"/>
  <c r="O19" i="4"/>
  <c r="H19" i="4"/>
  <c r="O9" i="5"/>
  <c r="O16" i="5"/>
  <c r="P38" i="5"/>
  <c r="O13" i="1"/>
  <c r="E28" i="5"/>
  <c r="AG28" i="5" s="1"/>
  <c r="E26" i="5"/>
  <c r="AG26" i="5" s="1"/>
  <c r="E22" i="5"/>
  <c r="I28" i="5"/>
  <c r="AK28" i="5" s="1"/>
  <c r="I26" i="5"/>
  <c r="AK26" i="5" s="1"/>
  <c r="I22" i="5"/>
  <c r="M28" i="5"/>
  <c r="AO28" i="5" s="1"/>
  <c r="M26" i="5"/>
  <c r="AO26" i="5" s="1"/>
  <c r="M22" i="5"/>
  <c r="AO22" i="5" s="1"/>
  <c r="I21" i="5"/>
  <c r="AK21" i="5" s="1"/>
  <c r="M25" i="5"/>
  <c r="AO25" i="5" s="1"/>
  <c r="M31" i="5"/>
  <c r="AO31" i="5" s="1"/>
  <c r="E32" i="5"/>
  <c r="AG32" i="5" s="1"/>
  <c r="E19" i="4"/>
  <c r="F28" i="5"/>
  <c r="AH28" i="5" s="1"/>
  <c r="F26" i="5"/>
  <c r="AH26" i="5" s="1"/>
  <c r="F31" i="5"/>
  <c r="AH31" i="5" s="1"/>
  <c r="F25" i="5"/>
  <c r="AH25" i="5" s="1"/>
  <c r="J28" i="5"/>
  <c r="AL28" i="5" s="1"/>
  <c r="J26" i="5"/>
  <c r="J31" i="5"/>
  <c r="J25" i="5"/>
  <c r="AL25" i="5" s="1"/>
  <c r="N28" i="5"/>
  <c r="N26" i="5"/>
  <c r="G46" i="1" s="1"/>
  <c r="N25" i="5"/>
  <c r="E21" i="5"/>
  <c r="AG21" i="5" s="1"/>
  <c r="J21" i="5"/>
  <c r="I25" i="5"/>
  <c r="AK25" i="5" s="1"/>
  <c r="I31" i="5"/>
  <c r="AK31" i="5" s="1"/>
  <c r="F32" i="5"/>
  <c r="AH32" i="5" s="1"/>
  <c r="N23" i="7"/>
  <c r="D41" i="1"/>
  <c r="L32" i="1"/>
  <c r="D32" i="1"/>
  <c r="G32" i="1"/>
  <c r="G41" i="1"/>
  <c r="B19" i="4"/>
  <c r="F19" i="4" s="1"/>
  <c r="O24" i="5" s="1"/>
  <c r="C28" i="5"/>
  <c r="AE28" i="5" s="1"/>
  <c r="C26" i="5"/>
  <c r="AE26" i="5" s="1"/>
  <c r="C21" i="5"/>
  <c r="AE21" i="5" s="1"/>
  <c r="G28" i="5"/>
  <c r="AI28" i="5" s="1"/>
  <c r="G26" i="5"/>
  <c r="AI26" i="5" s="1"/>
  <c r="G21" i="5"/>
  <c r="AI21" i="5" s="1"/>
  <c r="K28" i="5"/>
  <c r="AM28" i="5" s="1"/>
  <c r="K26" i="5"/>
  <c r="K21" i="5"/>
  <c r="O8" i="5"/>
  <c r="F21" i="5"/>
  <c r="AH21" i="5" s="1"/>
  <c r="C22" i="5"/>
  <c r="AE22" i="5" s="1"/>
  <c r="N22" i="5"/>
  <c r="E25" i="5"/>
  <c r="AG25" i="5" s="1"/>
  <c r="K25" i="5"/>
  <c r="AM25" i="5" s="1"/>
  <c r="C30" i="5"/>
  <c r="AE30" i="5" s="1"/>
  <c r="I30" i="5"/>
  <c r="AK30" i="5" s="1"/>
  <c r="E31" i="5"/>
  <c r="AG31" i="5" s="1"/>
  <c r="K31" i="5"/>
  <c r="G32" i="5"/>
  <c r="AI32" i="5" s="1"/>
  <c r="M32" i="5"/>
  <c r="AO32" i="5" s="1"/>
  <c r="D28" i="5"/>
  <c r="AF28" i="5" s="1"/>
  <c r="D26" i="5"/>
  <c r="AF26" i="5" s="1"/>
  <c r="H28" i="5"/>
  <c r="AJ28" i="5" s="1"/>
  <c r="H26" i="5"/>
  <c r="AJ26" i="5" s="1"/>
  <c r="L28" i="5"/>
  <c r="AN28" i="5" s="1"/>
  <c r="L26" i="5"/>
  <c r="D30" i="5"/>
  <c r="AF30" i="5" s="1"/>
  <c r="H30" i="5"/>
  <c r="AJ30" i="5" s="1"/>
  <c r="L30" i="5"/>
  <c r="D32" i="5"/>
  <c r="AF32" i="5" s="1"/>
  <c r="H32" i="5"/>
  <c r="AJ32" i="5" s="1"/>
  <c r="L32" i="5"/>
  <c r="G42" i="1" l="1"/>
  <c r="C9" i="62" s="1"/>
  <c r="N18" i="5"/>
  <c r="D52" i="1"/>
  <c r="D50" i="1"/>
  <c r="AM59" i="5"/>
  <c r="C52" i="1"/>
  <c r="C50" i="1"/>
  <c r="F50" i="1"/>
  <c r="F52" i="1"/>
  <c r="D48" i="1"/>
  <c r="AM31" i="5"/>
  <c r="C47" i="1"/>
  <c r="AL30" i="5"/>
  <c r="C11" i="5"/>
  <c r="D42" i="1"/>
  <c r="AM21" i="5"/>
  <c r="C46" i="1"/>
  <c r="AL26" i="5"/>
  <c r="E50" i="1"/>
  <c r="D46" i="1"/>
  <c r="AM26" i="5"/>
  <c r="E23" i="5"/>
  <c r="AG23" i="5" s="1"/>
  <c r="AG22" i="5"/>
  <c r="E48" i="1"/>
  <c r="AN31" i="5"/>
  <c r="E47" i="1"/>
  <c r="AN30" i="5"/>
  <c r="I23" i="5"/>
  <c r="AK23" i="5" s="1"/>
  <c r="AK22" i="5"/>
  <c r="D47" i="1"/>
  <c r="AM30" i="5"/>
  <c r="E49" i="1"/>
  <c r="AN32" i="5"/>
  <c r="C42" i="1"/>
  <c r="AL21" i="5"/>
  <c r="F23" i="5"/>
  <c r="AH23" i="5" s="1"/>
  <c r="AH22" i="5"/>
  <c r="D49" i="1"/>
  <c r="AM32" i="5"/>
  <c r="H23" i="5"/>
  <c r="AJ23" i="5" s="1"/>
  <c r="AJ22" i="5"/>
  <c r="D23" i="5"/>
  <c r="AF23" i="5" s="1"/>
  <c r="AF22" i="5"/>
  <c r="C49" i="1"/>
  <c r="AL32" i="5"/>
  <c r="F47" i="1"/>
  <c r="AO30" i="5"/>
  <c r="E51" i="1"/>
  <c r="F51" i="1"/>
  <c r="E52" i="1"/>
  <c r="AN60" i="5"/>
  <c r="E46" i="1"/>
  <c r="AN26" i="5"/>
  <c r="E42" i="1"/>
  <c r="AN21" i="5"/>
  <c r="C48" i="1"/>
  <c r="AL31" i="5"/>
  <c r="G23" i="5"/>
  <c r="AI23" i="5" s="1"/>
  <c r="AI22" i="5"/>
  <c r="J23" i="5"/>
  <c r="AL23" i="5" s="1"/>
  <c r="AL22" i="5"/>
  <c r="G52" i="1"/>
  <c r="C14" i="62" s="1"/>
  <c r="N24" i="5"/>
  <c r="G44" i="1" s="1"/>
  <c r="N27" i="5"/>
  <c r="N36" i="5" s="1"/>
  <c r="I24" i="5"/>
  <c r="AK24" i="5" s="1"/>
  <c r="I27" i="5"/>
  <c r="J24" i="5"/>
  <c r="J27" i="5"/>
  <c r="M27" i="5"/>
  <c r="AO27" i="5" s="1"/>
  <c r="L24" i="5"/>
  <c r="L27" i="5"/>
  <c r="F24" i="5"/>
  <c r="AH24" i="5" s="1"/>
  <c r="F27" i="5"/>
  <c r="G24" i="5"/>
  <c r="AI24" i="5" s="1"/>
  <c r="G27" i="5"/>
  <c r="K24" i="5"/>
  <c r="K27" i="5"/>
  <c r="H24" i="5"/>
  <c r="AJ24" i="5" s="1"/>
  <c r="H27" i="5"/>
  <c r="C24" i="5"/>
  <c r="AE24" i="5" s="1"/>
  <c r="C27" i="5"/>
  <c r="E24" i="5"/>
  <c r="AG24" i="5" s="1"/>
  <c r="E27" i="5"/>
  <c r="D24" i="5"/>
  <c r="AF24" i="5" s="1"/>
  <c r="D27" i="5"/>
  <c r="D10" i="5"/>
  <c r="M24" i="5"/>
  <c r="AO24" i="5" s="1"/>
  <c r="F46" i="1"/>
  <c r="F42" i="1"/>
  <c r="F49" i="1"/>
  <c r="F48" i="1"/>
  <c r="D45" i="1"/>
  <c r="C45" i="1"/>
  <c r="E45" i="1"/>
  <c r="M24" i="7"/>
  <c r="N22" i="7"/>
  <c r="K25" i="1"/>
  <c r="K21" i="1"/>
  <c r="K17" i="1"/>
  <c r="K24" i="1"/>
  <c r="K20" i="1"/>
  <c r="K16" i="1"/>
  <c r="K23" i="1"/>
  <c r="K19" i="1"/>
  <c r="K15" i="1"/>
  <c r="K26" i="1"/>
  <c r="K22" i="1"/>
  <c r="K18" i="1"/>
  <c r="C23" i="5"/>
  <c r="AE23" i="5" s="1"/>
  <c r="E43" i="1"/>
  <c r="L23" i="5"/>
  <c r="AN23" i="5" s="1"/>
  <c r="G43" i="1"/>
  <c r="C10" i="62" s="1"/>
  <c r="N23" i="5"/>
  <c r="F43" i="1"/>
  <c r="M23" i="5"/>
  <c r="AO23" i="5" s="1"/>
  <c r="C43" i="1"/>
  <c r="D43" i="1"/>
  <c r="K23" i="5"/>
  <c r="AM23" i="5" s="1"/>
  <c r="C17" i="1"/>
  <c r="C24" i="1"/>
  <c r="B12" i="1"/>
  <c r="C26" i="1"/>
  <c r="N33" i="7"/>
  <c r="C29" i="1"/>
  <c r="C16" i="1"/>
  <c r="C27" i="1"/>
  <c r="C28" i="1"/>
  <c r="C22" i="1"/>
  <c r="C25" i="1"/>
  <c r="C23" i="1"/>
  <c r="C21" i="1"/>
  <c r="C18" i="1"/>
  <c r="C10" i="1"/>
  <c r="C11" i="1" s="1"/>
  <c r="C20" i="1"/>
  <c r="C19" i="1"/>
  <c r="G49" i="1"/>
  <c r="C12" i="62" s="1"/>
  <c r="F45" i="1"/>
  <c r="G19" i="4"/>
  <c r="G45" i="1"/>
  <c r="C8" i="62" s="1"/>
  <c r="C15" i="1"/>
  <c r="AE11" i="5" l="1"/>
  <c r="AF10" i="5"/>
  <c r="C36" i="5"/>
  <c r="AE36" i="5" s="1"/>
  <c r="AE27" i="5"/>
  <c r="F36" i="5"/>
  <c r="AH36" i="5" s="1"/>
  <c r="AH27" i="5"/>
  <c r="J36" i="5"/>
  <c r="AL36" i="5" s="1"/>
  <c r="AL27" i="5"/>
  <c r="D36" i="5"/>
  <c r="AF36" i="5" s="1"/>
  <c r="AF27" i="5"/>
  <c r="K36" i="5"/>
  <c r="AM36" i="5" s="1"/>
  <c r="AM27" i="5"/>
  <c r="E36" i="5"/>
  <c r="AG36" i="5" s="1"/>
  <c r="AG27" i="5"/>
  <c r="H36" i="5"/>
  <c r="AJ36" i="5" s="1"/>
  <c r="AJ27" i="5"/>
  <c r="G36" i="5"/>
  <c r="AI36" i="5" s="1"/>
  <c r="AI27" i="5"/>
  <c r="L36" i="5"/>
  <c r="AN36" i="5" s="1"/>
  <c r="AN27" i="5"/>
  <c r="I36" i="5"/>
  <c r="AK36" i="5" s="1"/>
  <c r="AK27" i="5"/>
  <c r="D44" i="1"/>
  <c r="AM24" i="5"/>
  <c r="C44" i="1"/>
  <c r="AL24" i="5"/>
  <c r="E44" i="1"/>
  <c r="AN24" i="5"/>
  <c r="D11" i="5"/>
  <c r="E10" i="5"/>
  <c r="F44" i="1"/>
  <c r="M36" i="5"/>
  <c r="AO36" i="5" s="1"/>
  <c r="M25" i="7"/>
  <c r="N25" i="7" s="1"/>
  <c r="N24" i="7"/>
  <c r="AF11" i="5" l="1"/>
  <c r="AG10" i="5"/>
  <c r="E11" i="5"/>
  <c r="F10" i="5"/>
  <c r="AH10" i="5" l="1"/>
  <c r="AG11" i="5"/>
  <c r="F11" i="5"/>
  <c r="G10" i="5"/>
  <c r="AI10" i="5" l="1"/>
  <c r="AH11" i="5"/>
  <c r="G11" i="5"/>
  <c r="H10" i="5"/>
  <c r="AJ10" i="5" l="1"/>
  <c r="AI11" i="5"/>
  <c r="H11" i="5"/>
  <c r="I10" i="5"/>
  <c r="AK10" i="5" l="1"/>
  <c r="AJ11" i="5"/>
  <c r="I11" i="5"/>
  <c r="J10" i="5"/>
  <c r="AL10" i="5" l="1"/>
  <c r="AK11" i="5"/>
  <c r="J11" i="5"/>
  <c r="K10" i="5"/>
  <c r="AM10" i="5" l="1"/>
  <c r="AL11" i="5"/>
  <c r="K11" i="5"/>
  <c r="L10" i="5"/>
  <c r="AN10" i="5" l="1"/>
  <c r="AM11" i="5"/>
  <c r="L11" i="5"/>
  <c r="M10" i="5"/>
  <c r="AO10" i="5" l="1"/>
  <c r="AZ10" i="5"/>
  <c r="AN11" i="5"/>
  <c r="M11" i="5"/>
  <c r="N10" i="5"/>
  <c r="N11" i="5" s="1"/>
  <c r="AO11" i="5" l="1"/>
  <c r="AZ1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ing.procesos</author>
    <author>Usuario</author>
  </authors>
  <commentList>
    <comment ref="C7" authorId="0" shapeId="0" xr:uid="{6CD41E95-4D7F-4AD5-9C78-9E195BC2808D}">
      <text>
        <r>
          <rPr>
            <b/>
            <sz val="9"/>
            <color indexed="81"/>
            <rFont val="Tahoma"/>
            <family val="2"/>
          </rPr>
          <t>ing.procesos:</t>
        </r>
        <r>
          <rPr>
            <sz val="9"/>
            <color indexed="81"/>
            <rFont val="Tahoma"/>
            <family val="2"/>
          </rPr>
          <t xml:space="preserve">
Recibido en el mes 7010 kg. Pendiente 75198 kg.</t>
        </r>
      </text>
    </comment>
    <comment ref="D7" authorId="0" shapeId="0" xr:uid="{0FBD9E96-1A5B-4BDE-9E17-71A921A12DA1}">
      <text>
        <r>
          <rPr>
            <b/>
            <sz val="9"/>
            <color indexed="81"/>
            <rFont val="Tahoma"/>
            <family val="2"/>
          </rPr>
          <t>ing.procesos:</t>
        </r>
        <r>
          <rPr>
            <sz val="9"/>
            <color indexed="81"/>
            <rFont val="Tahoma"/>
            <family val="2"/>
          </rPr>
          <t xml:space="preserve">
AGR recibido 103206 kg. AGR pendiente 425 kg.</t>
        </r>
      </text>
    </comment>
    <comment ref="H7" authorId="0" shapeId="0" xr:uid="{A9274BBA-B6ED-403A-8676-4A59656292A9}">
      <text>
        <r>
          <rPr>
            <b/>
            <sz val="9"/>
            <color indexed="81"/>
            <rFont val="Tahoma"/>
            <family val="2"/>
          </rPr>
          <t>ing.procesos:</t>
        </r>
        <r>
          <rPr>
            <sz val="9"/>
            <color indexed="81"/>
            <rFont val="Tahoma"/>
            <family val="2"/>
          </rPr>
          <t xml:space="preserve">
Recibidos por mandato TEQ 5946234 kg
Rebidos por CES 0 kg.</t>
        </r>
      </text>
    </comment>
    <comment ref="C8" authorId="0" shapeId="0" xr:uid="{3A145C9C-408B-484E-898E-D689912F88AD}">
      <text>
        <r>
          <rPr>
            <b/>
            <sz val="9"/>
            <color indexed="81"/>
            <rFont val="Tahoma"/>
            <family val="2"/>
          </rPr>
          <t>ing.procesos:</t>
        </r>
        <r>
          <rPr>
            <sz val="9"/>
            <color indexed="81"/>
            <rFont val="Tahoma"/>
            <family val="2"/>
          </rPr>
          <t xml:space="preserve">
Recibido en el mes 3346484 kg. Pendiente 527642 kg.</t>
        </r>
      </text>
    </comment>
    <comment ref="D8" authorId="0" shapeId="0" xr:uid="{0B6361A0-33E8-4C0F-BF53-3CAA517F46AE}">
      <text>
        <r>
          <rPr>
            <b/>
            <sz val="9"/>
            <color indexed="81"/>
            <rFont val="Tahoma"/>
            <family val="2"/>
          </rPr>
          <t>ing.procesos:</t>
        </r>
        <r>
          <rPr>
            <sz val="9"/>
            <color indexed="81"/>
            <rFont val="Tahoma"/>
            <family val="2"/>
          </rPr>
          <t xml:space="preserve">
AGR recibido 101475 kg. AGR pendiente 150409 kg.</t>
        </r>
      </text>
    </comment>
    <comment ref="H8" authorId="0" shapeId="0" xr:uid="{87616416-3398-40A7-AC95-CD9845A42787}">
      <text>
        <r>
          <rPr>
            <b/>
            <sz val="9"/>
            <color indexed="81"/>
            <rFont val="Tahoma"/>
            <family val="2"/>
          </rPr>
          <t>ing.procesos:</t>
        </r>
        <r>
          <rPr>
            <sz val="9"/>
            <color indexed="81"/>
            <rFont val="Tahoma"/>
            <family val="2"/>
          </rPr>
          <t xml:space="preserve">
Recibidos por mandato TEQ 570040 kg
Rebidos por CES 0 kg.</t>
        </r>
      </text>
    </comment>
    <comment ref="C9" authorId="0" shapeId="0" xr:uid="{B14F6E39-1D20-458F-BC49-FA69ADF36282}">
      <text>
        <r>
          <rPr>
            <b/>
            <sz val="9"/>
            <color indexed="81"/>
            <rFont val="Tahoma"/>
            <family val="2"/>
          </rPr>
          <t>ing.procesos:</t>
        </r>
        <r>
          <rPr>
            <sz val="9"/>
            <color indexed="81"/>
            <rFont val="Tahoma"/>
            <family val="2"/>
          </rPr>
          <t xml:space="preserve">
Recibido en el mes 2707986 kg. Pendiente 45973 kg.</t>
        </r>
      </text>
    </comment>
    <comment ref="D9" authorId="0" shapeId="0" xr:uid="{67AD8DFB-4EB0-4290-87FD-EDC5ACEB23C0}">
      <text>
        <r>
          <rPr>
            <b/>
            <sz val="9"/>
            <color indexed="81"/>
            <rFont val="Tahoma"/>
            <family val="2"/>
          </rPr>
          <t>ing.procesos:</t>
        </r>
        <r>
          <rPr>
            <sz val="9"/>
            <color indexed="81"/>
            <rFont val="Tahoma"/>
            <family val="2"/>
          </rPr>
          <t xml:space="preserve">
AGR recibido 326473 kg. AGR pendiente 19572 kg.</t>
        </r>
      </text>
    </comment>
    <comment ref="H9" authorId="0" shapeId="0" xr:uid="{8FC71F85-6C07-4A11-B7E4-25E78BB4520C}">
      <text>
        <r>
          <rPr>
            <b/>
            <sz val="9"/>
            <color indexed="81"/>
            <rFont val="Tahoma"/>
            <family val="2"/>
          </rPr>
          <t>ing.procesos:</t>
        </r>
        <r>
          <rPr>
            <sz val="9"/>
            <color indexed="81"/>
            <rFont val="Tahoma"/>
            <family val="2"/>
          </rPr>
          <t xml:space="preserve">
Recibidos por mandato TEQ 5152405 kg
Rebidos por CES 0 kg.</t>
        </r>
      </text>
    </comment>
    <comment ref="C10" authorId="0" shapeId="0" xr:uid="{BCD17859-0345-4884-91A6-E72945636E12}">
      <text>
        <r>
          <rPr>
            <b/>
            <sz val="9"/>
            <color indexed="81"/>
            <rFont val="Tahoma"/>
            <family val="2"/>
          </rPr>
          <t>ing.procesos:</t>
        </r>
        <r>
          <rPr>
            <sz val="9"/>
            <color indexed="81"/>
            <rFont val="Tahoma"/>
            <family val="2"/>
          </rPr>
          <t xml:space="preserve">
Recibido en el mes 3002436 kg. Pendiente 513559 kg CES y 6357 kg TEQ.</t>
        </r>
      </text>
    </comment>
    <comment ref="D10" authorId="0" shapeId="0" xr:uid="{AD6942ED-E075-4DA4-8F92-DA6D17F031F4}">
      <text>
        <r>
          <rPr>
            <b/>
            <sz val="9"/>
            <color indexed="81"/>
            <rFont val="Tahoma"/>
            <family val="2"/>
          </rPr>
          <t>ing.procesos:</t>
        </r>
        <r>
          <rPr>
            <sz val="9"/>
            <color indexed="81"/>
            <rFont val="Tahoma"/>
            <family val="2"/>
          </rPr>
          <t xml:space="preserve">
AGR recibido 119302 kg. AGR pendiente 109334 kg CES y 263 kg TEQ.</t>
        </r>
      </text>
    </comment>
    <comment ref="H10" authorId="0" shapeId="0" xr:uid="{20D32BAF-700A-4E3F-83B2-B52A1593A07A}">
      <text>
        <r>
          <rPr>
            <b/>
            <sz val="9"/>
            <color indexed="81"/>
            <rFont val="Tahoma"/>
            <family val="2"/>
          </rPr>
          <t>ing.procesos:</t>
        </r>
        <r>
          <rPr>
            <sz val="9"/>
            <color indexed="81"/>
            <rFont val="Tahoma"/>
            <family val="2"/>
          </rPr>
          <t xml:space="preserve">
Recibidos por mandato TEQ 3202491 kg
Rebidos por CES 0 kg.</t>
        </r>
      </text>
    </comment>
    <comment ref="B11" authorId="1" shapeId="0" xr:uid="{FCCF027A-F764-442B-90E4-3FEF105AE50C}">
      <text>
        <r>
          <rPr>
            <b/>
            <sz val="9"/>
            <color indexed="81"/>
            <rFont val="Tahoma"/>
            <family val="2"/>
          </rPr>
          <t>Usuario:</t>
        </r>
        <r>
          <rPr>
            <sz val="9"/>
            <color indexed="81"/>
            <rFont val="Tahoma"/>
            <family val="2"/>
          </rPr>
          <t xml:space="preserve">
4520740 kg enviado a CES
30974 kg a enviado a TEQ</t>
        </r>
      </text>
    </comment>
    <comment ref="C11" authorId="0" shapeId="0" xr:uid="{7340C30D-851D-4145-81D3-42F82B7DA85A}">
      <text>
        <r>
          <rPr>
            <b/>
            <sz val="9"/>
            <color indexed="81"/>
            <rFont val="Tahoma"/>
            <family val="2"/>
          </rPr>
          <t>ing.procesos:</t>
        </r>
        <r>
          <rPr>
            <sz val="9"/>
            <color indexed="81"/>
            <rFont val="Tahoma"/>
            <family val="2"/>
          </rPr>
          <t xml:space="preserve">
Recibido en el mes 3642741 kg. Pendiente 1168351 kg CES y 26492 kg TEQ.
Generado 4297533 kg en CES + 20135 kg en TEQ</t>
        </r>
      </text>
    </comment>
    <comment ref="D11" authorId="0" shapeId="0" xr:uid="{D976D50D-86EC-4C0E-B1EB-15E1F3066D09}">
      <text>
        <r>
          <rPr>
            <b/>
            <sz val="9"/>
            <color indexed="81"/>
            <rFont val="Tahoma"/>
            <family val="2"/>
          </rPr>
          <t>ing.procesos:</t>
        </r>
        <r>
          <rPr>
            <sz val="9"/>
            <color indexed="81"/>
            <rFont val="Tahoma"/>
            <family val="2"/>
          </rPr>
          <t xml:space="preserve">
AGR recibido 250843 kg. AGR pendiente 58021 kg CES y 4120 kg TEQ.
Generado 3857 kg TEQ + 199530 kg CES</t>
        </r>
      </text>
    </comment>
    <comment ref="E11" authorId="0" shapeId="0" xr:uid="{F12B17B6-3EA0-4420-8946-17F4C1C1DBC5}">
      <text>
        <r>
          <rPr>
            <b/>
            <sz val="9"/>
            <color indexed="81"/>
            <rFont val="Tahoma"/>
            <family val="2"/>
          </rPr>
          <t>ing.procesos:</t>
        </r>
        <r>
          <rPr>
            <sz val="9"/>
            <color indexed="81"/>
            <rFont val="Tahoma"/>
            <family val="2"/>
          </rPr>
          <t xml:space="preserve">
TEQ: Se generaron 6982 kg
CES: Se generaron 23677 kg</t>
        </r>
      </text>
    </comment>
    <comment ref="H11" authorId="0" shapeId="0" xr:uid="{59972701-9DE2-405B-869D-9FD66C1F397D}">
      <text>
        <r>
          <rPr>
            <b/>
            <sz val="9"/>
            <color indexed="81"/>
            <rFont val="Tahoma"/>
            <family val="2"/>
          </rPr>
          <t>ing.procesos:</t>
        </r>
        <r>
          <rPr>
            <sz val="9"/>
            <color indexed="81"/>
            <rFont val="Tahoma"/>
            <family val="2"/>
          </rPr>
          <t xml:space="preserve">
Recibidos por mandato TEQ 1892329 kg
Rebidos por CES 0 kg.</t>
        </r>
      </text>
    </comment>
    <comment ref="B12" authorId="1" shapeId="0" xr:uid="{FD958E1E-2936-4632-865F-16C18B5B136E}">
      <text>
        <r>
          <rPr>
            <b/>
            <sz val="9"/>
            <color indexed="81"/>
            <rFont val="Tahoma"/>
            <family val="2"/>
          </rPr>
          <t>Usuario:</t>
        </r>
        <r>
          <rPr>
            <sz val="9"/>
            <color indexed="81"/>
            <rFont val="Tahoma"/>
            <family val="2"/>
          </rPr>
          <t xml:space="preserve">
1739209 kg enviado a CES
40121 kg a enviado a TEQ</t>
        </r>
      </text>
    </comment>
    <comment ref="C12" authorId="0" shapeId="0" xr:uid="{A6E92840-E1A5-417D-9862-7FF81A341E03}">
      <text>
        <r>
          <rPr>
            <b/>
            <sz val="9"/>
            <color indexed="81"/>
            <rFont val="Tahoma"/>
            <family val="2"/>
          </rPr>
          <t>ing.procesos:</t>
        </r>
        <r>
          <rPr>
            <sz val="9"/>
            <color indexed="81"/>
            <rFont val="Tahoma"/>
            <family val="2"/>
          </rPr>
          <t xml:space="preserve">
Recibido en el mes 2828877 kg. Pendiente 52573 kg CES y 7324 kg TEQ.
Generado 1667850 kg en CES + 26081 kg en TEQ</t>
        </r>
      </text>
    </comment>
    <comment ref="D12" authorId="0" shapeId="0" xr:uid="{1E5BCD42-0F98-4BD5-BAEE-BD333885EEF1}">
      <text>
        <r>
          <rPr>
            <b/>
            <sz val="9"/>
            <color indexed="81"/>
            <rFont val="Tahoma"/>
            <family val="2"/>
          </rPr>
          <t>ing.procesos:</t>
        </r>
        <r>
          <rPr>
            <sz val="9"/>
            <color indexed="81"/>
            <rFont val="Tahoma"/>
            <family val="2"/>
          </rPr>
          <t xml:space="preserve">
AGR recibido 105472 kg. AGR pendiente 15081 kg CES y 9117 kg TEQ.
Generado 4997 kg TEQ + 62532 kg CES</t>
        </r>
      </text>
    </comment>
    <comment ref="E12" authorId="0" shapeId="0" xr:uid="{4D4310BA-212F-47F6-8E1D-BD6EA588B649}">
      <text>
        <r>
          <rPr>
            <b/>
            <sz val="9"/>
            <color indexed="81"/>
            <rFont val="Tahoma"/>
            <family val="2"/>
          </rPr>
          <t>ing.procesos:</t>
        </r>
        <r>
          <rPr>
            <sz val="9"/>
            <color indexed="81"/>
            <rFont val="Tahoma"/>
            <family val="2"/>
          </rPr>
          <t xml:space="preserve">
TEQ: Se generaron 9043 kg
CES: Se generaron 8827 kg</t>
        </r>
      </text>
    </comment>
    <comment ref="H12" authorId="0" shapeId="0" xr:uid="{CCA07D76-6D0D-4A17-8270-D962D9E1A783}">
      <text>
        <r>
          <rPr>
            <b/>
            <sz val="9"/>
            <color indexed="81"/>
            <rFont val="Tahoma"/>
            <family val="2"/>
          </rPr>
          <t>ing.procesos:</t>
        </r>
        <r>
          <rPr>
            <sz val="9"/>
            <color indexed="81"/>
            <rFont val="Tahoma"/>
            <family val="2"/>
          </rPr>
          <t xml:space="preserve">
Recibidos por mandato TEQ 6188227 kg
Rebidos por CES 0 kg.
Rebidos por TEQ 462621 kg.</t>
        </r>
      </text>
    </comment>
    <comment ref="B13" authorId="1" shapeId="0" xr:uid="{3AAC2F99-B1CA-417F-8BF9-217A93DDD88C}">
      <text>
        <r>
          <rPr>
            <b/>
            <sz val="9"/>
            <color indexed="81"/>
            <rFont val="Tahoma"/>
            <family val="2"/>
          </rPr>
          <t>Usuario:</t>
        </r>
        <r>
          <rPr>
            <sz val="9"/>
            <color indexed="81"/>
            <rFont val="Tahoma"/>
            <family val="2"/>
          </rPr>
          <t xml:space="preserve">
2061696 kg enviado a CES
856463 kg a enviado a TEQ</t>
        </r>
      </text>
    </comment>
    <comment ref="C13" authorId="0" shapeId="0" xr:uid="{A5A3CD80-6CD2-40A6-A86B-3E5CF194E104}">
      <text>
        <r>
          <rPr>
            <b/>
            <sz val="9"/>
            <color indexed="81"/>
            <rFont val="Tahoma"/>
            <family val="2"/>
          </rPr>
          <t>ing.procesos:</t>
        </r>
        <r>
          <rPr>
            <sz val="9"/>
            <color indexed="81"/>
            <rFont val="Tahoma"/>
            <family val="2"/>
          </rPr>
          <t xml:space="preserve">
Recibido en el mes 991279 kg CES + 625856 kg TEQ. Pendiente 985866 kg CES y 179342 kg TEQ.
Generado 1969821 kg en CES + 752625 kg en TEQ</t>
        </r>
      </text>
    </comment>
    <comment ref="D13" authorId="0" shapeId="0" xr:uid="{21D337A2-B8AC-450C-99DA-821643C2FCFA}">
      <text>
        <r>
          <rPr>
            <b/>
            <sz val="9"/>
            <color indexed="81"/>
            <rFont val="Tahoma"/>
            <family val="2"/>
          </rPr>
          <t>ing.procesos:</t>
        </r>
        <r>
          <rPr>
            <sz val="9"/>
            <color indexed="81"/>
            <rFont val="Tahoma"/>
            <family val="2"/>
          </rPr>
          <t xml:space="preserve">
AGR recibido 0 kg TEQ + 85656 kg CES. AGR pendiente 10607 kg CES y 57576 kg TEQ.
Generado 48459 kg TEQ + 81182 kg CES</t>
        </r>
      </text>
    </comment>
    <comment ref="E13" authorId="0" shapeId="0" xr:uid="{B2C46C1E-7E71-47FA-AAD2-1C5784EC15E4}">
      <text>
        <r>
          <rPr>
            <b/>
            <sz val="9"/>
            <color indexed="81"/>
            <rFont val="Tahoma"/>
            <family val="2"/>
          </rPr>
          <t>ing.procesos:</t>
        </r>
        <r>
          <rPr>
            <sz val="9"/>
            <color indexed="81"/>
            <rFont val="Tahoma"/>
            <family val="2"/>
          </rPr>
          <t xml:space="preserve">
TEQ: Se generaron 55379 kg
CES: Se generaron 10693 kg</t>
        </r>
      </text>
    </comment>
    <comment ref="H13" authorId="0" shapeId="0" xr:uid="{EA25468A-6404-40D8-A577-04DC732DE5AD}">
      <text>
        <r>
          <rPr>
            <b/>
            <sz val="9"/>
            <color indexed="81"/>
            <rFont val="Tahoma"/>
            <family val="2"/>
          </rPr>
          <t>ing.procesos:</t>
        </r>
        <r>
          <rPr>
            <sz val="9"/>
            <color indexed="81"/>
            <rFont val="Tahoma"/>
            <family val="2"/>
          </rPr>
          <t xml:space="preserve">
Recibidos por mandato TEQ 5664885 kg
Rebidos por CES 0 kg.
Rebidos por TEQ 0 kg.</t>
        </r>
      </text>
    </comment>
    <comment ref="B14" authorId="1" shapeId="0" xr:uid="{585B0553-AE8F-464C-B7D9-47B56A1318C6}">
      <text>
        <r>
          <rPr>
            <b/>
            <sz val="9"/>
            <color indexed="81"/>
            <rFont val="Tahoma"/>
            <family val="2"/>
          </rPr>
          <t>Usuario:</t>
        </r>
        <r>
          <rPr>
            <sz val="9"/>
            <color indexed="81"/>
            <rFont val="Tahoma"/>
            <family val="2"/>
          </rPr>
          <t xml:space="preserve">
2153594 kg enviado a CES
0 kg a enviado a TEQ</t>
        </r>
      </text>
    </comment>
    <comment ref="C14" authorId="0" shapeId="0" xr:uid="{825253DF-A195-42E6-A020-82F547862BE5}">
      <text>
        <r>
          <rPr>
            <b/>
            <sz val="9"/>
            <color indexed="81"/>
            <rFont val="Tahoma"/>
            <family val="2"/>
          </rPr>
          <t>ing.procesos:</t>
        </r>
        <r>
          <rPr>
            <sz val="9"/>
            <color indexed="81"/>
            <rFont val="Tahoma"/>
            <family val="2"/>
          </rPr>
          <t xml:space="preserve">
Recibido en el mes 2979977 kg CES + 0 kg TEQ. Pendiente 0 kg CES y 179342 kg TEQ.
Generado 1994111 kg en CES + 0 kg en TEQ</t>
        </r>
      </text>
    </comment>
    <comment ref="D14" authorId="0" shapeId="0" xr:uid="{0F181936-0082-4A5F-BB33-94568DB5A3C3}">
      <text>
        <r>
          <rPr>
            <b/>
            <sz val="9"/>
            <color indexed="81"/>
            <rFont val="Tahoma"/>
            <family val="2"/>
          </rPr>
          <t>ing.procesos:</t>
        </r>
        <r>
          <rPr>
            <sz val="9"/>
            <color indexed="81"/>
            <rFont val="Tahoma"/>
            <family val="2"/>
          </rPr>
          <t xml:space="preserve">
AGR recibido 0 kg TEQ + 58155 kg CES. AGR pendiente 100429 kg CES y 57576 kg TEQ.
Generado 0 kg TEQ + 147977 kg CES</t>
        </r>
      </text>
    </comment>
    <comment ref="E14" authorId="0" shapeId="0" xr:uid="{39DB2FCF-2661-4459-A040-5D4D536752B7}">
      <text>
        <r>
          <rPr>
            <b/>
            <sz val="9"/>
            <color indexed="81"/>
            <rFont val="Tahoma"/>
            <family val="2"/>
          </rPr>
          <t>ing.procesos:</t>
        </r>
        <r>
          <rPr>
            <sz val="9"/>
            <color indexed="81"/>
            <rFont val="Tahoma"/>
            <family val="2"/>
          </rPr>
          <t xml:space="preserve">
TEQ: Se generaron 0 kg
CES: Se generaron 11506 kg</t>
        </r>
      </text>
    </comment>
    <comment ref="H14" authorId="0" shapeId="0" xr:uid="{3025EE32-DD4E-4D04-B047-B7773F87F228}">
      <text>
        <r>
          <rPr>
            <b/>
            <sz val="9"/>
            <color indexed="81"/>
            <rFont val="Tahoma"/>
            <family val="2"/>
          </rPr>
          <t>ing.procesos:</t>
        </r>
        <r>
          <rPr>
            <sz val="9"/>
            <color indexed="81"/>
            <rFont val="Tahoma"/>
            <family val="2"/>
          </rPr>
          <t xml:space="preserve">
Recibidos por mandato TEQ 3933313 kg
Rebidos por CES 397454 kg.
Rebidos por TEQ 0 kg.</t>
        </r>
      </text>
    </comment>
    <comment ref="B15" authorId="1" shapeId="0" xr:uid="{1E611A06-9B3C-4340-96E0-013C529C5C48}">
      <text>
        <r>
          <rPr>
            <b/>
            <sz val="9"/>
            <color indexed="81"/>
            <rFont val="Tahoma"/>
            <family val="2"/>
          </rPr>
          <t>Usuario:</t>
        </r>
        <r>
          <rPr>
            <sz val="9"/>
            <color indexed="81"/>
            <rFont val="Tahoma"/>
            <family val="2"/>
          </rPr>
          <t xml:space="preserve">
2671066 kg enviado a CES
1761304 kg a enviado a TEQ</t>
        </r>
      </text>
    </comment>
    <comment ref="C15" authorId="0" shapeId="0" xr:uid="{EBB6A4D7-1672-431E-93EC-12A4B504FC08}">
      <text>
        <r>
          <rPr>
            <b/>
            <sz val="9"/>
            <color indexed="81"/>
            <rFont val="Tahoma"/>
            <family val="2"/>
          </rPr>
          <t>ing.procesos:</t>
        </r>
        <r>
          <rPr>
            <sz val="9"/>
            <color indexed="81"/>
            <rFont val="Tahoma"/>
            <family val="2"/>
          </rPr>
          <t xml:space="preserve">
Recibido en el mes 2526042 kg CES + 1809980 kg TEQ. Pendiente 3464 kg CES y 36941 kg TEQ.
Generado 2529506 kg en CES + 1667579 kg en TEQ</t>
        </r>
      </text>
    </comment>
    <comment ref="D15" authorId="0" shapeId="0" xr:uid="{1F8A9E89-D56B-443A-88CD-646D796449E0}">
      <text>
        <r>
          <rPr>
            <b/>
            <sz val="9"/>
            <color indexed="81"/>
            <rFont val="Tahoma"/>
            <family val="2"/>
          </rPr>
          <t>ing.procesos:</t>
        </r>
        <r>
          <rPr>
            <sz val="9"/>
            <color indexed="81"/>
            <rFont val="Tahoma"/>
            <family val="2"/>
          </rPr>
          <t xml:space="preserve">
AGR recibido 120176 kg TEQ + 226107 kg CES. AGR pendiente 2811 kg CES y 20958 kg TEQ.
Generado 83558 kg TEQ + 128489 kg CES</t>
        </r>
      </text>
    </comment>
    <comment ref="E15" authorId="0" shapeId="0" xr:uid="{B44345AE-D826-49BA-9BE3-1A181CCAF5FD}">
      <text>
        <r>
          <rPr>
            <b/>
            <sz val="9"/>
            <color indexed="81"/>
            <rFont val="Tahoma"/>
            <family val="2"/>
          </rPr>
          <t>ing.procesos:</t>
        </r>
        <r>
          <rPr>
            <sz val="9"/>
            <color indexed="81"/>
            <rFont val="Tahoma"/>
            <family val="2"/>
          </rPr>
          <t xml:space="preserve">
TEQ: Se generaron 10167 kg
CES: Se generaron 13071 kg</t>
        </r>
      </text>
    </comment>
    <comment ref="H15" authorId="0" shapeId="0" xr:uid="{3C60D85A-5AD4-4504-87C1-F737406BA68F}">
      <text>
        <r>
          <rPr>
            <b/>
            <sz val="9"/>
            <color indexed="81"/>
            <rFont val="Tahoma"/>
            <family val="2"/>
          </rPr>
          <t>ing.procesos:</t>
        </r>
        <r>
          <rPr>
            <sz val="9"/>
            <color indexed="81"/>
            <rFont val="Tahoma"/>
            <family val="2"/>
          </rPr>
          <t xml:space="preserve">
Recibidos por mandato TEQ 3334794 kg
Rebidos por CES 0 kg.
Rebidos por TEQ 0 kg.</t>
        </r>
      </text>
    </comment>
    <comment ref="B16" authorId="1" shapeId="0" xr:uid="{115702A0-ED1E-4AB0-9BA4-B12DE800366B}">
      <text>
        <r>
          <rPr>
            <b/>
            <sz val="9"/>
            <color indexed="81"/>
            <rFont val="Tahoma"/>
            <family val="2"/>
          </rPr>
          <t>Usuario:</t>
        </r>
        <r>
          <rPr>
            <sz val="9"/>
            <color indexed="81"/>
            <rFont val="Tahoma"/>
            <family val="2"/>
          </rPr>
          <t xml:space="preserve">
5994905 kg enviado a CES
599866 kg a enviado a TEQ</t>
        </r>
      </text>
    </comment>
    <comment ref="C16" authorId="0" shapeId="0" xr:uid="{0F5358EC-467F-44AF-BCEF-69ED76BC5A95}">
      <text>
        <r>
          <rPr>
            <b/>
            <sz val="9"/>
            <color indexed="81"/>
            <rFont val="Tahoma"/>
            <family val="2"/>
          </rPr>
          <t>ing.procesos:</t>
        </r>
        <r>
          <rPr>
            <sz val="9"/>
            <color indexed="81"/>
            <rFont val="Tahoma"/>
            <family val="2"/>
          </rPr>
          <t xml:space="preserve">
Recibido en el mes 4280543 kg CES + 574251 kg TEQ. Pendiente 1420246 kg CES y 34290 kg TEQ.
Generado 5697325 kg en CES + 571600 kg en TEQ</t>
        </r>
      </text>
    </comment>
    <comment ref="D16" authorId="0" shapeId="0" xr:uid="{1B9CA3D9-B7E2-4DBE-B737-37812F7A1BE0}">
      <text>
        <r>
          <rPr>
            <b/>
            <sz val="9"/>
            <color indexed="81"/>
            <rFont val="Tahoma"/>
            <family val="2"/>
          </rPr>
          <t>ing.procesos:</t>
        </r>
        <r>
          <rPr>
            <sz val="9"/>
            <color indexed="81"/>
            <rFont val="Tahoma"/>
            <family val="2"/>
          </rPr>
          <t xml:space="preserve">
AGR recibido 223440 kg CES + 0 kg TEQ. AGR pendiente 47969 kg CES y 46225 kg TEQ.
Generado 268598 kg CES + 25267 kg TEQ</t>
        </r>
      </text>
    </comment>
    <comment ref="E16" authorId="0" shapeId="0" xr:uid="{8AE21976-0196-47A8-892D-A6D368B2C135}">
      <text>
        <r>
          <rPr>
            <b/>
            <sz val="9"/>
            <color indexed="81"/>
            <rFont val="Tahoma"/>
            <family val="2"/>
          </rPr>
          <t>ing.procesos:</t>
        </r>
        <r>
          <rPr>
            <sz val="9"/>
            <color indexed="81"/>
            <rFont val="Tahoma"/>
            <family val="2"/>
          </rPr>
          <t xml:space="preserve">
CES: Se generaron 28982 kg
TEQ: Se generaron 2999 kg</t>
        </r>
      </text>
    </comment>
    <comment ref="H16" authorId="0" shapeId="0" xr:uid="{47590019-1957-4580-AC30-9A537CD0118C}">
      <text>
        <r>
          <rPr>
            <b/>
            <sz val="9"/>
            <color indexed="81"/>
            <rFont val="Tahoma"/>
            <family val="2"/>
          </rPr>
          <t>ing.procesos:</t>
        </r>
        <r>
          <rPr>
            <sz val="9"/>
            <color indexed="81"/>
            <rFont val="Tahoma"/>
            <family val="2"/>
          </rPr>
          <t xml:space="preserve">
Recibidos por mandato TEQ 1143797 kg
Rebidos por CES 0 kg.
Rebidos por TEQ 0 kg.</t>
        </r>
      </text>
    </comment>
    <comment ref="B17" authorId="1" shapeId="0" xr:uid="{3655FEE2-A99F-4DFF-840B-103C041A8672}">
      <text>
        <r>
          <rPr>
            <b/>
            <sz val="9"/>
            <color indexed="81"/>
            <rFont val="Tahoma"/>
            <family val="2"/>
          </rPr>
          <t>Usuario:</t>
        </r>
        <r>
          <rPr>
            <sz val="9"/>
            <color indexed="81"/>
            <rFont val="Tahoma"/>
            <family val="2"/>
          </rPr>
          <t xml:space="preserve">
5529220 kg enviado a CES
0 kg a enviado a TEQ</t>
        </r>
      </text>
    </comment>
    <comment ref="C17" authorId="0" shapeId="0" xr:uid="{9B2F9939-557F-43C9-92B8-14E7DB661949}">
      <text>
        <r>
          <rPr>
            <b/>
            <sz val="9"/>
            <color indexed="81"/>
            <rFont val="Tahoma"/>
            <family val="2"/>
          </rPr>
          <t>ing.procesos:</t>
        </r>
        <r>
          <rPr>
            <sz val="9"/>
            <color indexed="81"/>
            <rFont val="Tahoma"/>
            <family val="2"/>
          </rPr>
          <t xml:space="preserve">
Recibido en el mes 6540743 kg CES + 0 kg TEQ. Pendiente 121006 kg CES y 34290 kg TEQ.
Generado 5241503 kg en CES + 0 kg en TEQ</t>
        </r>
      </text>
    </comment>
    <comment ref="D17" authorId="0" shapeId="0" xr:uid="{4BEB330C-2E0D-45A5-855A-FAF4E3CAE889}">
      <text>
        <r>
          <rPr>
            <b/>
            <sz val="9"/>
            <color indexed="81"/>
            <rFont val="Tahoma"/>
            <family val="2"/>
          </rPr>
          <t>ing.procesos:</t>
        </r>
        <r>
          <rPr>
            <sz val="9"/>
            <color indexed="81"/>
            <rFont val="Tahoma"/>
            <family val="2"/>
          </rPr>
          <t xml:space="preserve">
AGR recibido 247943 kg CES + 0 kg TEQ. AGR pendiente 61471 kg CES y 46225 kg TEQ.
Generado 261445 kg CES + 0 kg TEQ</t>
        </r>
      </text>
    </comment>
    <comment ref="E17" authorId="0" shapeId="0" xr:uid="{28B1F673-324A-41C2-A078-6311DA9B9D7D}">
      <text>
        <r>
          <rPr>
            <b/>
            <sz val="9"/>
            <color indexed="81"/>
            <rFont val="Tahoma"/>
            <family val="2"/>
          </rPr>
          <t>ing.procesos:</t>
        </r>
        <r>
          <rPr>
            <sz val="9"/>
            <color indexed="81"/>
            <rFont val="Tahoma"/>
            <family val="2"/>
          </rPr>
          <t xml:space="preserve">
CES: Se generaron 26272 kg
TEQ: Se generaron 0 kg</t>
        </r>
      </text>
    </comment>
    <comment ref="H17" authorId="0" shapeId="0" xr:uid="{B775F07C-7ADA-40B7-A530-2032D90D5678}">
      <text>
        <r>
          <rPr>
            <b/>
            <sz val="9"/>
            <color indexed="81"/>
            <rFont val="Tahoma"/>
            <family val="2"/>
          </rPr>
          <t>ing.procesos:</t>
        </r>
        <r>
          <rPr>
            <sz val="9"/>
            <color indexed="81"/>
            <rFont val="Tahoma"/>
            <family val="2"/>
          </rPr>
          <t xml:space="preserve">
Recibidos por mandato TEQ 1586225 kg
Rebidos por CES 0 kg.
Rebidos por TEQ 0 kg.</t>
        </r>
      </text>
    </comment>
    <comment ref="B18" authorId="1" shapeId="0" xr:uid="{BDAB877D-831C-49F0-9A7B-B9885A47F5A2}">
      <text>
        <r>
          <rPr>
            <b/>
            <sz val="9"/>
            <color indexed="81"/>
            <rFont val="Tahoma"/>
            <family val="2"/>
          </rPr>
          <t>Usuario:</t>
        </r>
        <r>
          <rPr>
            <sz val="9"/>
            <color indexed="81"/>
            <rFont val="Tahoma"/>
            <family val="2"/>
          </rPr>
          <t xml:space="preserve">
2759938 kg enviado a CES
0 kg a enviado a TEQ</t>
        </r>
      </text>
    </comment>
    <comment ref="C18" authorId="0" shapeId="0" xr:uid="{00000000-0006-0000-0100-000024000000}">
      <text>
        <r>
          <rPr>
            <b/>
            <sz val="9"/>
            <color indexed="81"/>
            <rFont val="Tahoma"/>
            <family val="2"/>
          </rPr>
          <t>ing.procesos:</t>
        </r>
        <r>
          <rPr>
            <sz val="9"/>
            <color indexed="81"/>
            <rFont val="Tahoma"/>
            <family val="2"/>
          </rPr>
          <t xml:space="preserve">
Recibido en el mes 1883020 kg CES + 0 kg TEQ. Pendiente 833966 kg CES y 34290 kg TEQ.
Generado 2595980 kg en CES + 0 kg en TEQ</t>
        </r>
      </text>
    </comment>
    <comment ref="D18" authorId="0" shapeId="0" xr:uid="{00000000-0006-0000-0100-000025000000}">
      <text>
        <r>
          <rPr>
            <b/>
            <sz val="9"/>
            <color indexed="81"/>
            <rFont val="Tahoma"/>
            <family val="2"/>
          </rPr>
          <t>ing.procesos:</t>
        </r>
        <r>
          <rPr>
            <sz val="9"/>
            <color indexed="81"/>
            <rFont val="Tahoma"/>
            <family val="2"/>
          </rPr>
          <t xml:space="preserve">
AGR recibido 114079 kg CES + 0 kg TEQ. AGR pendiente 97096 kg CES y 46225 kg TEQ.
Generado 149704 kg CES + 0 kg TEQ</t>
        </r>
      </text>
    </comment>
    <comment ref="E18" authorId="0" shapeId="0" xr:uid="{CE698EB1-02AA-4C29-890E-D73875B9366B}">
      <text>
        <r>
          <rPr>
            <b/>
            <sz val="9"/>
            <color indexed="81"/>
            <rFont val="Tahoma"/>
            <family val="2"/>
          </rPr>
          <t>ing.procesos:</t>
        </r>
        <r>
          <rPr>
            <sz val="9"/>
            <color indexed="81"/>
            <rFont val="Tahoma"/>
            <family val="2"/>
          </rPr>
          <t xml:space="preserve">
CES: Se generaron 14254 kg
TEQ: Se generaron 0 kg</t>
        </r>
      </text>
    </comment>
    <comment ref="H18" authorId="0" shapeId="0" xr:uid="{00000000-0006-0000-0100-000026000000}">
      <text>
        <r>
          <rPr>
            <b/>
            <sz val="9"/>
            <color indexed="81"/>
            <rFont val="Tahoma"/>
            <family val="2"/>
          </rPr>
          <t>ing.procesos:</t>
        </r>
        <r>
          <rPr>
            <sz val="9"/>
            <color indexed="81"/>
            <rFont val="Tahoma"/>
            <family val="2"/>
          </rPr>
          <t xml:space="preserve">
Recibidos por mandato TEQ 4252574 kg
Rebidos por CES 0 kg.
Rebidos por TEQ 0 kg.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ing.procesos</author>
  </authors>
  <commentList>
    <comment ref="C7" authorId="0" shapeId="0" xr:uid="{3B3E8210-7127-4ABD-8DB5-A5613ADCEF0C}">
      <text>
        <r>
          <rPr>
            <b/>
            <sz val="9"/>
            <color indexed="81"/>
            <rFont val="Tahoma"/>
            <family val="2"/>
          </rPr>
          <t>ing.procesos:</t>
        </r>
        <r>
          <rPr>
            <sz val="9"/>
            <color indexed="81"/>
            <rFont val="Tahoma"/>
            <family val="2"/>
          </rPr>
          <t xml:space="preserve">
Total recibido en el mes: 90458 kg.
Total pendiente por ingresar: 3225 kg.</t>
        </r>
      </text>
    </comment>
    <comment ref="C8" authorId="0" shapeId="0" xr:uid="{E8872D92-7C37-4274-AAF0-C3949E262DCA}">
      <text>
        <r>
          <rPr>
            <b/>
            <sz val="9"/>
            <color indexed="81"/>
            <rFont val="Tahoma"/>
            <family val="2"/>
          </rPr>
          <t>ing.procesos:</t>
        </r>
        <r>
          <rPr>
            <sz val="9"/>
            <color indexed="81"/>
            <rFont val="Tahoma"/>
            <family val="2"/>
          </rPr>
          <t xml:space="preserve">
Total recibido en el mes: 52833 kg.
Total pendiente por ingresar: 422 kg.</t>
        </r>
      </text>
    </comment>
    <comment ref="C9" authorId="0" shapeId="0" xr:uid="{6F0E765E-0D3E-425A-94E9-CC18A97F20A1}">
      <text>
        <r>
          <rPr>
            <b/>
            <sz val="9"/>
            <color indexed="81"/>
            <rFont val="Tahoma"/>
            <family val="2"/>
          </rPr>
          <t>ing.procesos:</t>
        </r>
        <r>
          <rPr>
            <sz val="9"/>
            <color indexed="81"/>
            <rFont val="Tahoma"/>
            <family val="2"/>
          </rPr>
          <t xml:space="preserve">
Total recibido en el mes: 196696 kg.
Total pendiente por ingresar: 147054 kg.</t>
        </r>
      </text>
    </comment>
    <comment ref="C10" authorId="0" shapeId="0" xr:uid="{A39FFFA0-93C0-416C-9623-AD415984476E}">
      <text>
        <r>
          <rPr>
            <b/>
            <sz val="9"/>
            <color indexed="81"/>
            <rFont val="Tahoma"/>
            <family val="2"/>
          </rPr>
          <t>ing.procesos:</t>
        </r>
        <r>
          <rPr>
            <sz val="9"/>
            <color indexed="81"/>
            <rFont val="Tahoma"/>
            <family val="2"/>
          </rPr>
          <t xml:space="preserve">
Total recibido en el mes: 165656 kg.
Total pendiente por ingresar: 5365 kg.</t>
        </r>
      </text>
    </comment>
    <comment ref="C11" authorId="0" shapeId="0" xr:uid="{D957BE74-6E0C-434E-9600-C0462287A94D}">
      <text>
        <r>
          <rPr>
            <b/>
            <sz val="9"/>
            <color indexed="81"/>
            <rFont val="Tahoma"/>
            <family val="2"/>
          </rPr>
          <t>ing.procesos:</t>
        </r>
        <r>
          <rPr>
            <sz val="9"/>
            <color indexed="81"/>
            <rFont val="Tahoma"/>
            <family val="2"/>
          </rPr>
          <t xml:space="preserve">
Total recibido en el mes: 64904 kg.
Total pendiente por ingresar: 460 kg.</t>
        </r>
      </text>
    </comment>
    <comment ref="C12" authorId="0" shapeId="0" xr:uid="{62EAC984-C784-4551-B39F-1B1225BFFD99}">
      <text>
        <r>
          <rPr>
            <b/>
            <sz val="9"/>
            <color indexed="81"/>
            <rFont val="Tahoma"/>
            <family val="2"/>
          </rPr>
          <t>ing.procesos:</t>
        </r>
        <r>
          <rPr>
            <sz val="9"/>
            <color indexed="81"/>
            <rFont val="Tahoma"/>
            <family val="2"/>
          </rPr>
          <t xml:space="preserve">
Total recibido en el mes: 82136 kg.
Total pendiente por ingresar: 68324 kg.</t>
        </r>
      </text>
    </comment>
    <comment ref="C13" authorId="0" shapeId="0" xr:uid="{34D01920-0CE1-4AD2-9DAF-FAAFEE129962}">
      <text>
        <r>
          <rPr>
            <b/>
            <sz val="9"/>
            <color indexed="81"/>
            <rFont val="Tahoma"/>
            <family val="2"/>
          </rPr>
          <t>ing.procesos:</t>
        </r>
        <r>
          <rPr>
            <sz val="9"/>
            <color indexed="81"/>
            <rFont val="Tahoma"/>
            <family val="2"/>
          </rPr>
          <t xml:space="preserve">
Total recibido en el mes: 125134 kg.
Total pendiente por ingresar: 128412 kg.</t>
        </r>
      </text>
    </comment>
    <comment ref="C14" authorId="0" shapeId="0" xr:uid="{E4AFF525-9E44-407E-BC75-AD0A949116D1}">
      <text>
        <r>
          <rPr>
            <b/>
            <sz val="9"/>
            <color indexed="81"/>
            <rFont val="Tahoma"/>
            <family val="2"/>
          </rPr>
          <t>ing.procesos:</t>
        </r>
        <r>
          <rPr>
            <sz val="9"/>
            <color indexed="81"/>
            <rFont val="Tahoma"/>
            <family val="2"/>
          </rPr>
          <t xml:space="preserve">
Total recibido en el mes: 83850 kg.
Total pendiente por ingresar: 44562 kg.</t>
        </r>
      </text>
    </comment>
    <comment ref="C15" authorId="0" shapeId="0" xr:uid="{8CA6C546-F250-4872-8863-0CD1D0719F6B}">
      <text>
        <r>
          <rPr>
            <b/>
            <sz val="9"/>
            <color indexed="81"/>
            <rFont val="Tahoma"/>
            <family val="2"/>
          </rPr>
          <t>ing.procesos:</t>
        </r>
        <r>
          <rPr>
            <sz val="9"/>
            <color indexed="81"/>
            <rFont val="Tahoma"/>
            <family val="2"/>
          </rPr>
          <t xml:space="preserve">
Total recibido en el mes: 202231 kg.
Total pendiente por ingresar: 27949 kg.</t>
        </r>
      </text>
    </comment>
    <comment ref="C16" authorId="0" shapeId="0" xr:uid="{07027EE1-5B81-4D2F-8C75-4C269C1BEE41}">
      <text>
        <r>
          <rPr>
            <b/>
            <sz val="9"/>
            <color indexed="81"/>
            <rFont val="Tahoma"/>
            <family val="2"/>
          </rPr>
          <t>ing.procesos:</t>
        </r>
        <r>
          <rPr>
            <sz val="9"/>
            <color indexed="81"/>
            <rFont val="Tahoma"/>
            <family val="2"/>
          </rPr>
          <t xml:space="preserve">
Total recibido en el mes: 28170 kg.
Total pendiente por ingresar: 136595 kg.</t>
        </r>
      </text>
    </comment>
    <comment ref="C17" authorId="0" shapeId="0" xr:uid="{47BC50B1-EF79-49ED-AD10-8EA6D84F5BB8}">
      <text>
        <r>
          <rPr>
            <b/>
            <sz val="9"/>
            <color indexed="81"/>
            <rFont val="Tahoma"/>
            <family val="2"/>
          </rPr>
          <t>ing.procesos:</t>
        </r>
        <r>
          <rPr>
            <sz val="9"/>
            <color indexed="81"/>
            <rFont val="Tahoma"/>
            <family val="2"/>
          </rPr>
          <t xml:space="preserve">
Total recibido en el mes: 73823 kg.
Total pendiente por ingresar: 62772 kg.</t>
        </r>
      </text>
    </comment>
    <comment ref="C18" authorId="0" shapeId="0" xr:uid="{00000000-0006-0000-0200-00000C000000}">
      <text>
        <r>
          <rPr>
            <b/>
            <sz val="9"/>
            <color indexed="81"/>
            <rFont val="Tahoma"/>
            <family val="2"/>
          </rPr>
          <t>ing.procesos:</t>
        </r>
        <r>
          <rPr>
            <sz val="9"/>
            <color indexed="81"/>
            <rFont val="Tahoma"/>
            <family val="2"/>
          </rPr>
          <t xml:space="preserve">
Total recibido en el mes: 43606 kg.
Total pendiente por ingresar: 19166 kg.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Usuario</author>
    <author>Carlos.Vasquez</author>
    <author>ing.procesos</author>
  </authors>
  <commentList>
    <comment ref="O10" authorId="0" shapeId="0" xr:uid="{00000000-0006-0000-0300-000001000000}">
      <text>
        <r>
          <rPr>
            <b/>
            <sz val="9"/>
            <color indexed="81"/>
            <rFont val="Tahoma"/>
            <family val="2"/>
          </rPr>
          <t>Usuario:</t>
        </r>
        <r>
          <rPr>
            <sz val="9"/>
            <color indexed="81"/>
            <rFont val="Tahoma"/>
            <family val="2"/>
          </rPr>
          <t xml:space="preserve">
Produccion acumulada ultimos 12 meses</t>
        </r>
      </text>
    </comment>
    <comment ref="P10" authorId="0" shapeId="0" xr:uid="{00000000-0006-0000-0300-000002000000}">
      <text>
        <r>
          <rPr>
            <b/>
            <sz val="9"/>
            <color indexed="81"/>
            <rFont val="Tahoma"/>
            <family val="2"/>
          </rPr>
          <t>Usuario:</t>
        </r>
        <r>
          <rPr>
            <sz val="9"/>
            <color indexed="81"/>
            <rFont val="Tahoma"/>
            <family val="2"/>
          </rPr>
          <t xml:space="preserve">
Produccion acumulada año 2020</t>
        </r>
      </text>
    </comment>
    <comment ref="Q10" authorId="1" shapeId="0" xr:uid="{00000000-0006-0000-0300-000003000000}">
      <text>
        <r>
          <rPr>
            <b/>
            <sz val="9"/>
            <color indexed="81"/>
            <rFont val="Tahoma"/>
            <family val="2"/>
          </rPr>
          <t>Carlos.Vasquez:</t>
        </r>
        <r>
          <rPr>
            <sz val="9"/>
            <color indexed="81"/>
            <rFont val="Tahoma"/>
            <family val="2"/>
          </rPr>
          <t xml:space="preserve">
producción acumulada año 2019</t>
        </r>
      </text>
    </comment>
    <comment ref="P11" authorId="0" shapeId="0" xr:uid="{00000000-0006-0000-0300-000004000000}">
      <text>
        <r>
          <rPr>
            <b/>
            <sz val="9"/>
            <color indexed="81"/>
            <rFont val="Tahoma"/>
            <family val="2"/>
          </rPr>
          <t>Usuario:</t>
        </r>
        <r>
          <rPr>
            <sz val="9"/>
            <color indexed="81"/>
            <rFont val="Tahoma"/>
            <family val="2"/>
          </rPr>
          <t xml:space="preserve">
Cumplimiento año 2020</t>
        </r>
      </text>
    </comment>
    <comment ref="B35" authorId="2" shapeId="0" xr:uid="{00000000-0006-0000-0300-000005000000}">
      <text>
        <r>
          <rPr>
            <b/>
            <sz val="9"/>
            <color indexed="81"/>
            <rFont val="Tahoma"/>
            <family val="2"/>
          </rPr>
          <t>ing.procesos:</t>
        </r>
        <r>
          <rPr>
            <sz val="9"/>
            <color indexed="81"/>
            <rFont val="Tahoma"/>
            <family val="2"/>
          </rPr>
          <t xml:space="preserve">
kWh/Ton B100</t>
        </r>
      </text>
    </comment>
    <comment ref="B53" authorId="2" shapeId="0" xr:uid="{00000000-0006-0000-0300-000006000000}">
      <text>
        <r>
          <rPr>
            <b/>
            <sz val="9"/>
            <color indexed="81"/>
            <rFont val="Tahoma"/>
            <family val="2"/>
          </rPr>
          <t>ing.procesos:</t>
        </r>
        <r>
          <rPr>
            <sz val="9"/>
            <color indexed="81"/>
            <rFont val="Tahoma"/>
            <family val="2"/>
          </rPr>
          <t xml:space="preserve">
kWh/Ton AS</t>
        </r>
      </text>
    </comment>
    <comment ref="B54" authorId="2" shapeId="0" xr:uid="{00000000-0006-0000-0300-000007000000}">
      <text>
        <r>
          <rPr>
            <b/>
            <sz val="9"/>
            <color indexed="81"/>
            <rFont val="Tahoma"/>
            <family val="2"/>
          </rPr>
          <t>ing.procesos:</t>
        </r>
        <r>
          <rPr>
            <sz val="9"/>
            <color indexed="81"/>
            <rFont val="Tahoma"/>
            <family val="2"/>
          </rPr>
          <t xml:space="preserve">
m3/Ton AS</t>
        </r>
      </text>
    </comment>
    <comment ref="B60" authorId="2" shapeId="0" xr:uid="{00000000-0006-0000-0300-000008000000}">
      <text>
        <r>
          <rPr>
            <b/>
            <sz val="9"/>
            <color indexed="81"/>
            <rFont val="Tahoma"/>
            <family val="2"/>
          </rPr>
          <t>ing.procesos:</t>
        </r>
        <r>
          <rPr>
            <sz val="9"/>
            <color indexed="81"/>
            <rFont val="Tahoma"/>
            <family val="2"/>
          </rPr>
          <t xml:space="preserve">
kWh/Ton B100</t>
        </r>
      </text>
    </comment>
    <comment ref="B61" authorId="2" shapeId="0" xr:uid="{00000000-0006-0000-0300-000009000000}">
      <text>
        <r>
          <rPr>
            <b/>
            <sz val="9"/>
            <color indexed="81"/>
            <rFont val="Tahoma"/>
            <family val="2"/>
          </rPr>
          <t>ing.procesos:</t>
        </r>
        <r>
          <rPr>
            <sz val="9"/>
            <color indexed="81"/>
            <rFont val="Tahoma"/>
            <family val="2"/>
          </rPr>
          <t xml:space="preserve">
m3/Ton B100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E12" authorId="0" shapeId="0" xr:uid="{BC4A5601-6B39-4319-A197-0276B2EA093F}">
      <text>
        <r>
          <rPr>
            <b/>
            <sz val="9"/>
            <color indexed="81"/>
            <rFont val="Tahoma"/>
            <family val="2"/>
          </rPr>
          <t>Usuario:</t>
        </r>
        <r>
          <rPr>
            <sz val="9"/>
            <color indexed="81"/>
            <rFont val="Tahoma"/>
            <family val="2"/>
          </rPr>
          <t xml:space="preserve">
Salida lodos TK23</t>
        </r>
      </text>
    </comment>
    <comment ref="F12" authorId="0" shapeId="0" xr:uid="{858D88F5-2CBE-42C2-822F-85C1CBC682C9}">
      <text>
        <r>
          <rPr>
            <b/>
            <sz val="9"/>
            <color indexed="81"/>
            <rFont val="Tahoma"/>
            <family val="2"/>
          </rPr>
          <t>Usuario:</t>
        </r>
        <r>
          <rPr>
            <sz val="9"/>
            <color indexed="81"/>
            <rFont val="Tahoma"/>
            <family val="2"/>
          </rPr>
          <t xml:space="preserve">
Salida fondos TK2</t>
        </r>
      </text>
    </comment>
    <comment ref="C19" authorId="0" shapeId="0" xr:uid="{18DC742B-96FC-4D48-849E-CDE17A1520CD}">
      <text>
        <r>
          <rPr>
            <b/>
            <sz val="9"/>
            <color indexed="81"/>
            <rFont val="Tahoma"/>
            <family val="2"/>
          </rPr>
          <t>Usuario:</t>
        </r>
        <r>
          <rPr>
            <sz val="9"/>
            <color indexed="81"/>
            <rFont val="Tahoma"/>
            <family val="2"/>
          </rPr>
          <t xml:space="preserve">
75,198  Ton CES</t>
        </r>
      </text>
    </comment>
    <comment ref="D19" authorId="0" shapeId="0" xr:uid="{42DE2076-6FE7-480D-B6EA-A3F1C6AF9111}">
      <text>
        <r>
          <rPr>
            <b/>
            <sz val="9"/>
            <color indexed="81"/>
            <rFont val="Tahoma"/>
            <family val="2"/>
          </rPr>
          <t>Usuario:</t>
        </r>
        <r>
          <rPr>
            <sz val="9"/>
            <color indexed="81"/>
            <rFont val="Tahoma"/>
            <family val="2"/>
          </rPr>
          <t xml:space="preserve">
527,642  Ton CES</t>
        </r>
      </text>
    </comment>
    <comment ref="F19" authorId="0" shapeId="0" xr:uid="{A47BBBB6-6F2C-47BD-A38E-B70EED094237}">
      <text>
        <r>
          <rPr>
            <b/>
            <sz val="9"/>
            <color indexed="81"/>
            <rFont val="Tahoma"/>
            <family val="2"/>
          </rPr>
          <t>Usuario:</t>
        </r>
        <r>
          <rPr>
            <sz val="9"/>
            <color indexed="81"/>
            <rFont val="Tahoma"/>
            <family val="2"/>
          </rPr>
          <t xml:space="preserve">
513,559 Ton CES
6,357  Ton TEQ</t>
        </r>
      </text>
    </comment>
    <comment ref="G19" authorId="0" shapeId="0" xr:uid="{5A73D3AC-A4AB-45D0-9B26-F2B8666A9F6F}">
      <text>
        <r>
          <rPr>
            <b/>
            <sz val="9"/>
            <color indexed="81"/>
            <rFont val="Tahoma"/>
            <family val="2"/>
          </rPr>
          <t>Usuario:</t>
        </r>
        <r>
          <rPr>
            <sz val="9"/>
            <color indexed="81"/>
            <rFont val="Tahoma"/>
            <family val="2"/>
          </rPr>
          <t xml:space="preserve">
1168,351 Ton CES
26,492 Ton TEQ</t>
        </r>
      </text>
    </comment>
    <comment ref="H19" authorId="0" shapeId="0" xr:uid="{30F11D47-5620-4261-A074-2EB258A2A0DE}">
      <text>
        <r>
          <rPr>
            <b/>
            <sz val="9"/>
            <color indexed="81"/>
            <rFont val="Tahoma"/>
            <family val="2"/>
          </rPr>
          <t>Usuario:</t>
        </r>
        <r>
          <rPr>
            <sz val="9"/>
            <color indexed="81"/>
            <rFont val="Tahoma"/>
            <family val="2"/>
          </rPr>
          <t xml:space="preserve">
52573 kg en TEQ
7324 kg en CES</t>
        </r>
      </text>
    </comment>
    <comment ref="I19" authorId="0" shapeId="0" xr:uid="{FD6FE622-EE87-49E4-BB00-1464D2C04B32}">
      <text>
        <r>
          <rPr>
            <b/>
            <sz val="9"/>
            <color indexed="81"/>
            <rFont val="Tahoma"/>
            <family val="2"/>
          </rPr>
          <t>Usuario:</t>
        </r>
        <r>
          <rPr>
            <sz val="9"/>
            <color indexed="81"/>
            <rFont val="Tahoma"/>
            <family val="2"/>
          </rPr>
          <t xml:space="preserve">
179342 kg en TEQ
985866 kg en CES</t>
        </r>
      </text>
    </comment>
    <comment ref="J19" authorId="0" shapeId="0" xr:uid="{44C0D3E1-0C63-48FB-911F-31A33F43CC63}">
      <text>
        <r>
          <rPr>
            <b/>
            <sz val="9"/>
            <color indexed="81"/>
            <rFont val="Tahoma"/>
            <family val="2"/>
          </rPr>
          <t>Usuario:</t>
        </r>
        <r>
          <rPr>
            <sz val="9"/>
            <color indexed="81"/>
            <rFont val="Tahoma"/>
            <family val="2"/>
          </rPr>
          <t xml:space="preserve">
179342 kg en TEQ
0 kg en CES</t>
        </r>
      </text>
    </comment>
    <comment ref="K19" authorId="0" shapeId="0" xr:uid="{648DAABF-3097-4F20-A30A-63AFDA1FE299}">
      <text>
        <r>
          <rPr>
            <b/>
            <sz val="9"/>
            <color indexed="81"/>
            <rFont val="Tahoma"/>
            <family val="2"/>
          </rPr>
          <t>Usuario:</t>
        </r>
        <r>
          <rPr>
            <sz val="9"/>
            <color indexed="81"/>
            <rFont val="Tahoma"/>
            <family val="2"/>
          </rPr>
          <t xml:space="preserve">
36941 kg en TEQ
3464 kg en CES</t>
        </r>
      </text>
    </comment>
    <comment ref="L19" authorId="0" shapeId="0" xr:uid="{FDA1A116-182F-4CEA-ACE2-07FAD9B45FFA}">
      <text>
        <r>
          <rPr>
            <b/>
            <sz val="9"/>
            <color indexed="81"/>
            <rFont val="Tahoma"/>
            <family val="2"/>
          </rPr>
          <t>Usuario:</t>
        </r>
        <r>
          <rPr>
            <sz val="9"/>
            <color indexed="81"/>
            <rFont val="Tahoma"/>
            <family val="2"/>
          </rPr>
          <t xml:space="preserve">
34290 kg en TEQ
1420246 kg en CES</t>
        </r>
      </text>
    </comment>
    <comment ref="M19" authorId="0" shapeId="0" xr:uid="{BA502AF5-6296-42FE-9E88-4C6ED4904F49}">
      <text>
        <r>
          <rPr>
            <b/>
            <sz val="9"/>
            <color indexed="81"/>
            <rFont val="Tahoma"/>
            <family val="2"/>
          </rPr>
          <t>Usuario:</t>
        </r>
        <r>
          <rPr>
            <sz val="9"/>
            <color indexed="81"/>
            <rFont val="Tahoma"/>
            <family val="2"/>
          </rPr>
          <t xml:space="preserve">
34290 kg en TEQ
121006 kg en CES</t>
        </r>
      </text>
    </comment>
    <comment ref="N19" authorId="0" shapeId="0" xr:uid="{26B52724-A1E5-495D-90A7-4663BEF45507}">
      <text>
        <r>
          <rPr>
            <b/>
            <sz val="9"/>
            <color indexed="81"/>
            <rFont val="Tahoma"/>
            <family val="2"/>
          </rPr>
          <t>Usuario:</t>
        </r>
        <r>
          <rPr>
            <sz val="9"/>
            <color indexed="81"/>
            <rFont val="Tahoma"/>
            <family val="2"/>
          </rPr>
          <t xml:space="preserve">
34290 kg en TEQ
833966 kg en CES</t>
        </r>
      </text>
    </comment>
    <comment ref="C72" authorId="0" shapeId="0" xr:uid="{1C4AAC0B-AC87-4E40-ABE6-C4FDD3D5D8A1}">
      <text>
        <r>
          <rPr>
            <b/>
            <sz val="9"/>
            <color indexed="81"/>
            <rFont val="Tahoma"/>
            <family val="2"/>
          </rPr>
          <t>Usuario:</t>
        </r>
        <r>
          <rPr>
            <sz val="9"/>
            <color indexed="81"/>
            <rFont val="Tahoma"/>
            <family val="2"/>
          </rPr>
          <t xml:space="preserve">
Venta neta del mes</t>
        </r>
      </text>
    </comment>
    <comment ref="C73" authorId="0" shapeId="0" xr:uid="{A9910DF9-0077-44DD-BF81-0CE24CE2EFA8}">
      <text>
        <r>
          <rPr>
            <b/>
            <sz val="9"/>
            <color indexed="81"/>
            <rFont val="Tahoma"/>
            <family val="2"/>
          </rPr>
          <t>Usuario:</t>
        </r>
        <r>
          <rPr>
            <sz val="9"/>
            <color indexed="81"/>
            <rFont val="Tahoma"/>
            <family val="2"/>
          </rPr>
          <t xml:space="preserve">
Reproceso secado
</t>
        </r>
      </text>
    </comment>
    <comment ref="D73" authorId="0" shapeId="0" xr:uid="{0930E6FF-0B9D-42F5-B659-0F0076A36085}">
      <text>
        <r>
          <rPr>
            <b/>
            <sz val="9"/>
            <color indexed="81"/>
            <rFont val="Tahoma"/>
            <family val="2"/>
          </rPr>
          <t>Usuario:</t>
        </r>
        <r>
          <rPr>
            <sz val="9"/>
            <color indexed="81"/>
            <rFont val="Tahoma"/>
            <family val="2"/>
          </rPr>
          <t xml:space="preserve">
Reproceso secado
</t>
        </r>
      </text>
    </comment>
    <comment ref="E73" authorId="0" shapeId="0" xr:uid="{3CDA444A-313F-4C8F-A935-AB6B96C14D9B}">
      <text>
        <r>
          <rPr>
            <b/>
            <sz val="9"/>
            <color indexed="81"/>
            <rFont val="Tahoma"/>
            <family val="2"/>
          </rPr>
          <t>Usuario:</t>
        </r>
        <r>
          <rPr>
            <sz val="9"/>
            <color indexed="81"/>
            <rFont val="Tahoma"/>
            <family val="2"/>
          </rPr>
          <t xml:space="preserve">
Rep Secado</t>
        </r>
      </text>
    </comment>
    <comment ref="F73" authorId="0" shapeId="0" xr:uid="{AB5286E5-FF88-472B-AFBD-E9C9840E7714}">
      <text>
        <r>
          <rPr>
            <b/>
            <sz val="9"/>
            <color indexed="81"/>
            <rFont val="Tahoma"/>
            <family val="2"/>
          </rPr>
          <t>Usuario:</t>
        </r>
        <r>
          <rPr>
            <sz val="9"/>
            <color indexed="81"/>
            <rFont val="Tahoma"/>
            <family val="2"/>
          </rPr>
          <t xml:space="preserve">
Reproceso a reaccion</t>
        </r>
      </text>
    </comment>
    <comment ref="G73" authorId="0" shapeId="0" xr:uid="{4AD4B2C0-59D6-467C-A5C5-21AF2B8871B7}">
      <text>
        <r>
          <rPr>
            <b/>
            <sz val="9"/>
            <color indexed="81"/>
            <rFont val="Tahoma"/>
            <family val="2"/>
          </rPr>
          <t>Usuario:</t>
        </r>
        <r>
          <rPr>
            <sz val="9"/>
            <color indexed="81"/>
            <rFont val="Tahoma"/>
            <family val="2"/>
          </rPr>
          <t xml:space="preserve">
Reproceso a secado</t>
        </r>
      </text>
    </comment>
    <comment ref="H73" authorId="0" shapeId="0" xr:uid="{573C69AF-BA04-4E18-A990-FC4F4919D52D}">
      <text>
        <r>
          <rPr>
            <b/>
            <sz val="9"/>
            <color indexed="81"/>
            <rFont val="Tahoma"/>
            <family val="2"/>
          </rPr>
          <t>Usuario:</t>
        </r>
        <r>
          <rPr>
            <sz val="9"/>
            <color indexed="81"/>
            <rFont val="Tahoma"/>
            <family val="2"/>
          </rPr>
          <t xml:space="preserve">
Reproceso a secado</t>
        </r>
      </text>
    </comment>
    <comment ref="I73" authorId="0" shapeId="0" xr:uid="{07D23F2F-BEE5-4219-9FE5-7EB6840A3F30}">
      <text>
        <r>
          <rPr>
            <b/>
            <sz val="9"/>
            <color indexed="81"/>
            <rFont val="Tahoma"/>
            <family val="2"/>
          </rPr>
          <t>Usuario:</t>
        </r>
        <r>
          <rPr>
            <sz val="9"/>
            <color indexed="81"/>
            <rFont val="Tahoma"/>
            <family val="2"/>
          </rPr>
          <t xml:space="preserve">
Reproceso a secado</t>
        </r>
      </text>
    </comment>
    <comment ref="J73" authorId="0" shapeId="0" xr:uid="{F54ADBE1-1A68-4E0E-9D45-8FA534F07B74}">
      <text>
        <r>
          <rPr>
            <b/>
            <sz val="9"/>
            <color indexed="81"/>
            <rFont val="Tahoma"/>
            <family val="2"/>
          </rPr>
          <t>Usuario:</t>
        </r>
        <r>
          <rPr>
            <sz val="9"/>
            <color indexed="81"/>
            <rFont val="Tahoma"/>
            <family val="2"/>
          </rPr>
          <t xml:space="preserve">
Reproceso a secado</t>
        </r>
      </text>
    </comment>
    <comment ref="K73" authorId="0" shapeId="0" xr:uid="{2BB65E0C-2597-4E15-BA04-01C834B808BD}">
      <text>
        <r>
          <rPr>
            <b/>
            <sz val="9"/>
            <color indexed="81"/>
            <rFont val="Tahoma"/>
            <family val="2"/>
          </rPr>
          <t>Usuario:</t>
        </r>
        <r>
          <rPr>
            <sz val="9"/>
            <color indexed="81"/>
            <rFont val="Tahoma"/>
            <family val="2"/>
          </rPr>
          <t xml:space="preserve">
Reproceso a secado</t>
        </r>
      </text>
    </comment>
    <comment ref="L73" authorId="0" shapeId="0" xr:uid="{DE0D020A-A665-46A4-87D3-41A18640883B}">
      <text>
        <r>
          <rPr>
            <b/>
            <sz val="9"/>
            <color indexed="81"/>
            <rFont val="Tahoma"/>
            <family val="2"/>
          </rPr>
          <t>Usuario:</t>
        </r>
        <r>
          <rPr>
            <sz val="9"/>
            <color indexed="81"/>
            <rFont val="Tahoma"/>
            <family val="2"/>
          </rPr>
          <t xml:space="preserve">
Reproceso a secado</t>
        </r>
      </text>
    </comment>
    <comment ref="M73" authorId="0" shapeId="0" xr:uid="{070977C2-002E-4FD8-BF7F-8BE00A38EFBB}">
      <text>
        <r>
          <rPr>
            <b/>
            <sz val="9"/>
            <color indexed="81"/>
            <rFont val="Tahoma"/>
            <family val="2"/>
          </rPr>
          <t>Usuario:</t>
        </r>
        <r>
          <rPr>
            <sz val="9"/>
            <color indexed="81"/>
            <rFont val="Tahoma"/>
            <family val="2"/>
          </rPr>
          <t xml:space="preserve">
Reproceso a secado</t>
        </r>
      </text>
    </comment>
    <comment ref="N73" authorId="0" shapeId="0" xr:uid="{00000000-0006-0000-0400-000021000000}">
      <text>
        <r>
          <rPr>
            <b/>
            <sz val="9"/>
            <color indexed="81"/>
            <rFont val="Tahoma"/>
            <family val="2"/>
          </rPr>
          <t>Usuario:</t>
        </r>
        <r>
          <rPr>
            <sz val="9"/>
            <color indexed="81"/>
            <rFont val="Tahoma"/>
            <family val="2"/>
          </rPr>
          <t xml:space="preserve">
Reproceso a secado</t>
        </r>
      </text>
    </comment>
    <comment ref="C74" authorId="0" shapeId="0" xr:uid="{9CECD300-F53E-41E9-B4A7-A7B77B3BC838}">
      <text>
        <r>
          <rPr>
            <b/>
            <sz val="9"/>
            <color indexed="81"/>
            <rFont val="Tahoma"/>
            <family val="2"/>
          </rPr>
          <t>Usuario:</t>
        </r>
        <r>
          <rPr>
            <sz val="9"/>
            <color indexed="81"/>
            <rFont val="Tahoma"/>
            <family val="2"/>
          </rPr>
          <t xml:space="preserve">
Reingreso a tanques producto terpel</t>
        </r>
      </text>
    </comment>
    <comment ref="G74" authorId="0" shapeId="0" xr:uid="{A3B37F1D-BE36-487B-AEF7-5ACDD4ACB8AA}">
      <text>
        <r>
          <rPr>
            <b/>
            <sz val="9"/>
            <color indexed="81"/>
            <rFont val="Tahoma"/>
            <family val="2"/>
          </rPr>
          <t>Usuario:</t>
        </r>
        <r>
          <rPr>
            <sz val="9"/>
            <color indexed="81"/>
            <rFont val="Tahoma"/>
            <family val="2"/>
          </rPr>
          <t xml:space="preserve">
+32970 kg ctk reingreso primax del 21/09/20
+15210 kg ctk reingreso primax del 22/09/20</t>
        </r>
      </text>
    </comment>
    <comment ref="H74" authorId="0" shapeId="0" xr:uid="{EAFF828A-C7BB-4435-8E31-6E956B1A6A9B}">
      <text>
        <r>
          <rPr>
            <b/>
            <sz val="9"/>
            <color indexed="81"/>
            <rFont val="Tahoma"/>
            <family val="2"/>
          </rPr>
          <t>Usuario:</t>
        </r>
        <r>
          <rPr>
            <sz val="9"/>
            <color indexed="81"/>
            <rFont val="Tahoma"/>
            <family val="2"/>
          </rPr>
          <t xml:space="preserve">
+2910 kg ctk reingreso primax del 07/10/20
</t>
        </r>
      </text>
    </comment>
    <comment ref="L74" authorId="0" shapeId="0" xr:uid="{D612DB0A-8FDA-4C25-A2DA-50CFB492F1CC}">
      <text>
        <r>
          <rPr>
            <b/>
            <sz val="9"/>
            <color indexed="81"/>
            <rFont val="Tahoma"/>
            <family val="2"/>
          </rPr>
          <t>Usuario:</t>
        </r>
        <r>
          <rPr>
            <sz val="9"/>
            <color indexed="81"/>
            <rFont val="Tahoma"/>
            <family val="2"/>
          </rPr>
          <t xml:space="preserve">
Reingreso B100 por garantia</t>
        </r>
      </text>
    </comment>
    <comment ref="C77" authorId="0" shapeId="0" xr:uid="{5D9481CF-7412-4FD2-AAC6-51BA2B4B46CF}">
      <text>
        <r>
          <rPr>
            <b/>
            <sz val="9"/>
            <color indexed="81"/>
            <rFont val="Tahoma"/>
            <family val="2"/>
          </rPr>
          <t>Usuario:</t>
        </r>
        <r>
          <rPr>
            <sz val="9"/>
            <color indexed="81"/>
            <rFont val="Tahoma"/>
            <family val="2"/>
          </rPr>
          <t xml:space="preserve">
0 Tons corresponden a recuperacion de Gr Be </t>
        </r>
      </text>
    </comment>
    <comment ref="D77" authorId="0" shapeId="0" xr:uid="{A7015503-D3BF-4F54-A222-A7645FB782CA}">
      <text>
        <r>
          <rPr>
            <b/>
            <sz val="9"/>
            <color indexed="81"/>
            <rFont val="Tahoma"/>
            <family val="2"/>
          </rPr>
          <t>Usuario:</t>
        </r>
        <r>
          <rPr>
            <sz val="9"/>
            <color indexed="81"/>
            <rFont val="Tahoma"/>
            <family val="2"/>
          </rPr>
          <t xml:space="preserve">
0 Tons corresponden a recuperacion de Gr Be </t>
        </r>
      </text>
    </comment>
    <comment ref="E77" authorId="0" shapeId="0" xr:uid="{D4D525CF-9458-4118-AB22-E7B688EBDCC1}">
      <text>
        <r>
          <rPr>
            <b/>
            <sz val="9"/>
            <color indexed="81"/>
            <rFont val="Tahoma"/>
            <family val="2"/>
          </rPr>
          <t>Usuario:</t>
        </r>
        <r>
          <rPr>
            <sz val="9"/>
            <color indexed="81"/>
            <rFont val="Tahoma"/>
            <family val="2"/>
          </rPr>
          <t xml:space="preserve">
0 Tons corresponden a recuperacion de Gr Be </t>
        </r>
      </text>
    </comment>
    <comment ref="F77" authorId="0" shapeId="0" xr:uid="{00138B99-B8D4-4B4A-8140-887BF1206192}">
      <text>
        <r>
          <rPr>
            <b/>
            <sz val="9"/>
            <color indexed="81"/>
            <rFont val="Tahoma"/>
            <family val="2"/>
          </rPr>
          <t>Usuario:</t>
        </r>
        <r>
          <rPr>
            <sz val="9"/>
            <color indexed="81"/>
            <rFont val="Tahoma"/>
            <family val="2"/>
          </rPr>
          <t xml:space="preserve">
0 Tons corresponden a recuperacion de Gr Be </t>
        </r>
      </text>
    </comment>
    <comment ref="G77" authorId="0" shapeId="0" xr:uid="{A9999EE2-21F1-473D-932A-162026E2E7C1}">
      <text>
        <r>
          <rPr>
            <b/>
            <sz val="9"/>
            <color indexed="81"/>
            <rFont val="Tahoma"/>
            <family val="2"/>
          </rPr>
          <t>Usuario:</t>
        </r>
        <r>
          <rPr>
            <sz val="9"/>
            <color indexed="81"/>
            <rFont val="Tahoma"/>
            <family val="2"/>
          </rPr>
          <t xml:space="preserve">
0 Tons corresponden a recuperacion de Gr Be </t>
        </r>
      </text>
    </comment>
    <comment ref="H77" authorId="0" shapeId="0" xr:uid="{00F2B0A6-9BD2-4486-B9B9-486FD37C6EB1}">
      <text>
        <r>
          <rPr>
            <b/>
            <sz val="9"/>
            <color indexed="81"/>
            <rFont val="Tahoma"/>
            <family val="2"/>
          </rPr>
          <t>Usuario:</t>
        </r>
        <r>
          <rPr>
            <sz val="9"/>
            <color indexed="81"/>
            <rFont val="Tahoma"/>
            <family val="2"/>
          </rPr>
          <t xml:space="preserve">
0 Tons corresponden a recuperacion de Gr Be </t>
        </r>
      </text>
    </comment>
    <comment ref="C96" authorId="0" shapeId="0" xr:uid="{92F3AC45-6DC8-4D2A-96EB-94DF54892763}">
      <text>
        <r>
          <rPr>
            <b/>
            <sz val="9"/>
            <color indexed="81"/>
            <rFont val="Tahoma"/>
            <family val="2"/>
          </rPr>
          <t>Usuario:</t>
        </r>
        <r>
          <rPr>
            <sz val="9"/>
            <color indexed="81"/>
            <rFont val="Tahoma"/>
            <family val="2"/>
          </rPr>
          <t xml:space="preserve">
79205 kg de inventarios corresponden a AGR PALMA
0 kg de inventarios corresponden a AGR DEGRAS
425 kg AGR corresponden a CES </t>
        </r>
      </text>
    </comment>
    <comment ref="D96" authorId="0" shapeId="0" xr:uid="{9F2350D0-7F11-431B-A498-6065C2D87150}">
      <text>
        <r>
          <rPr>
            <b/>
            <sz val="9"/>
            <color indexed="81"/>
            <rFont val="Tahoma"/>
            <family val="2"/>
          </rPr>
          <t>Usuario:</t>
        </r>
        <r>
          <rPr>
            <sz val="9"/>
            <color indexed="81"/>
            <rFont val="Tahoma"/>
            <family val="2"/>
          </rPr>
          <t xml:space="preserve">
11061 kg de inventarios corresponden a AGR PALMA
0 kg de inventarios corresponden a AGR DEGRAS
150409 kg AGR corresponden a CES </t>
        </r>
      </text>
    </comment>
    <comment ref="E96" authorId="0" shapeId="0" xr:uid="{346CD736-DD3E-40E2-ABD2-14FAB2770A38}">
      <text>
        <r>
          <rPr>
            <b/>
            <sz val="9"/>
            <color indexed="81"/>
            <rFont val="Tahoma"/>
            <family val="2"/>
          </rPr>
          <t>Usuario:</t>
        </r>
        <r>
          <rPr>
            <sz val="9"/>
            <color indexed="81"/>
            <rFont val="Tahoma"/>
            <family val="2"/>
          </rPr>
          <t xml:space="preserve">
49768 kg de inventarios corresponden a AGR PALMA
0 kg de inventarios corresponden a AGR DEGRAS
19572 kg AGR corresponden a CES </t>
        </r>
      </text>
    </comment>
    <comment ref="F96" authorId="0" shapeId="0" xr:uid="{476E35DA-0F89-4AA9-9AA2-5152AFE49044}">
      <text>
        <r>
          <rPr>
            <b/>
            <sz val="9"/>
            <color indexed="81"/>
            <rFont val="Tahoma"/>
            <family val="2"/>
          </rPr>
          <t>Usuario:</t>
        </r>
        <r>
          <rPr>
            <sz val="9"/>
            <color indexed="81"/>
            <rFont val="Tahoma"/>
            <family val="2"/>
          </rPr>
          <t xml:space="preserve">
150408 kg de inventarios corresponden a AGR PALMA
0 kg de inventarios corresponden a AGR DEGRAS
109597 kg AGR corresponden a CES 
263 kg AGR corresponden a TEQ</t>
        </r>
      </text>
    </comment>
    <comment ref="G96" authorId="0" shapeId="0" xr:uid="{41F52DB1-E0EF-48AD-902C-5688136832A3}">
      <text>
        <r>
          <rPr>
            <b/>
            <sz val="9"/>
            <color indexed="81"/>
            <rFont val="Tahoma"/>
            <family val="2"/>
          </rPr>
          <t>Usuario:</t>
        </r>
        <r>
          <rPr>
            <sz val="9"/>
            <color indexed="81"/>
            <rFont val="Tahoma"/>
            <family val="2"/>
          </rPr>
          <t xml:space="preserve">
235984 kg AGR en Biosc
58021 kg AGR en CES 
4120 kg AGR en TEQ</t>
        </r>
      </text>
    </comment>
    <comment ref="H96" authorId="0" shapeId="0" xr:uid="{3C575ADE-6DC6-408B-84B8-AB77C352D13D}">
      <text>
        <r>
          <rPr>
            <b/>
            <sz val="9"/>
            <color indexed="81"/>
            <rFont val="Tahoma"/>
            <family val="2"/>
          </rPr>
          <t>Usuario:</t>
        </r>
        <r>
          <rPr>
            <sz val="9"/>
            <color indexed="81"/>
            <rFont val="Tahoma"/>
            <family val="2"/>
          </rPr>
          <t xml:space="preserve">
114245 kg AGR en Biosc
15081 kg AGR en CES 
9117 kg AGR en TEQ</t>
        </r>
      </text>
    </comment>
    <comment ref="I96" authorId="0" shapeId="0" xr:uid="{5477D913-81C1-4110-8D09-85A964D95D38}">
      <text>
        <r>
          <rPr>
            <b/>
            <sz val="9"/>
            <color indexed="81"/>
            <rFont val="Tahoma"/>
            <family val="2"/>
          </rPr>
          <t>Usuario:</t>
        </r>
        <r>
          <rPr>
            <sz val="9"/>
            <color indexed="81"/>
            <rFont val="Tahoma"/>
            <family val="2"/>
          </rPr>
          <t xml:space="preserve">
12240 kg AGR en Biosc
10607 kg AGR en CES 
57576 kg AGR en TEQ</t>
        </r>
      </text>
    </comment>
    <comment ref="J96" authorId="0" shapeId="0" xr:uid="{E4FB6303-F208-45C2-BC91-21251D239C1D}">
      <text>
        <r>
          <rPr>
            <b/>
            <sz val="9"/>
            <color indexed="81"/>
            <rFont val="Tahoma"/>
            <family val="2"/>
          </rPr>
          <t>Usuario:</t>
        </r>
        <r>
          <rPr>
            <sz val="9"/>
            <color indexed="81"/>
            <rFont val="Tahoma"/>
            <family val="2"/>
          </rPr>
          <t xml:space="preserve">
12875 kg AGR en Biosc
100429 kg AGR en CES 
57576 kg AGR en TEQ</t>
        </r>
      </text>
    </comment>
    <comment ref="K96" authorId="0" shapeId="0" xr:uid="{F8017519-6670-4774-BB17-31A930A10FD4}">
      <text>
        <r>
          <rPr>
            <b/>
            <sz val="9"/>
            <color indexed="81"/>
            <rFont val="Tahoma"/>
            <family val="2"/>
          </rPr>
          <t>Usuario:</t>
        </r>
        <r>
          <rPr>
            <sz val="9"/>
            <color indexed="81"/>
            <rFont val="Tahoma"/>
            <family val="2"/>
          </rPr>
          <t xml:space="preserve">
244983 kg AGR en Biosc
2811 kg AGR en CES 
20958 kg AGR en TEQ</t>
        </r>
      </text>
    </comment>
    <comment ref="L96" authorId="0" shapeId="0" xr:uid="{6DDBCD18-4D7E-4CA8-85AA-04A51E723CC4}">
      <text>
        <r>
          <rPr>
            <b/>
            <sz val="9"/>
            <color indexed="81"/>
            <rFont val="Tahoma"/>
            <family val="2"/>
          </rPr>
          <t>Usuario:</t>
        </r>
        <r>
          <rPr>
            <sz val="9"/>
            <color indexed="81"/>
            <rFont val="Tahoma"/>
            <family val="2"/>
          </rPr>
          <t xml:space="preserve">
104912 kg AGR en Biosc
47969 kg AGR en CES 
46225 kg AGR en TEQ</t>
        </r>
      </text>
    </comment>
    <comment ref="M96" authorId="0" shapeId="0" xr:uid="{79C5E506-D7A9-48A2-95B7-26A0AF961555}">
      <text>
        <r>
          <rPr>
            <b/>
            <sz val="9"/>
            <color indexed="81"/>
            <rFont val="Tahoma"/>
            <family val="2"/>
          </rPr>
          <t>Usuario:</t>
        </r>
        <r>
          <rPr>
            <sz val="9"/>
            <color indexed="81"/>
            <rFont val="Tahoma"/>
            <family val="2"/>
          </rPr>
          <t xml:space="preserve">
12693 kg AGR en Biosc
61471 kg AGR en CES 
46225 kg AGR en TEQ</t>
        </r>
      </text>
    </comment>
    <comment ref="N96" authorId="0" shapeId="0" xr:uid="{00000000-0006-0000-0400-000041000000}">
      <text>
        <r>
          <rPr>
            <b/>
            <sz val="9"/>
            <color indexed="81"/>
            <rFont val="Tahoma"/>
            <family val="2"/>
          </rPr>
          <t>Usuario:</t>
        </r>
        <r>
          <rPr>
            <sz val="9"/>
            <color indexed="81"/>
            <rFont val="Tahoma"/>
            <family val="2"/>
          </rPr>
          <t xml:space="preserve">
58317 kg AGR en Biosc
97096 kg AGR en CES 
46225 kg AGR en TEQ</t>
        </r>
      </text>
    </comment>
    <comment ref="C101" authorId="0" shapeId="0" xr:uid="{29396C17-F7F5-438C-8E97-F7502B7DC621}">
      <text>
        <r>
          <rPr>
            <b/>
            <sz val="9"/>
            <color indexed="81"/>
            <rFont val="Tahoma"/>
            <family val="2"/>
          </rPr>
          <t>Usuario:</t>
        </r>
        <r>
          <rPr>
            <sz val="9"/>
            <color indexed="81"/>
            <rFont val="Tahoma"/>
            <family val="2"/>
          </rPr>
          <t xml:space="preserve">
Compra AGR tuberia CES 0 kg + Compra AGR tuberia TEQ 444462 kg
Maquila AGR tuberia CES 103206 kg
Compra AGR Ctks 0 kg
Compra AGR Ctks DEGRAS 0 kg</t>
        </r>
      </text>
    </comment>
    <comment ref="D101" authorId="0" shapeId="0" xr:uid="{878FFE8C-1E0D-43C4-A456-2AAA38516E32}">
      <text>
        <r>
          <rPr>
            <b/>
            <sz val="9"/>
            <color indexed="81"/>
            <rFont val="Tahoma"/>
            <family val="2"/>
          </rPr>
          <t>Usuario:</t>
        </r>
        <r>
          <rPr>
            <sz val="9"/>
            <color indexed="81"/>
            <rFont val="Tahoma"/>
            <family val="2"/>
          </rPr>
          <t xml:space="preserve">
Compra AGR tuberia CES 0 kg + Compra AGR tuberia TEQ 241154 kg
Maquila AGR tuberia CES 101475 kg
Compra AGR Ctks 0 kg
Compra AGR Ctks DEGRAS 0 kg</t>
        </r>
      </text>
    </comment>
    <comment ref="E101" authorId="0" shapeId="0" xr:uid="{1A6E8630-C58F-4C95-91C5-D9C78F52BB57}">
      <text>
        <r>
          <rPr>
            <b/>
            <sz val="9"/>
            <color indexed="81"/>
            <rFont val="Tahoma"/>
            <family val="2"/>
          </rPr>
          <t>Usuario:</t>
        </r>
        <r>
          <rPr>
            <sz val="9"/>
            <color indexed="81"/>
            <rFont val="Tahoma"/>
            <family val="2"/>
          </rPr>
          <t xml:space="preserve">
Compra AGR tuberia CES 0 kg + Compra AGR tuberia TEQ 385616 kg
Maquila AGR tuberia CES 326473 kg
Compra AGR Ctks 194505 kg
Compra AGR Ctks DEGRAS 238730 kg</t>
        </r>
      </text>
    </comment>
    <comment ref="F101" authorId="0" shapeId="0" xr:uid="{6D6ACF00-1258-4437-8731-400E80A16552}">
      <text>
        <r>
          <rPr>
            <b/>
            <sz val="9"/>
            <color indexed="81"/>
            <rFont val="Tahoma"/>
            <family val="2"/>
          </rPr>
          <t>Usuario:</t>
        </r>
        <r>
          <rPr>
            <sz val="9"/>
            <color indexed="81"/>
            <rFont val="Tahoma"/>
            <family val="2"/>
          </rPr>
          <t xml:space="preserve">
Compra AGR tuberia CES 80674 kg + Compra AGR tuberia TEQ 495526 kg
Maquila AGR tuberia CES 119302 kg
Compra AGR Ctks 0 kg
Compra AGR Ctks DEGRAS 0 kg</t>
        </r>
      </text>
    </comment>
    <comment ref="G101" authorId="0" shapeId="0" xr:uid="{6C91D5C0-8C33-4C13-A18A-DC7B97923DF9}">
      <text>
        <r>
          <rPr>
            <b/>
            <sz val="9"/>
            <color indexed="81"/>
            <rFont val="Tahoma"/>
            <family val="2"/>
          </rPr>
          <t>Usuario:</t>
        </r>
        <r>
          <rPr>
            <sz val="9"/>
            <color indexed="81"/>
            <rFont val="Tahoma"/>
            <family val="2"/>
          </rPr>
          <t xml:space="preserve">
Compra AGR tuberia CES 0 kg + Compra AGR tuberia TEQ 358207 kg
Maquila AGR tuberia CES 250843 kg
Compra AGR Ctks 0 kg
Compra AGR Ctks DEGRAS 0 kg</t>
        </r>
      </text>
    </comment>
    <comment ref="H101" authorId="0" shapeId="0" xr:uid="{E67D8C17-F924-4824-BA02-37878CA2AF24}">
      <text>
        <r>
          <rPr>
            <b/>
            <sz val="9"/>
            <color indexed="81"/>
            <rFont val="Tahoma"/>
            <family val="2"/>
          </rPr>
          <t>Usuario:</t>
        </r>
        <r>
          <rPr>
            <sz val="9"/>
            <color indexed="81"/>
            <rFont val="Tahoma"/>
            <family val="2"/>
          </rPr>
          <t xml:space="preserve">
Compra AGR tuberia CES 0 kg + Compra AGR tuberia TEQ 541793 kg
Maquila AGR tuberia CES 105472 kg
Maquila AGR tuberia TEQ 0 kg
Compra AGR Ctks 0 kg
</t>
        </r>
      </text>
    </comment>
    <comment ref="I101" authorId="0" shapeId="0" xr:uid="{859FC14F-5295-4E69-9448-60BF29F3F8C6}">
      <text>
        <r>
          <rPr>
            <b/>
            <sz val="9"/>
            <color indexed="81"/>
            <rFont val="Tahoma"/>
            <family val="2"/>
          </rPr>
          <t>Usuario:</t>
        </r>
        <r>
          <rPr>
            <sz val="9"/>
            <color indexed="81"/>
            <rFont val="Tahoma"/>
            <family val="2"/>
          </rPr>
          <t xml:space="preserve">
Compra AGR tuberia CES 0 kg + Compra AGR tuberia TEQ 621709 kg
Maquila AGR tuberia CES 85656 kg
Maquila AGR tuberia TEQ 0 kg
Compra AGR Ctks 0 kg
</t>
        </r>
      </text>
    </comment>
    <comment ref="J101" authorId="0" shapeId="0" xr:uid="{A9858FEC-0D9E-4E6C-9CF7-F04862446792}">
      <text>
        <r>
          <rPr>
            <b/>
            <sz val="9"/>
            <color indexed="81"/>
            <rFont val="Tahoma"/>
            <family val="2"/>
          </rPr>
          <t>Usuario:</t>
        </r>
        <r>
          <rPr>
            <sz val="9"/>
            <color indexed="81"/>
            <rFont val="Tahoma"/>
            <family val="2"/>
          </rPr>
          <t xml:space="preserve">
Compra AGR tuberia CES 59558 kg + Compra AGR tuberia TEQ 344565 kg
Maquila AGR tuberia CES 58155 kg
Maquila AGR tuberia TEQ 0 kg
Compra AGR Ctks 0 kg
</t>
        </r>
      </text>
    </comment>
    <comment ref="K101" authorId="0" shapeId="0" xr:uid="{36E191AC-4809-48F0-BBD0-A05269CD2C28}">
      <text>
        <r>
          <rPr>
            <b/>
            <sz val="9"/>
            <color indexed="81"/>
            <rFont val="Tahoma"/>
            <family val="2"/>
          </rPr>
          <t>Usuario:</t>
        </r>
        <r>
          <rPr>
            <sz val="9"/>
            <color indexed="81"/>
            <rFont val="Tahoma"/>
            <family val="2"/>
          </rPr>
          <t xml:space="preserve">
Compra AGR tuberia CES 0 kg + Compra AGR tuberia TEQ 444809 kg
Maquila AGR tuberia CES 226107 kg
Maquila AGR tuberia TEQ 120176 kg
Compra AGR Ctks 23494 kg
</t>
        </r>
      </text>
    </comment>
    <comment ref="L101" authorId="0" shapeId="0" xr:uid="{190916ED-E85B-426D-9140-7F0CFE8075EB}">
      <text>
        <r>
          <rPr>
            <b/>
            <sz val="9"/>
            <color indexed="81"/>
            <rFont val="Tahoma"/>
            <family val="2"/>
          </rPr>
          <t>Usuario:</t>
        </r>
        <r>
          <rPr>
            <sz val="9"/>
            <color indexed="81"/>
            <rFont val="Tahoma"/>
            <family val="2"/>
          </rPr>
          <t xml:space="preserve">
Compra AGR tuberia CES 0 kg + Compra AGR tuberia TEQ 362814 kg
Maquila AGR tuberia CES 223440 kg
Maquila AGR tuberia TEQ 0 kg
Compra AGR Ctks 0 kg
</t>
        </r>
      </text>
    </comment>
    <comment ref="M101" authorId="0" shapeId="0" xr:uid="{032F6F01-4CBC-4D6B-9706-3748BE1C15FF}">
      <text>
        <r>
          <rPr>
            <b/>
            <sz val="9"/>
            <color indexed="81"/>
            <rFont val="Tahoma"/>
            <family val="2"/>
          </rPr>
          <t>Usuario:</t>
        </r>
        <r>
          <rPr>
            <sz val="9"/>
            <color indexed="81"/>
            <rFont val="Tahoma"/>
            <family val="2"/>
          </rPr>
          <t xml:space="preserve">
Compra AGR tuberia CES 0 kg + Compra AGR tuberia TEQ 344349 kg
Maquila AGR tuberia CES 247943 kg
Maquila AGR tuberia TEQ 0 kg
Compra AGR Ctks 0 kg
</t>
        </r>
      </text>
    </comment>
    <comment ref="N101" authorId="0" shapeId="0" xr:uid="{5D7B986F-F691-4418-9945-EDAA1D4BDABF}">
      <text>
        <r>
          <rPr>
            <b/>
            <sz val="9"/>
            <color indexed="81"/>
            <rFont val="Tahoma"/>
            <family val="2"/>
          </rPr>
          <t>Usuario:</t>
        </r>
        <r>
          <rPr>
            <sz val="9"/>
            <color indexed="81"/>
            <rFont val="Tahoma"/>
            <family val="2"/>
          </rPr>
          <t xml:space="preserve">
Compra AGR tuberia CES 0 kg + Compra AGR tuberia TEQ 222402 kg
Maquila AGR tuberia CES 114079 kg
Maquila AGR tuberia TEQ 0 kg
Compra AGR Ctks 0 kg
</t>
        </r>
      </text>
    </comment>
    <comment ref="C102" authorId="0" shapeId="0" xr:uid="{0E129633-7248-4ACF-9352-67EA0F194190}">
      <text>
        <r>
          <rPr>
            <b/>
            <sz val="9"/>
            <color indexed="81"/>
            <rFont val="Tahoma"/>
            <family val="2"/>
          </rPr>
          <t>Usuario:</t>
        </r>
        <r>
          <rPr>
            <sz val="9"/>
            <color indexed="81"/>
            <rFont val="Tahoma"/>
            <family val="2"/>
          </rPr>
          <t xml:space="preserve">
Tiene sumado las 451047 kg de lo recibido por maquila</t>
        </r>
      </text>
    </comment>
    <comment ref="D102" authorId="0" shapeId="0" xr:uid="{A98B28B6-6D81-49E4-A430-5B953AE63573}">
      <text>
        <r>
          <rPr>
            <b/>
            <sz val="9"/>
            <color indexed="81"/>
            <rFont val="Tahoma"/>
            <family val="2"/>
          </rPr>
          <t>Usuario:</t>
        </r>
        <r>
          <rPr>
            <sz val="9"/>
            <color indexed="81"/>
            <rFont val="Tahoma"/>
            <family val="2"/>
          </rPr>
          <t xml:space="preserve">
Tiene sumado las 101475 kg de lo recibido por maquila</t>
        </r>
      </text>
    </comment>
    <comment ref="E102" authorId="0" shapeId="0" xr:uid="{C154F68C-E05D-4902-B1BD-3AEF0516EB95}">
      <text>
        <r>
          <rPr>
            <b/>
            <sz val="9"/>
            <color indexed="81"/>
            <rFont val="Tahoma"/>
            <family val="2"/>
          </rPr>
          <t>Usuario:</t>
        </r>
        <r>
          <rPr>
            <sz val="9"/>
            <color indexed="81"/>
            <rFont val="Tahoma"/>
            <family val="2"/>
          </rPr>
          <t xml:space="preserve">
Tiene sumado las 326473 kg de lo recibido por maquila</t>
        </r>
      </text>
    </comment>
    <comment ref="F102" authorId="0" shapeId="0" xr:uid="{37AD7157-12F1-44E6-A33B-AB329D55D96C}">
      <text>
        <r>
          <rPr>
            <b/>
            <sz val="9"/>
            <color indexed="81"/>
            <rFont val="Tahoma"/>
            <family val="2"/>
          </rPr>
          <t>Usuario:</t>
        </r>
        <r>
          <rPr>
            <sz val="9"/>
            <color indexed="81"/>
            <rFont val="Tahoma"/>
            <family val="2"/>
          </rPr>
          <t xml:space="preserve">
Tiene sumado las 119302 kg de lo recibido por maquila</t>
        </r>
      </text>
    </comment>
    <comment ref="G102" authorId="0" shapeId="0" xr:uid="{AEC77361-3064-4539-9014-6060C798061D}">
      <text>
        <r>
          <rPr>
            <b/>
            <sz val="9"/>
            <color indexed="81"/>
            <rFont val="Tahoma"/>
            <family val="2"/>
          </rPr>
          <t>Usuario:</t>
        </r>
        <r>
          <rPr>
            <sz val="9"/>
            <color indexed="81"/>
            <rFont val="Tahoma"/>
            <family val="2"/>
          </rPr>
          <t xml:space="preserve">
Tiene sumado las 250843 kg de lo recibido por maquila CES</t>
        </r>
      </text>
    </comment>
    <comment ref="H102" authorId="0" shapeId="0" xr:uid="{1B83761E-B6DE-4240-9BC7-CA867CA5A8D6}">
      <text>
        <r>
          <rPr>
            <b/>
            <sz val="9"/>
            <color indexed="81"/>
            <rFont val="Tahoma"/>
            <family val="2"/>
          </rPr>
          <t>Usuario:</t>
        </r>
        <r>
          <rPr>
            <sz val="9"/>
            <color indexed="81"/>
            <rFont val="Tahoma"/>
            <family val="2"/>
          </rPr>
          <t xml:space="preserve">
Tiene sumado las 105472 kg de lo recibido por maquila CES</t>
        </r>
      </text>
    </comment>
    <comment ref="I102" authorId="0" shapeId="0" xr:uid="{C1859ECC-A8EB-413F-87A4-602B8B23A318}">
      <text>
        <r>
          <rPr>
            <b/>
            <sz val="9"/>
            <color indexed="81"/>
            <rFont val="Tahoma"/>
            <family val="2"/>
          </rPr>
          <t>Usuario:</t>
        </r>
        <r>
          <rPr>
            <sz val="9"/>
            <color indexed="81"/>
            <rFont val="Tahoma"/>
            <family val="2"/>
          </rPr>
          <t xml:space="preserve">
Tiene sumado las 85656 kg de lo recibido por maquila CES</t>
        </r>
      </text>
    </comment>
    <comment ref="J102" authorId="0" shapeId="0" xr:uid="{D6CAC5D2-E2C1-4932-8219-C859101C0D54}">
      <text>
        <r>
          <rPr>
            <b/>
            <sz val="9"/>
            <color indexed="81"/>
            <rFont val="Tahoma"/>
            <family val="2"/>
          </rPr>
          <t>Usuario:</t>
        </r>
        <r>
          <rPr>
            <sz val="9"/>
            <color indexed="81"/>
            <rFont val="Tahoma"/>
            <family val="2"/>
          </rPr>
          <t xml:space="preserve">
Tiene sumado las 58155 kg de lo recibido por maquila CES</t>
        </r>
      </text>
    </comment>
    <comment ref="K102" authorId="0" shapeId="0" xr:uid="{67B39C0F-05DC-4238-916D-B22E5F1D933C}">
      <text>
        <r>
          <rPr>
            <b/>
            <sz val="9"/>
            <color indexed="81"/>
            <rFont val="Tahoma"/>
            <family val="2"/>
          </rPr>
          <t>Usuario:</t>
        </r>
        <r>
          <rPr>
            <sz val="9"/>
            <color indexed="81"/>
            <rFont val="Tahoma"/>
            <family val="2"/>
          </rPr>
          <t xml:space="preserve">
226107 kg recibido por maquila CES
120176 kg recibido por maquila TEQ</t>
        </r>
      </text>
    </comment>
    <comment ref="L102" authorId="0" shapeId="0" xr:uid="{EB3D5780-BECE-43F4-98E6-3C3663BF7A9D}">
      <text>
        <r>
          <rPr>
            <b/>
            <sz val="9"/>
            <color indexed="81"/>
            <rFont val="Tahoma"/>
            <family val="2"/>
          </rPr>
          <t>Usuario:</t>
        </r>
        <r>
          <rPr>
            <sz val="9"/>
            <color indexed="81"/>
            <rFont val="Tahoma"/>
            <family val="2"/>
          </rPr>
          <t xml:space="preserve">
223440 kg recibido por maquila CES
0 kg recibido por maquila TEQ</t>
        </r>
      </text>
    </comment>
    <comment ref="M102" authorId="0" shapeId="0" xr:uid="{1AB09B33-BC08-4F67-8B65-A380E19FD54D}">
      <text>
        <r>
          <rPr>
            <b/>
            <sz val="9"/>
            <color indexed="81"/>
            <rFont val="Tahoma"/>
            <family val="2"/>
          </rPr>
          <t>Usuario:</t>
        </r>
        <r>
          <rPr>
            <sz val="9"/>
            <color indexed="81"/>
            <rFont val="Tahoma"/>
            <family val="2"/>
          </rPr>
          <t xml:space="preserve">
247943 kg recibido por maquila CES
0 kg recibido por maquila TEQ</t>
        </r>
      </text>
    </comment>
    <comment ref="N102" authorId="0" shapeId="0" xr:uid="{00000000-0006-0000-0400-000058000000}">
      <text>
        <r>
          <rPr>
            <b/>
            <sz val="9"/>
            <color indexed="81"/>
            <rFont val="Tahoma"/>
            <family val="2"/>
          </rPr>
          <t>Usuario:</t>
        </r>
        <r>
          <rPr>
            <sz val="9"/>
            <color indexed="81"/>
            <rFont val="Tahoma"/>
            <family val="2"/>
          </rPr>
          <t xml:space="preserve">
114079 kg recibido por maquila CES
0 kg recibido por maquila TEQ</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B19" authorId="0" shapeId="0" xr:uid="{0FA0E0DF-219A-453B-919F-8256F65BC2E1}">
      <text>
        <r>
          <rPr>
            <sz val="9"/>
            <color indexed="81"/>
            <rFont val="Tahoma"/>
            <family val="2"/>
          </rPr>
          <t xml:space="preserve">
</t>
        </r>
        <r>
          <rPr>
            <sz val="16"/>
            <color indexed="81"/>
            <rFont val="Tahoma"/>
            <family val="2"/>
          </rPr>
          <t>Contador energia generada al corte del 01/02/21 (14.131.255 kwhr)</t>
        </r>
      </text>
    </comment>
    <comment ref="K19" authorId="0" shapeId="0" xr:uid="{84B24579-8277-484B-B817-2CD6CA688172}">
      <text>
        <r>
          <rPr>
            <sz val="9"/>
            <color indexed="81"/>
            <rFont val="Tahoma"/>
            <family val="2"/>
          </rPr>
          <t xml:space="preserve">
</t>
        </r>
        <r>
          <rPr>
            <sz val="16"/>
            <color indexed="81"/>
            <rFont val="Tahoma"/>
            <family val="2"/>
          </rPr>
          <t>Hrs totales generacion al corte del 01/02/21 (36324 hrs)</t>
        </r>
      </text>
    </comment>
    <comment ref="B20" authorId="0" shapeId="0" xr:uid="{0ABBA4E6-9A95-4E59-A23E-E2E6D49A46F9}">
      <text>
        <r>
          <rPr>
            <sz val="9"/>
            <color indexed="81"/>
            <rFont val="Tahoma"/>
            <family val="2"/>
          </rPr>
          <t xml:space="preserve">
</t>
        </r>
        <r>
          <rPr>
            <sz val="16"/>
            <color indexed="81"/>
            <rFont val="Tahoma"/>
            <family val="2"/>
          </rPr>
          <t>Contador energia generada al corte del 01/03/21 (14.347.124 kwhr)</t>
        </r>
      </text>
    </comment>
    <comment ref="K20" authorId="0" shapeId="0" xr:uid="{6303E0E9-9634-4CFB-80BF-E95C43FA9013}">
      <text>
        <r>
          <rPr>
            <sz val="9"/>
            <color indexed="81"/>
            <rFont val="Tahoma"/>
            <family val="2"/>
          </rPr>
          <t xml:space="preserve">
</t>
        </r>
        <r>
          <rPr>
            <sz val="16"/>
            <color indexed="81"/>
            <rFont val="Tahoma"/>
            <family val="2"/>
          </rPr>
          <t>Hrs totales generacion al corte del 01/03/21 (36909 hrs)</t>
        </r>
      </text>
    </comment>
    <comment ref="B21" authorId="0" shapeId="0" xr:uid="{384459FB-B400-464A-BF8F-719C8F570837}">
      <text>
        <r>
          <rPr>
            <sz val="9"/>
            <color indexed="81"/>
            <rFont val="Tahoma"/>
            <family val="2"/>
          </rPr>
          <t xml:space="preserve">
</t>
        </r>
        <r>
          <rPr>
            <sz val="16"/>
            <color indexed="81"/>
            <rFont val="Tahoma"/>
            <family val="2"/>
          </rPr>
          <t>Contador energia generada al corte del 01/04/21 (14.603.955 kwhr)</t>
        </r>
      </text>
    </comment>
    <comment ref="K21" authorId="0" shapeId="0" xr:uid="{47778B86-21C5-4ED8-A4CF-767CD7400DAA}">
      <text>
        <r>
          <rPr>
            <sz val="9"/>
            <color indexed="81"/>
            <rFont val="Tahoma"/>
            <family val="2"/>
          </rPr>
          <t xml:space="preserve">
</t>
        </r>
        <r>
          <rPr>
            <sz val="16"/>
            <color indexed="81"/>
            <rFont val="Tahoma"/>
            <family val="2"/>
          </rPr>
          <t>Hrs totales generacion al corte del 01/04/21 (37577 hrs)</t>
        </r>
      </text>
    </comment>
    <comment ref="B22" authorId="0" shapeId="0" xr:uid="{FFC2F7AE-3F46-4578-A877-B4B6CEB7ADE7}">
      <text>
        <r>
          <rPr>
            <sz val="9"/>
            <color indexed="81"/>
            <rFont val="Tahoma"/>
            <family val="2"/>
          </rPr>
          <t xml:space="preserve">
</t>
        </r>
        <r>
          <rPr>
            <sz val="16"/>
            <color indexed="81"/>
            <rFont val="Tahoma"/>
            <family val="2"/>
          </rPr>
          <t>Contador energia generada al corte del 01/05/21 (14.856.657 kwhr)</t>
        </r>
      </text>
    </comment>
    <comment ref="K22" authorId="0" shapeId="0" xr:uid="{EE055FD7-0DC4-4731-ACAF-E763579D8862}">
      <text>
        <r>
          <rPr>
            <sz val="9"/>
            <color indexed="81"/>
            <rFont val="Tahoma"/>
            <family val="2"/>
          </rPr>
          <t xml:space="preserve">
</t>
        </r>
        <r>
          <rPr>
            <sz val="16"/>
            <color indexed="81"/>
            <rFont val="Tahoma"/>
            <family val="2"/>
          </rPr>
          <t>Hrs totales generacion al corte del 01/05/21 (38265 hrs)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Johan.Reyes</author>
  </authors>
  <commentList>
    <comment ref="I74" authorId="0" shapeId="0" xr:uid="{00000000-0006-0000-0D00-000001000000}">
      <text>
        <r>
          <rPr>
            <b/>
            <sz val="9"/>
            <color indexed="81"/>
            <rFont val="Tahoma"/>
            <family val="2"/>
          </rPr>
          <t>Johan.Reyes:</t>
        </r>
        <r>
          <rPr>
            <sz val="9"/>
            <color indexed="81"/>
            <rFont val="Tahoma"/>
            <family val="2"/>
          </rPr>
          <t xml:space="preserve">
Mantenimiento cambio de columna.</t>
        </r>
      </text>
    </comment>
    <comment ref="I81" authorId="0" shapeId="0" xr:uid="{00000000-0006-0000-0D00-000002000000}">
      <text>
        <r>
          <rPr>
            <b/>
            <sz val="9"/>
            <color indexed="81"/>
            <rFont val="Tahoma"/>
            <family val="2"/>
          </rPr>
          <t>Johan.Reyes:</t>
        </r>
        <r>
          <rPr>
            <sz val="9"/>
            <color indexed="81"/>
            <rFont val="Tahoma"/>
            <family val="2"/>
          </rPr>
          <t xml:space="preserve">
Se instalo la board del analizador de datos del destilador atmosferico.</t>
        </r>
      </text>
    </comment>
    <comment ref="I82" authorId="0" shapeId="0" xr:uid="{00000000-0006-0000-0D00-000003000000}">
      <text>
        <r>
          <rPr>
            <b/>
            <sz val="9"/>
            <color indexed="81"/>
            <rFont val="Tahoma"/>
            <family val="2"/>
          </rPr>
          <t>Johan.Reyes:</t>
        </r>
        <r>
          <rPr>
            <sz val="9"/>
            <color indexed="81"/>
            <rFont val="Tahoma"/>
            <family val="2"/>
          </rPr>
          <t xml:space="preserve">
Asociado al daño del computador.</t>
        </r>
      </text>
    </comment>
  </commentList>
</comments>
</file>

<file path=xl/sharedStrings.xml><?xml version="1.0" encoding="utf-8"?>
<sst xmlns="http://schemas.openxmlformats.org/spreadsheetml/2006/main" count="1120" uniqueCount="564">
  <si>
    <t>BIOCOMBUSTIBLES SOSTENIBLES DEL CARIBE S.A.</t>
  </si>
  <si>
    <t>HORAS</t>
  </si>
  <si>
    <t>% TIEMPO</t>
  </si>
  <si>
    <t>TIEMPO DE PROCESO (Horas)</t>
  </si>
  <si>
    <t>PRODUCTO</t>
  </si>
  <si>
    <t>ACUMULADO MES</t>
  </si>
  <si>
    <t>ACUMULADO AÑO</t>
  </si>
  <si>
    <t>TIEMPO DE PARADAS (Horas)</t>
  </si>
  <si>
    <t>GLICERINA</t>
  </si>
  <si>
    <t>BIODIESEL</t>
  </si>
  <si>
    <t>ANÁLISIS</t>
  </si>
  <si>
    <t>NORMA</t>
  </si>
  <si>
    <t>METANOL</t>
  </si>
  <si>
    <t>Densidad (15 ºC)</t>
  </si>
  <si>
    <t>0,86-0,9 g/ml</t>
  </si>
  <si>
    <t>% Triglicéridos</t>
  </si>
  <si>
    <t>Máx 0,2%</t>
  </si>
  <si>
    <t>% Glicerina</t>
  </si>
  <si>
    <t>82-85%</t>
  </si>
  <si>
    <t>METILATO</t>
  </si>
  <si>
    <t>Número ácido</t>
  </si>
  <si>
    <t>max 0,5 mgKOH/g</t>
  </si>
  <si>
    <t>Contenido Metanol</t>
  </si>
  <si>
    <t>&lt;0,2% p/p</t>
  </si>
  <si>
    <t>% Metanol</t>
  </si>
  <si>
    <t>&lt;0,1 % p/p</t>
  </si>
  <si>
    <t>ACEITE CRUDO</t>
  </si>
  <si>
    <t>Viscosidad (40ºC)</t>
  </si>
  <si>
    <t>1,9-6 mm2/s</t>
  </si>
  <si>
    <t>Contenido de Éster</t>
  </si>
  <si>
    <t>&gt; 96,5% p/p</t>
  </si>
  <si>
    <t>% M.O.N.G</t>
  </si>
  <si>
    <t>&lt;1,5%p/p</t>
  </si>
  <si>
    <t>ACEITE RBD</t>
  </si>
  <si>
    <t>Contenido de Agua</t>
  </si>
  <si>
    <t>máx 500mg/kg</t>
  </si>
  <si>
    <t>Punto de Fluidez</t>
  </si>
  <si>
    <t>Reportar</t>
  </si>
  <si>
    <t>% Sales</t>
  </si>
  <si>
    <t>&lt;7% p/p</t>
  </si>
  <si>
    <t>HCL</t>
  </si>
  <si>
    <t>% Monoglicéridos</t>
  </si>
  <si>
    <t>Máx 0,8%</t>
  </si>
  <si>
    <t>Índice de Yodo</t>
  </si>
  <si>
    <t>Máx 120</t>
  </si>
  <si>
    <t>% Agua</t>
  </si>
  <si>
    <t>Por Balance Hasta 100%</t>
  </si>
  <si>
    <t>SODA CÁUSTICA</t>
  </si>
  <si>
    <t>% Diglicéridos</t>
  </si>
  <si>
    <t>Glicerina Total</t>
  </si>
  <si>
    <t>Máx 0,25 %</t>
  </si>
  <si>
    <t>ÁCIDO SULFÚRICO</t>
  </si>
  <si>
    <t>NITRÓGENO</t>
  </si>
  <si>
    <t>VAPOR</t>
  </si>
  <si>
    <t>Elaboró:</t>
  </si>
  <si>
    <t>Firma:</t>
  </si>
  <si>
    <t>ENERGIA ELÉCTRICA</t>
  </si>
  <si>
    <t>MATERIAS PRIMAS CONSUMO Kg/Ton B100</t>
  </si>
  <si>
    <t>PARÁMETRO</t>
  </si>
  <si>
    <t>CPO</t>
  </si>
  <si>
    <t>Compras</t>
  </si>
  <si>
    <t>Recibido</t>
  </si>
  <si>
    <t>Consumo</t>
  </si>
  <si>
    <t>-</t>
  </si>
  <si>
    <t>MES</t>
  </si>
  <si>
    <t>Rendimiento (%)</t>
  </si>
  <si>
    <t>ÁCIDO CÍTRICO</t>
  </si>
  <si>
    <t xml:space="preserve">Contaminación Total </t>
  </si>
  <si>
    <t>Máx 24 ppm</t>
  </si>
  <si>
    <t>B100</t>
  </si>
  <si>
    <t>Producción</t>
  </si>
  <si>
    <t>Ventas</t>
  </si>
  <si>
    <t>Enviado Ref.</t>
  </si>
  <si>
    <t>Ventas Fondos</t>
  </si>
  <si>
    <t>Total</t>
  </si>
  <si>
    <t>% Cenizas</t>
  </si>
  <si>
    <t>Mes</t>
  </si>
  <si>
    <t>Meta</t>
  </si>
  <si>
    <t>Vapor</t>
  </si>
  <si>
    <t>OBSERVACIONES</t>
  </si>
  <si>
    <t>ACEITE CRUDO TK 2</t>
  </si>
  <si>
    <t>Decantación</t>
  </si>
  <si>
    <t>ACEITE CRUDO TK 5</t>
  </si>
  <si>
    <t>ACIDO CITRICO</t>
  </si>
  <si>
    <t>ÁCIDOS GRASOS TEQUENDAMA.*</t>
  </si>
  <si>
    <t>ENERGÍA (MW)</t>
  </si>
  <si>
    <t>DESPACHOS</t>
  </si>
  <si>
    <t>UNIDADES</t>
  </si>
  <si>
    <t>A.GRASOS BIO SC</t>
  </si>
  <si>
    <t>FONDOS BIODIESEL</t>
  </si>
  <si>
    <t>RBD Ctks</t>
  </si>
  <si>
    <t>Glicerina Libre</t>
  </si>
  <si>
    <t>%Monoglicèridos</t>
  </si>
  <si>
    <t>&lt;0,8%</t>
  </si>
  <si>
    <t>% Digliceridos</t>
  </si>
  <si>
    <t>&lt;0,2%</t>
  </si>
  <si>
    <t>% Trigliceridos</t>
  </si>
  <si>
    <t>Cenizas</t>
  </si>
  <si>
    <t>DÍA</t>
  </si>
  <si>
    <t>&lt;13% p/p</t>
  </si>
  <si>
    <t>FONDOS DE CRUDO</t>
  </si>
  <si>
    <t>Mermas Refinación</t>
  </si>
  <si>
    <t>GLICERINA CRUDA</t>
  </si>
  <si>
    <t>ACEITE RBD TK4</t>
  </si>
  <si>
    <t>ACEITE RBD TK23</t>
  </si>
  <si>
    <t>Promedio</t>
  </si>
  <si>
    <t>EFICIENCIA PLANTA</t>
  </si>
  <si>
    <t>Ajuste por diferencias de medición de nivel y temperatura</t>
  </si>
  <si>
    <t>Ajuste</t>
  </si>
  <si>
    <t>INFORME DIARIO DE PRODUCCIÓN BIOSC S.A.</t>
  </si>
  <si>
    <t>CÓDIGO DOCUMENTO:</t>
  </si>
  <si>
    <t xml:space="preserve">DATOS DE PROCESO </t>
  </si>
  <si>
    <t>DÍA (Horas)</t>
  </si>
  <si>
    <t>ACUMULADO MES (Horas)</t>
  </si>
  <si>
    <t>DESCRIPCIÓN PARADAS (Horas)</t>
  </si>
  <si>
    <t>Fecha de informe movimientos</t>
  </si>
  <si>
    <t>Tiempo de Proceso</t>
  </si>
  <si>
    <t>Elaborado por:</t>
  </si>
  <si>
    <t>Ing. Procesos</t>
  </si>
  <si>
    <t>Tiempo de Paradas</t>
  </si>
  <si>
    <t>PRODUCCIÓN (Kg)</t>
  </si>
  <si>
    <t>Falta de insumos</t>
  </si>
  <si>
    <t>Altos inventarios de producto</t>
  </si>
  <si>
    <t>A.G. ESTERIFICACION</t>
  </si>
  <si>
    <t>Mantenimiento programado</t>
  </si>
  <si>
    <t>BALANCE MATERIAS PRIMAS E INSUMOS</t>
  </si>
  <si>
    <t>BALANCE MATERIAS PRODUCTOS</t>
  </si>
  <si>
    <t>Producto</t>
  </si>
  <si>
    <t>Inventario Ayer (kg)</t>
  </si>
  <si>
    <t>Ingreso  (kg)</t>
  </si>
  <si>
    <t>Consumo (kg)</t>
  </si>
  <si>
    <t>Inventario Hoy (kg)</t>
  </si>
  <si>
    <t>TK de almacenamiento</t>
  </si>
  <si>
    <t>Producción (kg)</t>
  </si>
  <si>
    <t>Despachos (kg)</t>
  </si>
  <si>
    <t>Inventarios Hoy (kg)</t>
  </si>
  <si>
    <t>Estado</t>
  </si>
  <si>
    <t>TK6 B100</t>
  </si>
  <si>
    <t>TK7 B100</t>
  </si>
  <si>
    <t>TK8 B100</t>
  </si>
  <si>
    <t>TK9 B100</t>
  </si>
  <si>
    <t>TK23 B100</t>
  </si>
  <si>
    <t>TK10 B100 DIARIO</t>
  </si>
  <si>
    <t>TK11 B100 DIARIO</t>
  </si>
  <si>
    <t>TK12 B100 DIARIO</t>
  </si>
  <si>
    <t>TK13 B100 DIARIO</t>
  </si>
  <si>
    <t>ÁCIDOS GRASOS BIOSC</t>
  </si>
  <si>
    <t>TK14 B100 DIARIO</t>
  </si>
  <si>
    <t>TK15 B100 DIARIO</t>
  </si>
  <si>
    <t>TK22 B100 DIARIO</t>
  </si>
  <si>
    <t>TK24 B100 DIARIO</t>
  </si>
  <si>
    <t>TK16 AGB100</t>
  </si>
  <si>
    <t>TK 3 GLICERINA</t>
  </si>
  <si>
    <t>B100 Total almacenado (Kg)</t>
  </si>
  <si>
    <t>ANÁLISIS DE CALIDAD DEL B100</t>
  </si>
  <si>
    <t>Análisis</t>
  </si>
  <si>
    <t>Especificación</t>
  </si>
  <si>
    <t>Promedio del día</t>
  </si>
  <si>
    <t>Cantidad Despachada (kg)</t>
  </si>
  <si>
    <t>Acumulado Mes (kg)</t>
  </si>
  <si>
    <t>Acumulado Año (kg)</t>
  </si>
  <si>
    <t>BALANCE REFINACIÓN</t>
  </si>
  <si>
    <t>Movimiento día (Kg)</t>
  </si>
  <si>
    <t>Acumulado mes (kg)</t>
  </si>
  <si>
    <t>Crudo enviado</t>
  </si>
  <si>
    <t>A.GRASOS TEQUENDAMA</t>
  </si>
  <si>
    <t>RBD Maquila</t>
  </si>
  <si>
    <t>Compra RBD tubería</t>
  </si>
  <si>
    <t>ANÁLISIS DE CALIDAD DE LA GLICERINA</t>
  </si>
  <si>
    <t>% Glicerol</t>
  </si>
  <si>
    <t>INFORME MENSUAL DEL LABORATORIO</t>
  </si>
  <si>
    <t>CALIDAD 163E3B</t>
  </si>
  <si>
    <t>PARAMETRO</t>
  </si>
  <si>
    <t>REQUISITO</t>
  </si>
  <si>
    <t>SEMANA 1</t>
  </si>
  <si>
    <t>SEMANA 2</t>
  </si>
  <si>
    <t>SEMANA 3</t>
  </si>
  <si>
    <t>SEMANA 4</t>
  </si>
  <si>
    <t>PROMEDIO MENSUAL</t>
  </si>
  <si>
    <t xml:space="preserve">Humedad </t>
  </si>
  <si>
    <t>ppm</t>
  </si>
  <si>
    <t>500 máx.</t>
  </si>
  <si>
    <t>Jabón</t>
  </si>
  <si>
    <t>50 máx.</t>
  </si>
  <si>
    <t>Metanol</t>
  </si>
  <si>
    <t>% en masa</t>
  </si>
  <si>
    <t>0,20% máx.</t>
  </si>
  <si>
    <t>Monogliceridos</t>
  </si>
  <si>
    <t>0,80 máx.</t>
  </si>
  <si>
    <t>Digliceridos</t>
  </si>
  <si>
    <t>0,20 máx.</t>
  </si>
  <si>
    <t>Trigliceridos</t>
  </si>
  <si>
    <t>Glicerina libre</t>
  </si>
  <si>
    <t>0,02 máx.</t>
  </si>
  <si>
    <t>Glicerina total</t>
  </si>
  <si>
    <t>0,25 máx.</t>
  </si>
  <si>
    <t>Número de ácido</t>
  </si>
  <si>
    <t>mg de KOH/g</t>
  </si>
  <si>
    <t>0,5 máx.</t>
  </si>
  <si>
    <t>Contenido de FAME</t>
  </si>
  <si>
    <t>96,50 mín.</t>
  </si>
  <si>
    <t>166P9</t>
  </si>
  <si>
    <t>%</t>
  </si>
  <si>
    <t>7% - 13%</t>
  </si>
  <si>
    <t>Glicerol</t>
  </si>
  <si>
    <t>*</t>
  </si>
  <si>
    <t>MATERIA PRIMA</t>
  </si>
  <si>
    <t>Acidez</t>
  </si>
  <si>
    <t>3,20 máx.</t>
  </si>
  <si>
    <t>RBD</t>
  </si>
  <si>
    <t>1000 máx.</t>
  </si>
  <si>
    <t>0,10 máx.</t>
  </si>
  <si>
    <t>CPO/TEQUENDAMA (Tk 5 o Tk2)</t>
  </si>
  <si>
    <t>RBD/TEQUENDAMA (RBD en Linea)</t>
  </si>
  <si>
    <t>HCl</t>
  </si>
  <si>
    <t>Concentración</t>
  </si>
  <si>
    <t>NaOH</t>
  </si>
  <si>
    <t>Densidad a 15 ºC.</t>
  </si>
  <si>
    <t>860 – 900</t>
  </si>
  <si>
    <t>Gravedad API a 60°F</t>
  </si>
  <si>
    <t>°API</t>
  </si>
  <si>
    <t xml:space="preserve">Humedad Karl Fischer </t>
  </si>
  <si>
    <t>Numero Acido</t>
  </si>
  <si>
    <t>mg KOH /g</t>
  </si>
  <si>
    <t>ºC</t>
  </si>
  <si>
    <t>0,8 máx.</t>
  </si>
  <si>
    <t>Diglicéridos</t>
  </si>
  <si>
    <t>0,2 máx.</t>
  </si>
  <si>
    <t>Contenido de Metanol / Etanol</t>
  </si>
  <si>
    <t>Viscosidad a 40 ºC.</t>
  </si>
  <si>
    <t>1,9 - 6,0</t>
  </si>
  <si>
    <t xml:space="preserve">Destilación </t>
  </si>
  <si>
    <t>°C</t>
  </si>
  <si>
    <t>360 máx.</t>
  </si>
  <si>
    <t>Contaminación total</t>
  </si>
  <si>
    <t>mg/kg</t>
  </si>
  <si>
    <t>24 máx.</t>
  </si>
  <si>
    <t>g de Iodo / 100 g</t>
  </si>
  <si>
    <t>120 máx.</t>
  </si>
  <si>
    <t>DISPONIBILIDAD DE EQUIPOS</t>
  </si>
  <si>
    <t>HDisp/HSem</t>
  </si>
  <si>
    <t>HDisp/HMes</t>
  </si>
  <si>
    <t>EL-AC-01-Analizador de datos de cromatografia de Glicerina libre y total</t>
  </si>
  <si>
    <t>EL-AC-02-Analizador de datos de cromatografia de FAMES y metanol</t>
  </si>
  <si>
    <t>EL-AC-03-Cromatógrafo de gases 7890A</t>
  </si>
  <si>
    <t>EL-AC-05-Cromatógrafo de gases 7890A-Headspace 7694E</t>
  </si>
  <si>
    <t>EL-AC-07-Analizador de datos de cromatografia de Glicerina libre y total, FAMES y metanol</t>
  </si>
  <si>
    <t>EL-AC-08-Cromatógrafo de gases 7890A-Headspace 7694E</t>
  </si>
  <si>
    <t>EL-AFQ-01-Titulador Karl Fischer</t>
  </si>
  <si>
    <t>EL-AFQ-02-Balanza Analítica</t>
  </si>
  <si>
    <t>EL-AFQ-03-Balanza precisión</t>
  </si>
  <si>
    <t>EL-AFQ-04-Densímetro</t>
  </si>
  <si>
    <t>EL-AFQ-05-Baño de enfriamiento</t>
  </si>
  <si>
    <t>EL-AFQ-06-Titulador automático</t>
  </si>
  <si>
    <t xml:space="preserve">EL-AFQ-07-Analizador de datos de destilación y viscosidad </t>
  </si>
  <si>
    <t>EL-AFQ-08-Destilador</t>
  </si>
  <si>
    <t>EL-AFQ-09-Viscosímetro</t>
  </si>
  <si>
    <t>EL-AFQ-10-Horno convección</t>
  </si>
  <si>
    <t>EL-AFQ-12-Bomba para vacio por unidad</t>
  </si>
  <si>
    <t>EL-AFQ-19-Baño de Maria</t>
  </si>
  <si>
    <t>INFORME  MENSUAL DE OPERACIONES</t>
  </si>
  <si>
    <t>ÁCIDOS GRASOS ESTERIFICADOS</t>
  </si>
  <si>
    <t>PRO-FO-015</t>
  </si>
  <si>
    <t>Fecha de edición: 14-01-13</t>
  </si>
  <si>
    <t>Versión: 04</t>
  </si>
  <si>
    <t>Mecánicas</t>
  </si>
  <si>
    <t>Operativas</t>
  </si>
  <si>
    <t>ACUMULADO ANUAL</t>
  </si>
  <si>
    <t>Instrumentos-Eléctricas internas</t>
  </si>
  <si>
    <t>Eléctricas externas</t>
  </si>
  <si>
    <t>Fallas/mtto calderas</t>
  </si>
  <si>
    <t>Bajos inventarios RBD</t>
  </si>
  <si>
    <t>Oleina de palma Ctks</t>
  </si>
  <si>
    <t>máx. 0,1%</t>
  </si>
  <si>
    <t>min. 80 %</t>
  </si>
  <si>
    <t>OLEINA</t>
  </si>
  <si>
    <t>32 min.</t>
  </si>
  <si>
    <t>48,5 min.</t>
  </si>
  <si>
    <t>95,98 min.</t>
  </si>
  <si>
    <t>CERTIFICACION DE B100</t>
  </si>
  <si>
    <r>
      <t>kg/m</t>
    </r>
    <r>
      <rPr>
        <vertAlign val="superscript"/>
        <sz val="8"/>
        <color indexed="8"/>
        <rFont val="Arial"/>
        <family val="2"/>
      </rPr>
      <t>3</t>
    </r>
  </si>
  <si>
    <r>
      <t>mm</t>
    </r>
    <r>
      <rPr>
        <vertAlign val="superscript"/>
        <sz val="8"/>
        <color indexed="8"/>
        <rFont val="Arial"/>
        <family val="2"/>
      </rPr>
      <t>2</t>
    </r>
    <r>
      <rPr>
        <sz val="8"/>
        <color indexed="8"/>
        <rFont val="Arial"/>
        <family val="2"/>
      </rPr>
      <t>/s</t>
    </r>
  </si>
  <si>
    <t>EQUIPO</t>
  </si>
  <si>
    <t>RBD pendiente correspondiente a maquila de Febrero</t>
  </si>
  <si>
    <t>Despachos</t>
  </si>
  <si>
    <t>RBD pendiente correspondiente a maquila de Marzo</t>
  </si>
  <si>
    <t>2 horas de parada en general debido a reparacion de fuga excesiva en bomba 163P8 y cambio en válvula de succion de la misma</t>
  </si>
  <si>
    <t>8 horas de parada operativa en general para desmontaje y limpieza de demister columna de glicerina</t>
  </si>
  <si>
    <t>18,5 horas de parada operativa en general para desmontaje y limpieza de demister columna de glicerina</t>
  </si>
  <si>
    <t>1,17 horas de parada por falla en fluido electrico</t>
  </si>
  <si>
    <t>3 horas de parada en total, 2 hrs por falla en fluido electrico y 1 hr por falta de vapor</t>
  </si>
  <si>
    <t>1,5 horas de parada total. 1 hora por falla en suministro de vapor y 0,5 horas por falla en fluido eléctrico.</t>
  </si>
  <si>
    <t>6 horas de parada general por lavado de la columna de glicerina.</t>
  </si>
  <si>
    <t xml:space="preserve">18 horas de parada por lavado de la columna de glicerina y 4 horas debido a fuga por empaque en intercambiador 166E1 (glicerina-vapor). </t>
  </si>
  <si>
    <t xml:space="preserve"> 2,5 horas de parada debido a obstrucción en Tk agua caliente y 0,5 horas debido a fuga por empaque en intercambiador 166E1 (glicerina-vapor). </t>
  </si>
  <si>
    <t>6,66 horas de parada debido a fuga por empaques del 166E1.</t>
  </si>
  <si>
    <t>Informe No. 03-2013</t>
  </si>
  <si>
    <t>Fecha: 28/02/2013-28/03/2013</t>
  </si>
  <si>
    <r>
      <t>H</t>
    </r>
    <r>
      <rPr>
        <b/>
        <sz val="8"/>
        <color indexed="8"/>
        <rFont val="Arial"/>
        <family val="2"/>
      </rPr>
      <t>2</t>
    </r>
    <r>
      <rPr>
        <b/>
        <sz val="10"/>
        <color indexed="8"/>
        <rFont val="Arial"/>
        <family val="2"/>
      </rPr>
      <t>SO</t>
    </r>
    <r>
      <rPr>
        <b/>
        <sz val="8"/>
        <color indexed="8"/>
        <rFont val="Arial"/>
        <family val="2"/>
      </rPr>
      <t>4</t>
    </r>
  </si>
  <si>
    <t>SEMANA 1: 28/02/2013-07/03/2013</t>
  </si>
  <si>
    <t>SEMANA 2: 08/03/2013-14/03/2013</t>
  </si>
  <si>
    <t>SEMANA 3: 15/03/2013-21/03/2013</t>
  </si>
  <si>
    <t>SEMANA 4: 22/03/2013-28/03/2013</t>
  </si>
  <si>
    <t xml:space="preserve">Johan Reyes Barajas </t>
  </si>
  <si>
    <t>Director Técnico del Laboratorio</t>
  </si>
  <si>
    <t>&gt;80%</t>
  </si>
  <si>
    <t>Energia</t>
  </si>
  <si>
    <t>Promedio ult 12 meses</t>
  </si>
  <si>
    <t>Periodo de generacion</t>
  </si>
  <si>
    <t>Enero</t>
  </si>
  <si>
    <t>Totales</t>
  </si>
  <si>
    <t>Horas de Generacion</t>
  </si>
  <si>
    <t>Aguas
Residuales</t>
  </si>
  <si>
    <t>Salidas</t>
  </si>
  <si>
    <t>Numero de viajes</t>
  </si>
  <si>
    <t>2,0 - 4,5</t>
  </si>
  <si>
    <r>
      <t xml:space="preserve">Energia Generada </t>
    </r>
    <r>
      <rPr>
        <b/>
        <sz val="11"/>
        <color theme="1"/>
        <rFont val="Calibri"/>
        <family val="2"/>
      </rPr>
      <t>[Kw.h/mes</t>
    </r>
    <r>
      <rPr>
        <b/>
        <sz val="11"/>
        <color theme="1"/>
        <rFont val="Calibri"/>
        <family val="2"/>
        <scheme val="minor"/>
      </rPr>
      <t xml:space="preserve"> </t>
    </r>
    <r>
      <rPr>
        <b/>
        <sz val="11"/>
        <color theme="1"/>
        <rFont val="Calibri"/>
        <family val="2"/>
      </rPr>
      <t>]</t>
    </r>
  </si>
  <si>
    <t>Energia comprada [Kw.h/mes ]</t>
  </si>
  <si>
    <t>Total Energia
[Kw.h/mes ]</t>
  </si>
  <si>
    <t>Generacion real de energia por m3 Gas [Kw.h/m3]</t>
  </si>
  <si>
    <t xml:space="preserve">% Utilizacion
[Kw.h/750Kw]
</t>
  </si>
  <si>
    <t>Cantidad por ingresar de refinación Teq + CES</t>
  </si>
  <si>
    <t>Consumo Planta 1</t>
  </si>
  <si>
    <t>Consumo Planta 2</t>
  </si>
  <si>
    <t>Producción Planta 2</t>
  </si>
  <si>
    <t>Producción Planta 1</t>
  </si>
  <si>
    <t>Producción TEQ + CES</t>
  </si>
  <si>
    <t>PRODUCCION</t>
  </si>
  <si>
    <t>PRODUCCIÓN PLANTA 1 (kg)</t>
  </si>
  <si>
    <t>PRODUCCIÓN PLANTA 2 (kg)</t>
  </si>
  <si>
    <t>Mermas (%)</t>
  </si>
  <si>
    <t>Glicerina Cruda
 Enviada (kg)</t>
  </si>
  <si>
    <t>Glicerina USP
Generada (kg)</t>
  </si>
  <si>
    <t>Ingresos</t>
  </si>
  <si>
    <t>Glicerina
 USP</t>
  </si>
  <si>
    <t>Cantidad por ingresar de refinación CES</t>
  </si>
  <si>
    <t>Enviado a refinacion</t>
  </si>
  <si>
    <t>975-1020</t>
  </si>
  <si>
    <t>17,5 - 18,5</t>
  </si>
  <si>
    <t>Consumo Planta 3</t>
  </si>
  <si>
    <t>ACEITE SINTETICO</t>
  </si>
  <si>
    <t>Ton</t>
  </si>
  <si>
    <t>Unidades</t>
  </si>
  <si>
    <t>Glicerina Cruda</t>
  </si>
  <si>
    <t>ITEM</t>
  </si>
  <si>
    <t>Consumo Planta 1 - Esterificacion Acida</t>
  </si>
  <si>
    <t>Aceite Crudo</t>
  </si>
  <si>
    <t>Aceite RBD</t>
  </si>
  <si>
    <t>Metilato de Sodio</t>
  </si>
  <si>
    <t>Soda Caústica</t>
  </si>
  <si>
    <t>Aceite Sintético</t>
  </si>
  <si>
    <t>INDICADORES DE CONSUMO - PLANTA 2</t>
  </si>
  <si>
    <t>INDICADORES DE CONSUMO - PLANTA 3</t>
  </si>
  <si>
    <t>INDICADORES DE CONSUMO - SERVICIOS A LA PRODUCCION</t>
  </si>
  <si>
    <t>Meta 
(kg/Ton B100)</t>
  </si>
  <si>
    <t>Meta 
(kg/Ton AS)</t>
  </si>
  <si>
    <t>Acidos Grasos 
B100</t>
  </si>
  <si>
    <t>Biodiesel</t>
  </si>
  <si>
    <t>Ácido Sulfúrico</t>
  </si>
  <si>
    <t>Nitrógeno</t>
  </si>
  <si>
    <t>Ácido Cítrico</t>
  </si>
  <si>
    <t>Soda Cáustica</t>
  </si>
  <si>
    <t>Ácido Clorhídrico</t>
  </si>
  <si>
    <t>Aceite
 RBD</t>
  </si>
  <si>
    <t>Descripcion</t>
  </si>
  <si>
    <t>Material</t>
  </si>
  <si>
    <t>Consumo Total</t>
  </si>
  <si>
    <t>Inventario Fisico Inicial</t>
  </si>
  <si>
    <t>Inventario Fisico Final</t>
  </si>
  <si>
    <t>Inventario Inicial</t>
  </si>
  <si>
    <t>Inventario Final</t>
  </si>
  <si>
    <t>Inventario Inicial Biosc + TEQ + CES</t>
  </si>
  <si>
    <t>Inventario Final Biosc + TEQ + CES</t>
  </si>
  <si>
    <t>Gas Natural</t>
  </si>
  <si>
    <t>Gas
Natural</t>
  </si>
  <si>
    <t>Consumo Calderin - Planta 3</t>
  </si>
  <si>
    <t>Ácidos Grasos</t>
  </si>
  <si>
    <t>Energía</t>
  </si>
  <si>
    <t>Consumo Generador de vapor Clayton</t>
  </si>
  <si>
    <t>Energía Eléctrica</t>
  </si>
  <si>
    <t>MATERIAL</t>
  </si>
  <si>
    <t>Aguas Residuales</t>
  </si>
  <si>
    <t>SERVICIO</t>
  </si>
  <si>
    <t>Mermas  (kg)</t>
  </si>
  <si>
    <t>Aceite RBD Generado (kg)</t>
  </si>
  <si>
    <t>Total Aceite RBD Compra</t>
  </si>
  <si>
    <t>Oleina de Palma</t>
  </si>
  <si>
    <t>Aceite de Soya RBD</t>
  </si>
  <si>
    <t>Aceite RBD
Palmeras de la Costa</t>
  </si>
  <si>
    <t>Aceite RBD
Silicar</t>
  </si>
  <si>
    <t>Aceite RBD
Gracetales</t>
  </si>
  <si>
    <t>Aceite RBD
Famar</t>
  </si>
  <si>
    <t>Aceite RBD
Team</t>
  </si>
  <si>
    <t>Aceite RBD
Gradesa</t>
  </si>
  <si>
    <t>Aceite Crudo 
Enviado (kg)</t>
  </si>
  <si>
    <t>Merma (%)</t>
  </si>
  <si>
    <t>Aceite RBD TEQ + CES (Tuberia compra)</t>
  </si>
  <si>
    <t>Acidos Grasos 
Generado (kg)</t>
  </si>
  <si>
    <t>Mermas (kg)</t>
  </si>
  <si>
    <t>Eléctricas internas</t>
  </si>
  <si>
    <t>Bajos inventarios - Aceite RBD</t>
  </si>
  <si>
    <t>Altos inventarios - Biodiesel</t>
  </si>
  <si>
    <t>Vacaciones colectivas</t>
  </si>
  <si>
    <t>Horas de operación mes</t>
  </si>
  <si>
    <t>Disponibilidad planta por mantenimiento</t>
  </si>
  <si>
    <t>Paradas por mantenimiento correctivo</t>
  </si>
  <si>
    <t>Reproceso</t>
  </si>
  <si>
    <t>Disponibilidad total de la planta</t>
  </si>
  <si>
    <t>Arranque/Parada-Post/Pre
Matenimiento programado</t>
  </si>
  <si>
    <t>Cumplimiento actividades de mantenimiento preventivo</t>
  </si>
  <si>
    <t>Fallas/mantenimiento calderas</t>
  </si>
  <si>
    <t>Disponibilidad de Planta Transesterificación (%)</t>
  </si>
  <si>
    <t>Disponibilidad de Planta Esterificación (%)</t>
  </si>
  <si>
    <t>Paradas por Mantenimiento Correctivo (%)</t>
  </si>
  <si>
    <t>Reproceso (%)</t>
  </si>
  <si>
    <t>Cumplimiento Mantenimiento Preventivo (%)</t>
  </si>
  <si>
    <t>INDICADOR</t>
  </si>
  <si>
    <t>PRODUCCIÓN PLANTA 3 (kg)</t>
  </si>
  <si>
    <t>PARADAS PLANTA 1</t>
  </si>
  <si>
    <t xml:space="preserve">Acidos Grasos 
</t>
  </si>
  <si>
    <t>Consumo de planta 1 (kWh)</t>
  </si>
  <si>
    <t>Consumo de planta 3 (kWh)</t>
  </si>
  <si>
    <t>Consumo Generador de energia shendong</t>
  </si>
  <si>
    <t>% Humedad</t>
  </si>
  <si>
    <t>% Acidez</t>
  </si>
  <si>
    <t>&lt; 1 %p/p</t>
  </si>
  <si>
    <t>&lt; 500 ppm</t>
  </si>
  <si>
    <t>Consumo de planta 2 (kWh)</t>
  </si>
  <si>
    <t>Producción Biodiesel - Planta 1</t>
  </si>
  <si>
    <t>Produccion Biodiesel - Planta 2</t>
  </si>
  <si>
    <t>Producción Glicerina Cruda - Planta 1</t>
  </si>
  <si>
    <t>Producción AGB 100 - Planta 1</t>
  </si>
  <si>
    <t>Producción Glicerina Cruda - Planta 2</t>
  </si>
  <si>
    <t>Produccion Aceite Sintético - Planta 3</t>
  </si>
  <si>
    <t>INDICADORES - PLANTA 1</t>
  </si>
  <si>
    <t>Acidos Grasos B100</t>
  </si>
  <si>
    <t>Total AGR+AGB+Glicerina destilada</t>
  </si>
  <si>
    <t>Glicerina Destilada</t>
  </si>
  <si>
    <t>Ácidos Grasos - Esterificados - Planta 1</t>
  </si>
  <si>
    <t>Produccion Planta 2</t>
  </si>
  <si>
    <r>
      <t xml:space="preserve">Consumo de gas generador </t>
    </r>
    <r>
      <rPr>
        <b/>
        <sz val="11"/>
        <color theme="1"/>
        <rFont val="Calibri"/>
        <family val="2"/>
      </rPr>
      <t>[m3/mes]</t>
    </r>
  </si>
  <si>
    <t>% Mezcla Aceite Sintético - Aceite RBD</t>
  </si>
  <si>
    <t>% Mezcla Aceite Sintético - B100</t>
  </si>
  <si>
    <t>Indicador materia grasa global actual</t>
  </si>
  <si>
    <t>Planta 1 
Kwh/Ton B100</t>
  </si>
  <si>
    <t>Traspaso de AS a Tks RBD</t>
  </si>
  <si>
    <t>Producción P1 + P2</t>
  </si>
  <si>
    <t>Consumo P1 + P2</t>
  </si>
  <si>
    <t>Produccion P3</t>
  </si>
  <si>
    <t>Consumo Total P1 (AS consumo linea + consumoTKs )</t>
  </si>
  <si>
    <t>Ajustes</t>
  </si>
  <si>
    <t>Febrero</t>
  </si>
  <si>
    <t>Cantidad Gr Be recuprada mes como Gr final</t>
  </si>
  <si>
    <t>Gr cruda</t>
  </si>
  <si>
    <t>Cantidad Gr cruda Neta mes (diapositiva)</t>
  </si>
  <si>
    <t>Marzo</t>
  </si>
  <si>
    <t>Compras ctks + compra linea + maquila</t>
  </si>
  <si>
    <t>Abril</t>
  </si>
  <si>
    <t>Ahorro Metilato de Sodio</t>
  </si>
  <si>
    <t>Produccion Biodiesel - Acumulada</t>
  </si>
  <si>
    <t>Promedio 
ult 12 meses</t>
  </si>
  <si>
    <t>Avance Cumplimiento Produccion B-100</t>
  </si>
  <si>
    <r>
      <t xml:space="preserve">Energia Generada </t>
    </r>
    <r>
      <rPr>
        <b/>
        <sz val="11"/>
        <color theme="1"/>
        <rFont val="Calibri"/>
        <family val="2"/>
      </rPr>
      <t>[%</t>
    </r>
    <r>
      <rPr>
        <b/>
        <sz val="11"/>
        <color theme="1"/>
        <rFont val="Calibri"/>
        <family val="2"/>
      </rPr>
      <t>]</t>
    </r>
  </si>
  <si>
    <t>Mayo</t>
  </si>
  <si>
    <t>Junio</t>
  </si>
  <si>
    <t>Humberto Pedroza</t>
  </si>
  <si>
    <t>Julio</t>
  </si>
  <si>
    <t>Agosto</t>
  </si>
  <si>
    <t>Septiembre</t>
  </si>
  <si>
    <t>Octubre</t>
  </si>
  <si>
    <t>Noviembre</t>
  </si>
  <si>
    <t>Diciembre</t>
  </si>
  <si>
    <t>Proceso post-lavado B100</t>
  </si>
  <si>
    <t>Lavado de reboilers / Drenaje de Planta</t>
  </si>
  <si>
    <t>Eventos naturales (emergencias) / Pruebas y  Ensayos de Planta</t>
  </si>
  <si>
    <t>PARADAS PLANTA 3</t>
  </si>
  <si>
    <t>Arranque/parada-post/pre mantenimiento programado</t>
  </si>
  <si>
    <t>Operativas programada</t>
  </si>
  <si>
    <t>Falla de instrumentos</t>
  </si>
  <si>
    <t>Fallas/mtto calderin</t>
  </si>
  <si>
    <t>Altos inventarios de Aceite Sintetico</t>
  </si>
  <si>
    <t>Eventos naturales y emergencias</t>
  </si>
  <si>
    <t>PROCESO B100 P1</t>
  </si>
  <si>
    <t>Altos Inventarios De B100</t>
  </si>
  <si>
    <t>Falta De Insumos</t>
  </si>
  <si>
    <t>Lavado De Reboilers/Drenaje Planta</t>
  </si>
  <si>
    <t>Proceso Post - Lavado B100</t>
  </si>
  <si>
    <t>Eventos Naturales / Ensayos Y Pruebas De Planta</t>
  </si>
  <si>
    <t>Vacaciones Colectivas</t>
  </si>
  <si>
    <t>Bajos Inventarios RBD</t>
  </si>
  <si>
    <t>PARADAS P1 (Horas)</t>
  </si>
  <si>
    <t>Disponibilidad de Planta Esterificación</t>
  </si>
  <si>
    <t>Paradas por Mantenimiento Correctivo</t>
  </si>
  <si>
    <t>Cumplimiento Mantenimiento Preventivo</t>
  </si>
  <si>
    <t>Producción AS Ton /Hora</t>
  </si>
  <si>
    <t>140 - 145</t>
  </si>
  <si>
    <t>Total horas del mes</t>
  </si>
  <si>
    <t>Total horas operativas de planta</t>
  </si>
  <si>
    <t>Total horas de parada de planta</t>
  </si>
  <si>
    <t>Flujo promedio mensual prod. B100 (kg/hr)</t>
  </si>
  <si>
    <t>Flujo promedio mensual prod. AS (kg/hr)</t>
  </si>
  <si>
    <t>PROCESO AS P3</t>
  </si>
  <si>
    <t>Otros movimientos</t>
  </si>
  <si>
    <t>Rendimiento/ Throughput (kg B100/Ton MG)</t>
  </si>
  <si>
    <t>Proceso Productivo</t>
  </si>
  <si>
    <t>Comentarios</t>
  </si>
  <si>
    <t>15 kg/ton B100</t>
  </si>
  <si>
    <t>0,85 kg/ton B100</t>
  </si>
  <si>
    <t>385 kg/Ton
para la planta P-1</t>
  </si>
  <si>
    <t>PROCESO B100 P2</t>
  </si>
  <si>
    <t>PARADAS PLANTA 2</t>
  </si>
  <si>
    <t>Altos inventarios de B100</t>
  </si>
  <si>
    <t>Producción B100 Ton/Hora</t>
  </si>
  <si>
    <t>PARADAS P2 (Horas)</t>
  </si>
  <si>
    <t>Consumo P1</t>
  </si>
  <si>
    <t>Consumo P2</t>
  </si>
  <si>
    <t>Glicerina global</t>
  </si>
  <si>
    <t>Acidos Grasos B100 global</t>
  </si>
  <si>
    <t>47 kWh/Ton
para la planta P-1</t>
  </si>
  <si>
    <t>24,00 - 25,00</t>
  </si>
  <si>
    <t>925 - 960</t>
  </si>
  <si>
    <t xml:space="preserve">925 -960 kg RBD/Ton B100 </t>
  </si>
  <si>
    <t>24,0 - 25,0 kg/Ton B100</t>
  </si>
  <si>
    <t>Energía Eléctrica (Global)</t>
  </si>
  <si>
    <t>Año 2019</t>
  </si>
  <si>
    <t>Últimos 12 meses</t>
  </si>
  <si>
    <t>Consumo AS - Planta 1</t>
  </si>
  <si>
    <t>PARADAS P3 (Horas)</t>
  </si>
  <si>
    <t>Consumo otros procesos</t>
  </si>
  <si>
    <t>Programada No Operativa</t>
  </si>
  <si>
    <t>60 %</t>
  </si>
  <si>
    <t>Salida fondos crudo</t>
  </si>
  <si>
    <t>Salida fondos</t>
  </si>
  <si>
    <t>Fecha: 25/09/2020</t>
  </si>
  <si>
    <t>Versión: 03</t>
  </si>
  <si>
    <t>Página 1 de 14</t>
  </si>
  <si>
    <t>Página 2 de 14</t>
  </si>
  <si>
    <t>Página 3 de 14</t>
  </si>
  <si>
    <t>Página 4 de 14</t>
  </si>
  <si>
    <t>Página 5 de 14</t>
  </si>
  <si>
    <t>Página 6 de 14</t>
  </si>
  <si>
    <t>Página 7 de 14</t>
  </si>
  <si>
    <t>Página 8 de 14</t>
  </si>
  <si>
    <t>Página 9 de 14</t>
  </si>
  <si>
    <t>Página 10 de 14</t>
  </si>
  <si>
    <t>Página 11 de 14</t>
  </si>
  <si>
    <t>Página 12 de 14</t>
  </si>
  <si>
    <t>Página 13 de 14</t>
  </si>
  <si>
    <t>Página 14 de 14</t>
  </si>
  <si>
    <r>
      <t xml:space="preserve">Energia Generada 2020 </t>
    </r>
    <r>
      <rPr>
        <b/>
        <sz val="11"/>
        <color theme="1"/>
        <rFont val="Calibri"/>
        <family val="2"/>
      </rPr>
      <t>[%]</t>
    </r>
  </si>
  <si>
    <t>Código: PRO-FR-025</t>
  </si>
  <si>
    <t>100 - 103</t>
  </si>
  <si>
    <t>100 - 103 kg/Ton B100</t>
  </si>
  <si>
    <t>La generación de energía eléctrica fue del 68,34%</t>
  </si>
  <si>
    <t>9200</t>
  </si>
  <si>
    <t>En el mes alcanzamos una producción total en P1 de 8361,012 tons y en P2 de 662,715 tons de B100 de las 9200 tons del programa de producción.</t>
  </si>
  <si>
    <t>El consumo específico de ácido clorhídrico en P1 disminuyó un poco pasando de 13,4 kg/ton B100 en el mes de marzo versus 13,3 kg/ton B100 en el mes de abril, lográndose el cumplimiento de la meta establecida para este indicador.</t>
  </si>
  <si>
    <t xml:space="preserve">El consumo específico de RBD en P1 aumentó al pasar de 944,30 kg/ton B100 en marzo a 970,28 kg/ton B100 en abril, debido a que se utilizó una menor dosificación de AS de 48,24 kg AS/ton B100 versus 88,9 kg AS / ton B100 del mes anterior, manteniendo la calidad del producto final dentro de especificaciones. </t>
  </si>
  <si>
    <t>El consumo específico de metanol en P1, aumento respecto del mes anterior al pasar de 102,87 kg/ton B100 en marzo a 105,81 kg/ton B100 en de abril, estando fuera de la meta establecida para este indicador. Este consumo se vio afectado por la entrada en operacion de forma simultanea de la planta 2 la cual genera ineficiencia en la unidad de rectificacion de metanol y secado de glicerina generando perdidas en este insumo.</t>
  </si>
  <si>
    <r>
      <t xml:space="preserve">El consumo específico de metilato en P1, disminuyó un poco al pasar de 21,74 kg/ton B100 en marzo a 21,45 kg/ton B100 en abril debido a una menor dosificación a la reacción, dándose un ahorro del 14,2% respecto a la línea base manteniendo la </t>
    </r>
    <r>
      <rPr>
        <sz val="12"/>
        <rFont val="Arial Narrow"/>
        <family val="2"/>
      </rPr>
      <t>calidad en el B100 final.</t>
    </r>
  </si>
  <si>
    <t>El consumo específico de ácido cítrico en P1 disminuyó pasando de 1,47 kg/ton B100 en marzo versus 1,03 kg/ton B100 del mes de abril, estando aun por encima del cumplimiento de la meta establecida para este indicador. Este mayor consumo es el reflejo del aumento en la dosificacion del insumo usado en la unidad de lavado final de biodiesel para mantener los parametros de contaminacion total.</t>
  </si>
  <si>
    <t>El consumo específico de vapor en plantas aumentó pasando de 347,10 kg/ton B100 en marzo a 396,40 kg/ton B100 en abril debido a la entrada en operación de la planta 2 cumpliendo con la meta mensual para este indicador.</t>
  </si>
  <si>
    <t>El consumo especifico de energía en P1 disminuyó, pasando de 42,74 kWh/ton en marzo a 40,98 kWh /ton en abril, encontrándose dentro de la meta establecida.</t>
  </si>
  <si>
    <t>El consumo total de energía en el mes fue de 377,901 Kwh, de los cuales el 66,87 % (252.702 Kwh) fueron por autogeneración con 688 hrs de operación en el 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</si>
</sst>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3" formatCode="_-* #,##0.00_-;\-* #,##0.00_-;_-* &quot;-&quot;??_-;_-@_-"/>
    <numFmt numFmtId="164" formatCode="_(&quot;$&quot;\ * #,##0.00_);_(&quot;$&quot;\ * \(#,##0.00\);_(&quot;$&quot;\ * &quot;-&quot;??_);_(@_)"/>
    <numFmt numFmtId="165" formatCode="_(* #,##0.00_);_(* \(#,##0.00\);_(* &quot;-&quot;??_);_(@_)"/>
    <numFmt numFmtId="166" formatCode="0.0"/>
    <numFmt numFmtId="167" formatCode="0.000"/>
    <numFmt numFmtId="168" formatCode="_-* #,##0\ _€_-;\-* #,##0\ _€_-;_-* &quot;-&quot;??\ _€_-;_-@_-"/>
    <numFmt numFmtId="169" formatCode="_-* #,##0.00\ _€_-;\-* #,##0.00\ _€_-;_-* &quot;-&quot;??\ _€_-;_-@_-"/>
    <numFmt numFmtId="170" formatCode="0.000000"/>
    <numFmt numFmtId="171" formatCode="0.0000"/>
    <numFmt numFmtId="172" formatCode="0.0%"/>
    <numFmt numFmtId="173" formatCode="_-* #,##0.000\ _€_-;\-* #,##0.000\ _€_-;_-* &quot;-&quot;??\ _€_-;_-@_-"/>
    <numFmt numFmtId="174" formatCode="#,##0.000"/>
    <numFmt numFmtId="175" formatCode="[$-F400]h:mm:ss\ AM/PM"/>
    <numFmt numFmtId="176" formatCode="#,##0.00000"/>
    <numFmt numFmtId="177" formatCode="_(* #,##0_);_(* \(#,##0\);_(* &quot;-&quot;??_);_(@_)"/>
    <numFmt numFmtId="178" formatCode="0.000%"/>
  </numFmts>
  <fonts count="61" x14ac:knownFonts="1">
    <font>
      <sz val="11"/>
      <color theme="1"/>
      <name val="Calibri"/>
      <family val="2"/>
      <scheme val="minor"/>
    </font>
    <font>
      <sz val="11"/>
      <color indexed="8"/>
      <name val="Calibri"/>
      <family val="2"/>
    </font>
    <font>
      <sz val="9"/>
      <color indexed="81"/>
      <name val="Tahoma"/>
      <family val="2"/>
    </font>
    <font>
      <b/>
      <sz val="9"/>
      <color indexed="81"/>
      <name val="Tahoma"/>
      <family val="2"/>
    </font>
    <font>
      <sz val="8"/>
      <color indexed="8"/>
      <name val="Arial"/>
      <family val="2"/>
    </font>
    <font>
      <b/>
      <sz val="8"/>
      <color indexed="8"/>
      <name val="Arial"/>
      <family val="2"/>
    </font>
    <font>
      <b/>
      <sz val="9"/>
      <color indexed="8"/>
      <name val="Arial"/>
      <family val="2"/>
    </font>
    <font>
      <sz val="10"/>
      <color indexed="8"/>
      <name val="Arial"/>
      <family val="2"/>
    </font>
    <font>
      <b/>
      <sz val="10"/>
      <color indexed="8"/>
      <name val="Arial"/>
      <family val="2"/>
    </font>
    <font>
      <b/>
      <i/>
      <sz val="8"/>
      <color indexed="8"/>
      <name val="Arial"/>
      <family val="2"/>
    </font>
    <font>
      <b/>
      <sz val="12"/>
      <color indexed="8"/>
      <name val="Tahoma"/>
      <family val="2"/>
    </font>
    <font>
      <b/>
      <sz val="12"/>
      <color indexed="8"/>
      <name val="Arial"/>
      <family val="2"/>
    </font>
    <font>
      <sz val="9"/>
      <color indexed="8"/>
      <name val="Arial"/>
      <family val="2"/>
    </font>
    <font>
      <sz val="10"/>
      <color indexed="8"/>
      <name val="Calibri"/>
      <family val="2"/>
    </font>
    <font>
      <b/>
      <sz val="10"/>
      <color indexed="8"/>
      <name val="Calibri"/>
      <family val="2"/>
    </font>
    <font>
      <vertAlign val="superscript"/>
      <sz val="8"/>
      <color indexed="8"/>
      <name val="Arial"/>
      <family val="2"/>
    </font>
    <font>
      <sz val="11"/>
      <color theme="1"/>
      <name val="Calibri"/>
      <family val="2"/>
      <scheme val="minor"/>
    </font>
    <font>
      <b/>
      <sz val="11"/>
      <color theme="1"/>
      <name val="Calibri"/>
      <family val="2"/>
      <scheme val="minor"/>
    </font>
    <font>
      <sz val="11"/>
      <color theme="1"/>
      <name val="Arial Narrow"/>
      <family val="2"/>
    </font>
    <font>
      <b/>
      <sz val="10"/>
      <color theme="1"/>
      <name val="Arial Narrow"/>
      <family val="2"/>
    </font>
    <font>
      <sz val="10"/>
      <color theme="1"/>
      <name val="Arial Narrow"/>
      <family val="2"/>
    </font>
    <font>
      <b/>
      <sz val="11"/>
      <color theme="1"/>
      <name val="Arial Narrow"/>
      <family val="2"/>
    </font>
    <font>
      <sz val="11"/>
      <name val="Calibri"/>
      <family val="2"/>
      <scheme val="minor"/>
    </font>
    <font>
      <b/>
      <sz val="10"/>
      <color indexed="8"/>
      <name val="Calibri"/>
      <family val="2"/>
      <scheme val="minor"/>
    </font>
    <font>
      <sz val="10"/>
      <color theme="1"/>
      <name val="Calibri"/>
      <family val="2"/>
      <scheme val="minor"/>
    </font>
    <font>
      <b/>
      <sz val="10"/>
      <color rgb="FF000000"/>
      <name val="Calibri"/>
      <family val="2"/>
      <scheme val="minor"/>
    </font>
    <font>
      <sz val="10"/>
      <color indexed="8"/>
      <name val="Calibri"/>
      <family val="2"/>
      <scheme val="minor"/>
    </font>
    <font>
      <sz val="10"/>
      <name val="Calibri"/>
      <family val="2"/>
      <scheme val="minor"/>
    </font>
    <font>
      <b/>
      <sz val="10"/>
      <color theme="1"/>
      <name val="Arial"/>
      <family val="2"/>
    </font>
    <font>
      <sz val="9"/>
      <color theme="1"/>
      <name val="Arial"/>
      <family val="2"/>
    </font>
    <font>
      <sz val="10"/>
      <color rgb="FF000000"/>
      <name val="Calibri"/>
      <family val="2"/>
      <scheme val="minor"/>
    </font>
    <font>
      <b/>
      <sz val="10"/>
      <color theme="1"/>
      <name val="Calibri"/>
      <family val="2"/>
      <scheme val="minor"/>
    </font>
    <font>
      <b/>
      <sz val="20"/>
      <color theme="1"/>
      <name val="Arial Narrow"/>
      <family val="2"/>
    </font>
    <font>
      <b/>
      <u/>
      <sz val="10"/>
      <color rgb="FF000000"/>
      <name val="Calibri"/>
      <family val="2"/>
      <scheme val="minor"/>
    </font>
    <font>
      <b/>
      <sz val="10"/>
      <color rgb="FF000000"/>
      <name val="Calibri"/>
      <family val="2"/>
    </font>
    <font>
      <sz val="11"/>
      <name val="Arial Narrow"/>
      <family val="2"/>
    </font>
    <font>
      <b/>
      <sz val="11"/>
      <color theme="1"/>
      <name val="Calibri"/>
      <family val="2"/>
    </font>
    <font>
      <b/>
      <i/>
      <sz val="11"/>
      <color theme="1"/>
      <name val="Calibri"/>
      <family val="2"/>
      <scheme val="minor"/>
    </font>
    <font>
      <u/>
      <sz val="8"/>
      <color theme="10"/>
      <name val="Arial"/>
      <family val="2"/>
    </font>
    <font>
      <sz val="10"/>
      <name val="Arial"/>
      <family val="2"/>
    </font>
    <font>
      <sz val="10"/>
      <color indexed="8"/>
      <name val="MS Sans Serif"/>
      <family val="2"/>
    </font>
    <font>
      <b/>
      <sz val="14"/>
      <name val="Arial"/>
      <family val="2"/>
    </font>
    <font>
      <sz val="1"/>
      <name val="Arial"/>
      <family val="2"/>
    </font>
    <font>
      <sz val="11"/>
      <color rgb="FFFF0000"/>
      <name val="Calibri"/>
      <family val="2"/>
      <scheme val="minor"/>
    </font>
    <font>
      <b/>
      <sz val="11"/>
      <name val="Arial Narrow"/>
      <family val="2"/>
    </font>
    <font>
      <b/>
      <sz val="12"/>
      <color theme="1"/>
      <name val="Arial Narrow"/>
      <family val="2"/>
    </font>
    <font>
      <sz val="11"/>
      <color rgb="FF000000"/>
      <name val="Arial"/>
      <family val="2"/>
    </font>
    <font>
      <sz val="10"/>
      <color rgb="FF000000"/>
      <name val="Arial"/>
      <family val="2"/>
    </font>
    <font>
      <b/>
      <sz val="20"/>
      <name val="Arial Narrow"/>
      <family val="2"/>
    </font>
    <font>
      <b/>
      <sz val="14"/>
      <name val="Arial Narrow"/>
      <family val="2"/>
    </font>
    <font>
      <b/>
      <sz val="10"/>
      <name val="Arial Narrow"/>
      <family val="2"/>
    </font>
    <font>
      <sz val="10"/>
      <name val="Arial Narrow"/>
      <family val="2"/>
    </font>
    <font>
      <sz val="12"/>
      <name val="Arial Narrow"/>
      <family val="2"/>
    </font>
    <font>
      <sz val="12"/>
      <name val="Calibri"/>
      <family val="2"/>
      <scheme val="minor"/>
    </font>
    <font>
      <b/>
      <i/>
      <sz val="11"/>
      <name val="Arial Narrow"/>
      <family val="2"/>
    </font>
    <font>
      <b/>
      <sz val="9"/>
      <color theme="1"/>
      <name val="Arial Narrow"/>
      <family val="2"/>
    </font>
    <font>
      <sz val="9"/>
      <color theme="1"/>
      <name val="Arial Narrow"/>
      <family val="2"/>
    </font>
    <font>
      <sz val="10"/>
      <color indexed="8"/>
      <name val="Arial Narrow"/>
      <family val="2"/>
    </font>
    <font>
      <sz val="12"/>
      <color rgb="FF000000"/>
      <name val="Arial Narrow"/>
      <family val="2"/>
    </font>
    <font>
      <sz val="12"/>
      <color theme="1"/>
      <name val="Arial Narrow"/>
      <family val="2"/>
    </font>
    <font>
      <sz val="16"/>
      <color indexed="81"/>
      <name val="Tahoma"/>
      <family val="2"/>
    </font>
  </fonts>
  <fills count="17">
    <fill>
      <patternFill patternType="none"/>
    </fill>
    <fill>
      <patternFill patternType="gray125"/>
    </fill>
    <fill>
      <patternFill patternType="solid">
        <fgColor indexed="53"/>
        <bgColor indexed="64"/>
      </patternFill>
    </fill>
    <fill>
      <patternFill patternType="solid">
        <fgColor indexed="22"/>
        <bgColor indexed="64"/>
      </patternFill>
    </fill>
    <fill>
      <patternFill patternType="solid">
        <fgColor theme="0"/>
        <bgColor indexed="64"/>
      </patternFill>
    </fill>
    <fill>
      <patternFill patternType="solid">
        <fgColor rgb="FFFFFF00"/>
        <bgColor indexed="64"/>
      </patternFill>
    </fill>
    <fill>
      <patternFill patternType="solid">
        <fgColor theme="6" tint="0.79998168889431442"/>
        <bgColor indexed="64"/>
      </patternFill>
    </fill>
    <fill>
      <patternFill patternType="solid">
        <fgColor theme="3" tint="0.59999389629810485"/>
        <bgColor indexed="64"/>
      </patternFill>
    </fill>
    <fill>
      <patternFill patternType="solid">
        <fgColor theme="3" tint="0.59999389629810485"/>
        <bgColor rgb="FF000000"/>
      </patternFill>
    </fill>
    <fill>
      <patternFill patternType="solid">
        <fgColor theme="3"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FFFFFF"/>
        <bgColor rgb="FF000000"/>
      </patternFill>
    </fill>
    <fill>
      <patternFill patternType="solid">
        <fgColor theme="6" tint="0.59999389629810485"/>
        <bgColor indexed="64"/>
      </patternFill>
    </fill>
    <fill>
      <patternFill patternType="solid">
        <fgColor theme="8" tint="0.79998168889431442"/>
        <bgColor indexed="64"/>
      </patternFill>
    </fill>
    <fill>
      <patternFill patternType="solid">
        <fgColor rgb="FFDCE6F1"/>
        <bgColor indexed="64"/>
      </patternFill>
    </fill>
  </fills>
  <borders count="98">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style="medium">
        <color indexed="64"/>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style="double">
        <color indexed="64"/>
      </left>
      <right style="thin">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n">
        <color indexed="8"/>
      </right>
      <top style="medium">
        <color indexed="64"/>
      </top>
      <bottom style="medium">
        <color indexed="64"/>
      </bottom>
      <diagonal/>
    </border>
    <border>
      <left style="thin">
        <color indexed="8"/>
      </left>
      <right style="thin">
        <color indexed="8"/>
      </right>
      <top style="medium">
        <color indexed="64"/>
      </top>
      <bottom style="medium">
        <color indexed="64"/>
      </bottom>
      <diagonal/>
    </border>
    <border>
      <left style="thin">
        <color indexed="8"/>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double">
        <color indexed="64"/>
      </left>
      <right style="thin">
        <color indexed="64"/>
      </right>
      <top style="medium">
        <color indexed="64"/>
      </top>
      <bottom style="thin">
        <color indexed="64"/>
      </bottom>
      <diagonal/>
    </border>
    <border>
      <left style="thin">
        <color indexed="64"/>
      </left>
      <right style="double">
        <color indexed="64"/>
      </right>
      <top/>
      <bottom/>
      <diagonal/>
    </border>
    <border>
      <left/>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right/>
      <top style="thin">
        <color indexed="64"/>
      </top>
      <bottom style="thin">
        <color indexed="64"/>
      </bottom>
      <diagonal/>
    </border>
    <border>
      <left style="thin">
        <color indexed="64"/>
      </left>
      <right/>
      <top style="thin">
        <color indexed="64"/>
      </top>
      <bottom/>
      <diagonal/>
    </border>
    <border>
      <left style="double">
        <color indexed="64"/>
      </left>
      <right style="thin">
        <color indexed="64"/>
      </right>
      <top style="medium">
        <color indexed="64"/>
      </top>
      <bottom/>
      <diagonal/>
    </border>
    <border>
      <left style="thin">
        <color indexed="64"/>
      </left>
      <right/>
      <top/>
      <bottom style="thin">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style="thin">
        <color indexed="64"/>
      </bottom>
      <diagonal/>
    </border>
    <border>
      <left/>
      <right/>
      <top style="medium">
        <color indexed="64"/>
      </top>
      <bottom/>
      <diagonal/>
    </border>
    <border>
      <left style="thin">
        <color indexed="64"/>
      </left>
      <right/>
      <top/>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double">
        <color indexed="64"/>
      </right>
      <top style="medium">
        <color indexed="64"/>
      </top>
      <bottom style="medium">
        <color indexed="64"/>
      </bottom>
      <diagonal/>
    </border>
    <border>
      <left style="double">
        <color indexed="64"/>
      </left>
      <right/>
      <top style="medium">
        <color indexed="64"/>
      </top>
      <bottom style="medium">
        <color indexed="64"/>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right/>
      <top style="thin">
        <color indexed="64"/>
      </top>
      <bottom style="medium">
        <color indexed="64"/>
      </bottom>
      <diagonal/>
    </border>
    <border>
      <left style="thin">
        <color indexed="64"/>
      </left>
      <right style="medium">
        <color indexed="64"/>
      </right>
      <top/>
      <bottom style="medium">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8"/>
      </left>
      <right style="medium">
        <color indexed="8"/>
      </right>
      <top style="thin">
        <color indexed="8"/>
      </top>
      <bottom/>
      <diagonal/>
    </border>
    <border>
      <left style="medium">
        <color indexed="64"/>
      </left>
      <right/>
      <top/>
      <bottom style="thin">
        <color indexed="64"/>
      </bottom>
      <diagonal/>
    </border>
  </borders>
  <cellStyleXfs count="2074">
    <xf numFmtId="0" fontId="0" fillId="0" borderId="0"/>
    <xf numFmtId="0" fontId="1" fillId="0" borderId="0"/>
    <xf numFmtId="165" fontId="16" fillId="0" borderId="0" applyFont="0" applyFill="0" applyBorder="0" applyAlignment="0" applyProtection="0"/>
    <xf numFmtId="9" fontId="16"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8" fillId="0" borderId="0" applyNumberFormat="0" applyFill="0" applyBorder="0" applyAlignment="0" applyProtection="0">
      <alignment vertical="top"/>
      <protection locked="0"/>
    </xf>
    <xf numFmtId="165" fontId="39" fillId="0" borderId="0" applyFont="0" applyFill="0" applyBorder="0" applyAlignment="0" applyProtection="0"/>
    <xf numFmtId="165" fontId="39" fillId="0" borderId="0" applyFont="0" applyFill="0" applyBorder="0" applyAlignment="0" applyProtection="0"/>
    <xf numFmtId="165" fontId="16"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 fillId="0" borderId="0" applyFont="0" applyFill="0" applyBorder="0" applyAlignment="0" applyProtection="0"/>
    <xf numFmtId="165" fontId="16" fillId="0" borderId="0" applyFont="0" applyFill="0" applyBorder="0" applyAlignment="0" applyProtection="0"/>
    <xf numFmtId="164" fontId="39" fillId="0" borderId="0" applyFont="0" applyFill="0" applyBorder="0" applyAlignment="0" applyProtection="0"/>
    <xf numFmtId="164" fontId="16" fillId="0" borderId="0" applyFont="0" applyFill="0" applyBorder="0" applyAlignment="0" applyProtection="0"/>
    <xf numFmtId="0" fontId="39" fillId="0" borderId="0"/>
    <xf numFmtId="0" fontId="39" fillId="0" borderId="0"/>
    <xf numFmtId="0" fontId="16" fillId="0" borderId="0"/>
    <xf numFmtId="0" fontId="16" fillId="0" borderId="0"/>
    <xf numFmtId="0" fontId="16" fillId="0" borderId="0"/>
    <xf numFmtId="0" fontId="16" fillId="0" borderId="0"/>
    <xf numFmtId="0" fontId="16" fillId="0" borderId="0"/>
    <xf numFmtId="0" fontId="40"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40" fillId="0" borderId="0"/>
    <xf numFmtId="0" fontId="16"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4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4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4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4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42"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42"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16"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39" fillId="0" borderId="0"/>
    <xf numFmtId="0" fontId="39" fillId="0" borderId="0"/>
    <xf numFmtId="0" fontId="39" fillId="0" borderId="0"/>
    <xf numFmtId="0" fontId="39" fillId="0" borderId="0"/>
    <xf numFmtId="0" fontId="39" fillId="0" borderId="0"/>
    <xf numFmtId="0" fontId="42"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4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4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4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4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42"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16" fillId="0" borderId="0"/>
    <xf numFmtId="0" fontId="16" fillId="0" borderId="0"/>
    <xf numFmtId="0" fontId="16" fillId="0" borderId="0"/>
    <xf numFmtId="0" fontId="16" fillId="0" borderId="0"/>
    <xf numFmtId="0" fontId="16" fillId="0" borderId="0"/>
    <xf numFmtId="0" fontId="42" fillId="0" borderId="0"/>
    <xf numFmtId="0" fontId="16" fillId="0" borderId="0"/>
    <xf numFmtId="0" fontId="16" fillId="0" borderId="0"/>
    <xf numFmtId="0" fontId="1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4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41" fillId="0" borderId="0"/>
    <xf numFmtId="0" fontId="39" fillId="0" borderId="0"/>
    <xf numFmtId="0" fontId="39" fillId="0" borderId="0"/>
    <xf numFmtId="0" fontId="39" fillId="0" borderId="0"/>
    <xf numFmtId="0" fontId="39" fillId="0" borderId="0"/>
    <xf numFmtId="0" fontId="39" fillId="0" borderId="0"/>
    <xf numFmtId="0" fontId="16"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41" fillId="0" borderId="0"/>
    <xf numFmtId="0" fontId="1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4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4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4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42" fillId="0" borderId="0"/>
    <xf numFmtId="0" fontId="16" fillId="0" borderId="0"/>
    <xf numFmtId="0" fontId="16" fillId="0" borderId="0"/>
    <xf numFmtId="0" fontId="16" fillId="0" borderId="0"/>
    <xf numFmtId="0" fontId="16" fillId="0" borderId="0"/>
    <xf numFmtId="0" fontId="16" fillId="0" borderId="0"/>
    <xf numFmtId="0" fontId="42" fillId="0" borderId="0"/>
    <xf numFmtId="0" fontId="16" fillId="0" borderId="0"/>
    <xf numFmtId="0" fontId="16" fillId="0" borderId="0"/>
    <xf numFmtId="0" fontId="16" fillId="0" borderId="0"/>
    <xf numFmtId="0" fontId="42" fillId="0" borderId="0"/>
    <xf numFmtId="0" fontId="42" fillId="0" borderId="0"/>
    <xf numFmtId="0" fontId="1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16" fillId="0" borderId="0"/>
    <xf numFmtId="0" fontId="16" fillId="0" borderId="0"/>
    <xf numFmtId="0" fontId="16" fillId="0" borderId="0"/>
    <xf numFmtId="0" fontId="16" fillId="0" borderId="0"/>
    <xf numFmtId="0" fontId="16" fillId="0" borderId="0"/>
    <xf numFmtId="0" fontId="42" fillId="0" borderId="0"/>
    <xf numFmtId="0" fontId="42" fillId="0" borderId="0"/>
    <xf numFmtId="0" fontId="42" fillId="0" borderId="0"/>
    <xf numFmtId="0" fontId="42" fillId="0" borderId="0"/>
    <xf numFmtId="0" fontId="4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42" fillId="0" borderId="0"/>
    <xf numFmtId="0" fontId="16" fillId="0" borderId="0"/>
    <xf numFmtId="0" fontId="16" fillId="0" borderId="0"/>
    <xf numFmtId="0" fontId="16" fillId="0" borderId="0"/>
    <xf numFmtId="0" fontId="16" fillId="0" borderId="0"/>
    <xf numFmtId="0" fontId="16" fillId="0" borderId="0"/>
    <xf numFmtId="0" fontId="16" fillId="0" borderId="0"/>
    <xf numFmtId="0" fontId="42" fillId="0" borderId="0"/>
    <xf numFmtId="0" fontId="42" fillId="0" borderId="0"/>
    <xf numFmtId="0" fontId="42" fillId="0" borderId="0"/>
    <xf numFmtId="0" fontId="42" fillId="0" borderId="0"/>
    <xf numFmtId="0" fontId="42" fillId="0" borderId="0"/>
    <xf numFmtId="0" fontId="42" fillId="0" borderId="0"/>
    <xf numFmtId="0" fontId="16" fillId="0" borderId="0"/>
    <xf numFmtId="0" fontId="16" fillId="0" borderId="0"/>
    <xf numFmtId="0" fontId="16" fillId="0" borderId="0"/>
    <xf numFmtId="0" fontId="16" fillId="0" borderId="0"/>
    <xf numFmtId="0" fontId="16" fillId="0" borderId="0"/>
    <xf numFmtId="0" fontId="39" fillId="0" borderId="0"/>
    <xf numFmtId="0" fontId="39" fillId="0" borderId="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16"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40" fillId="0" borderId="0"/>
    <xf numFmtId="0" fontId="40" fillId="0" borderId="0"/>
    <xf numFmtId="0" fontId="40" fillId="0" borderId="0"/>
    <xf numFmtId="9" fontId="39" fillId="0" borderId="0" applyFont="0" applyFill="0" applyBorder="0" applyAlignment="0" applyProtection="0"/>
    <xf numFmtId="9" fontId="16" fillId="0" borderId="0" applyFont="0" applyFill="0" applyBorder="0" applyAlignment="0" applyProtection="0"/>
    <xf numFmtId="0" fontId="39" fillId="0" borderId="0"/>
    <xf numFmtId="0" fontId="39" fillId="0" borderId="0"/>
    <xf numFmtId="9" fontId="39" fillId="0" borderId="0" applyFont="0" applyFill="0" applyBorder="0" applyAlignment="0" applyProtection="0"/>
    <xf numFmtId="164" fontId="39" fillId="0" borderId="0" applyFont="0" applyFill="0" applyBorder="0" applyAlignment="0" applyProtection="0"/>
    <xf numFmtId="164" fontId="16" fillId="0" borderId="0" applyFont="0" applyFill="0" applyBorder="0" applyAlignment="0" applyProtection="0"/>
    <xf numFmtId="0" fontId="39" fillId="0" borderId="0"/>
    <xf numFmtId="0" fontId="39" fillId="0" borderId="0"/>
    <xf numFmtId="0" fontId="39" fillId="0" borderId="0"/>
    <xf numFmtId="43" fontId="16"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16"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 fillId="0" borderId="0" applyFont="0" applyFill="0" applyBorder="0" applyAlignment="0" applyProtection="0"/>
    <xf numFmtId="43" fontId="16" fillId="0" borderId="0" applyFont="0" applyFill="0" applyBorder="0" applyAlignment="0" applyProtection="0"/>
    <xf numFmtId="164" fontId="39" fillId="0" borderId="0" applyFont="0" applyFill="0" applyBorder="0" applyAlignment="0" applyProtection="0"/>
    <xf numFmtId="164" fontId="16" fillId="0" borderId="0" applyFont="0" applyFill="0" applyBorder="0" applyAlignment="0" applyProtection="0"/>
    <xf numFmtId="164" fontId="39" fillId="0" borderId="0" applyFont="0" applyFill="0" applyBorder="0" applyAlignment="0" applyProtection="0"/>
    <xf numFmtId="164" fontId="16" fillId="0" borderId="0" applyFont="0" applyFill="0" applyBorder="0" applyAlignment="0" applyProtection="0"/>
    <xf numFmtId="0" fontId="39" fillId="0" borderId="0"/>
    <xf numFmtId="0" fontId="16" fillId="0" borderId="0"/>
    <xf numFmtId="165" fontId="16" fillId="0" borderId="0" applyFont="0" applyFill="0" applyBorder="0" applyAlignment="0" applyProtection="0"/>
    <xf numFmtId="9" fontId="16" fillId="0" borderId="0" applyFont="0" applyFill="0" applyBorder="0" applyAlignment="0" applyProtection="0"/>
  </cellStyleXfs>
  <cellXfs count="1037">
    <xf numFmtId="0" fontId="0" fillId="0" borderId="0" xfId="0"/>
    <xf numFmtId="0" fontId="18" fillId="0" borderId="0" xfId="0" applyFont="1" applyAlignment="1">
      <alignment vertical="center"/>
    </xf>
    <xf numFmtId="0" fontId="18" fillId="0" borderId="0" xfId="0" applyFont="1"/>
    <xf numFmtId="0" fontId="18" fillId="0" borderId="0" xfId="0" applyFont="1" applyAlignment="1">
      <alignment horizontal="center"/>
    </xf>
    <xf numFmtId="2" fontId="18" fillId="0" borderId="0" xfId="0" applyNumberFormat="1" applyFont="1" applyAlignment="1">
      <alignment horizontal="center"/>
    </xf>
    <xf numFmtId="166" fontId="18" fillId="0" borderId="0" xfId="0" applyNumberFormat="1" applyFont="1" applyAlignment="1">
      <alignment horizontal="center" vertical="center"/>
    </xf>
    <xf numFmtId="168" fontId="18" fillId="0" borderId="0" xfId="0" applyNumberFormat="1" applyFont="1"/>
    <xf numFmtId="0" fontId="21" fillId="0" borderId="0" xfId="0" applyFont="1" applyAlignment="1">
      <alignment horizontal="center" vertical="center"/>
    </xf>
    <xf numFmtId="168" fontId="20" fillId="0" borderId="0" xfId="0" applyNumberFormat="1" applyFont="1"/>
    <xf numFmtId="0" fontId="23" fillId="7" borderId="37" xfId="1" applyFont="1" applyFill="1" applyBorder="1" applyAlignment="1" applyProtection="1">
      <alignment horizontal="center" vertical="center" wrapText="1"/>
      <protection locked="0"/>
    </xf>
    <xf numFmtId="0" fontId="23" fillId="7" borderId="38" xfId="1" applyFont="1" applyFill="1" applyBorder="1" applyAlignment="1" applyProtection="1">
      <alignment horizontal="center" vertical="center"/>
      <protection locked="0"/>
    </xf>
    <xf numFmtId="0" fontId="24" fillId="0" borderId="0" xfId="0" applyFont="1" applyProtection="1">
      <protection locked="0"/>
    </xf>
    <xf numFmtId="0" fontId="23" fillId="7" borderId="40" xfId="1" applyFont="1" applyFill="1" applyBorder="1" applyAlignment="1" applyProtection="1">
      <alignment horizontal="center" vertical="center" wrapText="1"/>
      <protection locked="0"/>
    </xf>
    <xf numFmtId="0" fontId="25" fillId="8" borderId="41" xfId="1" applyFont="1" applyFill="1" applyBorder="1" applyAlignment="1" applyProtection="1">
      <alignment horizontal="center" vertical="center"/>
      <protection locked="0"/>
    </xf>
    <xf numFmtId="0" fontId="25" fillId="8" borderId="41" xfId="1" applyFont="1" applyFill="1" applyBorder="1" applyAlignment="1" applyProtection="1">
      <alignment horizontal="center" vertical="center" wrapText="1"/>
      <protection locked="0"/>
    </xf>
    <xf numFmtId="0" fontId="25" fillId="0" borderId="1" xfId="1" applyFont="1" applyBorder="1" applyAlignment="1" applyProtection="1">
      <alignment horizontal="center" vertical="center"/>
      <protection locked="0"/>
    </xf>
    <xf numFmtId="0" fontId="24" fillId="0" borderId="0" xfId="0" applyFont="1" applyAlignment="1" applyProtection="1">
      <alignment horizontal="center" vertical="center"/>
      <protection locked="0"/>
    </xf>
    <xf numFmtId="0" fontId="23" fillId="0" borderId="42" xfId="1" applyFont="1" applyBorder="1" applyAlignment="1" applyProtection="1">
      <alignment vertical="center" wrapText="1"/>
      <protection locked="0"/>
    </xf>
    <xf numFmtId="0" fontId="25" fillId="0" borderId="1" xfId="0" applyFont="1" applyBorder="1" applyAlignment="1" applyProtection="1">
      <alignment horizontal="center" vertical="center"/>
      <protection locked="0"/>
    </xf>
    <xf numFmtId="0" fontId="25" fillId="8" borderId="34" xfId="1" applyFont="1" applyFill="1" applyBorder="1" applyAlignment="1" applyProtection="1">
      <alignment horizontal="center" vertical="center" wrapText="1"/>
      <protection locked="0"/>
    </xf>
    <xf numFmtId="0" fontId="25" fillId="8" borderId="35" xfId="1" applyFont="1" applyFill="1" applyBorder="1" applyAlignment="1" applyProtection="1">
      <alignment horizontal="center" vertical="center" wrapText="1"/>
      <protection locked="0"/>
    </xf>
    <xf numFmtId="0" fontId="25" fillId="0" borderId="22" xfId="1" applyFont="1" applyBorder="1" applyAlignment="1" applyProtection="1">
      <alignment horizontal="left" vertical="center" wrapText="1"/>
      <protection locked="0"/>
    </xf>
    <xf numFmtId="4" fontId="24" fillId="0" borderId="0" xfId="0" applyNumberFormat="1" applyFont="1" applyProtection="1">
      <protection locked="0"/>
    </xf>
    <xf numFmtId="3" fontId="24" fillId="0" borderId="0" xfId="0" applyNumberFormat="1" applyFont="1" applyProtection="1">
      <protection locked="0"/>
    </xf>
    <xf numFmtId="0" fontId="23" fillId="9" borderId="43" xfId="1" applyFont="1" applyFill="1" applyBorder="1" applyAlignment="1" applyProtection="1">
      <alignment horizontal="center" vertical="center" wrapText="1"/>
      <protection locked="0"/>
    </xf>
    <xf numFmtId="0" fontId="23" fillId="9" borderId="38" xfId="1" applyFont="1" applyFill="1" applyBorder="1" applyAlignment="1" applyProtection="1">
      <alignment horizontal="center" vertical="center" wrapText="1"/>
      <protection locked="0"/>
    </xf>
    <xf numFmtId="0" fontId="23" fillId="4" borderId="22" xfId="1" applyFont="1" applyFill="1" applyBorder="1" applyAlignment="1" applyProtection="1">
      <alignment vertical="center"/>
      <protection locked="0"/>
    </xf>
    <xf numFmtId="3" fontId="26" fillId="0" borderId="24" xfId="1" applyNumberFormat="1" applyFont="1" applyBorder="1" applyAlignment="1" applyProtection="1">
      <alignment horizontal="center" vertical="center"/>
      <protection locked="0"/>
    </xf>
    <xf numFmtId="0" fontId="23" fillId="9" borderId="44" xfId="1" applyFont="1" applyFill="1" applyBorder="1" applyAlignment="1" applyProtection="1">
      <alignment horizontal="center" vertical="center" wrapText="1"/>
      <protection locked="0"/>
    </xf>
    <xf numFmtId="0" fontId="23" fillId="9" borderId="19" xfId="1" applyFont="1" applyFill="1" applyBorder="1" applyAlignment="1" applyProtection="1">
      <alignment horizontal="center" vertical="center" wrapText="1"/>
      <protection locked="0"/>
    </xf>
    <xf numFmtId="0" fontId="26" fillId="4" borderId="23" xfId="1" applyFont="1" applyFill="1" applyBorder="1" applyAlignment="1" applyProtection="1">
      <alignment horizontal="center" vertical="center"/>
      <protection locked="0"/>
    </xf>
    <xf numFmtId="0" fontId="23" fillId="0" borderId="22" xfId="1" applyFont="1" applyBorder="1" applyAlignment="1" applyProtection="1">
      <alignment vertical="center"/>
      <protection locked="0"/>
    </xf>
    <xf numFmtId="0" fontId="23" fillId="9" borderId="45" xfId="1" applyFont="1" applyFill="1" applyBorder="1" applyAlignment="1" applyProtection="1">
      <alignment horizontal="center" vertical="center"/>
      <protection locked="0"/>
    </xf>
    <xf numFmtId="0" fontId="23" fillId="9" borderId="46" xfId="1" applyFont="1" applyFill="1" applyBorder="1" applyAlignment="1" applyProtection="1">
      <alignment horizontal="center" vertical="center"/>
      <protection locked="0"/>
    </xf>
    <xf numFmtId="0" fontId="23" fillId="9" borderId="47" xfId="1" applyFont="1" applyFill="1" applyBorder="1" applyAlignment="1" applyProtection="1">
      <alignment horizontal="center" vertical="center"/>
      <protection locked="0"/>
    </xf>
    <xf numFmtId="9" fontId="26" fillId="4" borderId="23" xfId="1" applyNumberFormat="1" applyFont="1" applyFill="1" applyBorder="1" applyAlignment="1" applyProtection="1">
      <alignment horizontal="center" vertical="center"/>
      <protection locked="0"/>
    </xf>
    <xf numFmtId="1" fontId="8" fillId="0" borderId="48" xfId="0" applyNumberFormat="1" applyFont="1" applyBorder="1" applyAlignment="1">
      <alignment horizontal="center" vertical="center"/>
    </xf>
    <xf numFmtId="166" fontId="8" fillId="0" borderId="48" xfId="0" applyNumberFormat="1" applyFont="1" applyBorder="1" applyAlignment="1">
      <alignment horizontal="center" vertical="center"/>
    </xf>
    <xf numFmtId="2" fontId="8" fillId="0" borderId="48" xfId="0" applyNumberFormat="1" applyFont="1" applyBorder="1" applyAlignment="1">
      <alignment horizontal="center" vertical="center"/>
    </xf>
    <xf numFmtId="167" fontId="8" fillId="0" borderId="48" xfId="0" applyNumberFormat="1" applyFont="1" applyBorder="1" applyAlignment="1">
      <alignment horizontal="center" vertical="center"/>
    </xf>
    <xf numFmtId="0" fontId="4" fillId="0" borderId="0" xfId="0" applyFont="1" applyAlignment="1">
      <alignment horizontal="left"/>
    </xf>
    <xf numFmtId="0" fontId="4" fillId="0" borderId="0" xfId="0" applyFont="1"/>
    <xf numFmtId="174" fontId="24" fillId="0" borderId="0" xfId="0" applyNumberFormat="1" applyFont="1" applyProtection="1">
      <protection locked="0"/>
    </xf>
    <xf numFmtId="2" fontId="23" fillId="0" borderId="49" xfId="1" applyNumberFormat="1" applyFont="1" applyBorder="1" applyAlignment="1" applyProtection="1">
      <alignment vertical="center"/>
      <protection locked="0"/>
    </xf>
    <xf numFmtId="0" fontId="23" fillId="9" borderId="50" xfId="1" applyFont="1" applyFill="1" applyBorder="1" applyAlignment="1" applyProtection="1">
      <alignment horizontal="center" vertical="center" wrapText="1"/>
      <protection locked="0"/>
    </xf>
    <xf numFmtId="2" fontId="27" fillId="0" borderId="24" xfId="1" applyNumberFormat="1" applyFont="1" applyBorder="1" applyAlignment="1" applyProtection="1">
      <alignment horizontal="center" vertical="center"/>
      <protection locked="0"/>
    </xf>
    <xf numFmtId="0" fontId="14" fillId="12" borderId="21" xfId="1" applyFont="1" applyFill="1" applyBorder="1" applyAlignment="1">
      <alignment horizontal="center" vertical="center"/>
    </xf>
    <xf numFmtId="0" fontId="13" fillId="12" borderId="37" xfId="1" applyFont="1" applyFill="1" applyBorder="1" applyAlignment="1">
      <alignment horizontal="center" vertical="center"/>
    </xf>
    <xf numFmtId="0" fontId="13" fillId="12" borderId="38" xfId="1" applyFont="1" applyFill="1" applyBorder="1" applyAlignment="1">
      <alignment horizontal="center" vertical="center" wrapText="1"/>
    </xf>
    <xf numFmtId="0" fontId="13" fillId="12" borderId="30" xfId="1" applyFont="1" applyFill="1" applyBorder="1" applyAlignment="1">
      <alignment horizontal="center" vertical="center"/>
    </xf>
    <xf numFmtId="0" fontId="24" fillId="0" borderId="0" xfId="0" applyFont="1"/>
    <xf numFmtId="0" fontId="24" fillId="4" borderId="0" xfId="0" applyFont="1" applyFill="1" applyProtection="1">
      <protection locked="0"/>
    </xf>
    <xf numFmtId="0" fontId="5" fillId="0" borderId="31" xfId="0" applyFont="1" applyBorder="1" applyAlignment="1">
      <alignment horizontal="center"/>
    </xf>
    <xf numFmtId="0" fontId="5" fillId="0" borderId="2" xfId="0" applyFont="1" applyBorder="1" applyAlignment="1">
      <alignment horizontal="center"/>
    </xf>
    <xf numFmtId="0" fontId="4" fillId="0" borderId="48" xfId="0" applyFont="1" applyBorder="1" applyAlignment="1">
      <alignment horizontal="center" vertical="center"/>
    </xf>
    <xf numFmtId="1" fontId="12" fillId="0" borderId="48" xfId="0" applyNumberFormat="1" applyFont="1" applyBorder="1" applyAlignment="1">
      <alignment horizontal="center"/>
    </xf>
    <xf numFmtId="0" fontId="4" fillId="0" borderId="2" xfId="0" applyFont="1" applyBorder="1" applyAlignment="1">
      <alignment horizontal="center" vertical="center"/>
    </xf>
    <xf numFmtId="166" fontId="12" fillId="0" borderId="48" xfId="0" applyNumberFormat="1" applyFont="1" applyBorder="1" applyAlignment="1">
      <alignment horizontal="center"/>
    </xf>
    <xf numFmtId="2" fontId="12" fillId="0" borderId="48" xfId="0" applyNumberFormat="1" applyFont="1" applyBorder="1" applyAlignment="1">
      <alignment horizontal="center"/>
    </xf>
    <xf numFmtId="167" fontId="12" fillId="0" borderId="48" xfId="0" applyNumberFormat="1" applyFont="1" applyBorder="1" applyAlignment="1">
      <alignment horizontal="center"/>
    </xf>
    <xf numFmtId="0" fontId="5" fillId="0" borderId="2" xfId="0" applyFont="1" applyBorder="1" applyAlignment="1">
      <alignment horizontal="center" vertical="center"/>
    </xf>
    <xf numFmtId="17" fontId="4" fillId="0" borderId="2" xfId="0" applyNumberFormat="1" applyFont="1" applyBorder="1" applyAlignment="1">
      <alignment horizontal="center" vertical="center"/>
    </xf>
    <xf numFmtId="167" fontId="12" fillId="0" borderId="2" xfId="0" applyNumberFormat="1" applyFont="1" applyBorder="1" applyAlignment="1">
      <alignment horizontal="center"/>
    </xf>
    <xf numFmtId="167" fontId="28" fillId="0" borderId="2" xfId="0" applyNumberFormat="1" applyFont="1" applyBorder="1" applyAlignment="1">
      <alignment horizontal="center" vertical="center"/>
    </xf>
    <xf numFmtId="10" fontId="4" fillId="0" borderId="2" xfId="0" applyNumberFormat="1" applyFont="1" applyBorder="1" applyAlignment="1">
      <alignment horizontal="center" vertical="center"/>
    </xf>
    <xf numFmtId="2" fontId="12" fillId="0" borderId="2" xfId="0" applyNumberFormat="1" applyFont="1" applyBorder="1" applyAlignment="1">
      <alignment horizontal="center"/>
    </xf>
    <xf numFmtId="2" fontId="28" fillId="0" borderId="2" xfId="0" applyNumberFormat="1" applyFont="1" applyBorder="1" applyAlignment="1">
      <alignment horizontal="center" vertical="center"/>
    </xf>
    <xf numFmtId="166" fontId="12" fillId="0" borderId="2" xfId="0" applyNumberFormat="1" applyFont="1" applyBorder="1" applyAlignment="1">
      <alignment horizontal="center"/>
    </xf>
    <xf numFmtId="166" fontId="28" fillId="0" borderId="2" xfId="0" applyNumberFormat="1" applyFont="1" applyBorder="1" applyAlignment="1">
      <alignment horizontal="center" vertical="center"/>
    </xf>
    <xf numFmtId="2" fontId="12" fillId="0" borderId="31" xfId="0" applyNumberFormat="1" applyFont="1" applyBorder="1" applyAlignment="1">
      <alignment horizontal="center"/>
    </xf>
    <xf numFmtId="2" fontId="8" fillId="0" borderId="2" xfId="0" applyNumberFormat="1" applyFont="1" applyBorder="1" applyAlignment="1">
      <alignment horizontal="center" vertical="center"/>
    </xf>
    <xf numFmtId="0" fontId="12" fillId="0" borderId="2" xfId="0" applyFont="1" applyBorder="1" applyAlignment="1">
      <alignment horizontal="center"/>
    </xf>
    <xf numFmtId="1" fontId="28" fillId="0" borderId="2" xfId="0" applyNumberFormat="1" applyFont="1" applyBorder="1" applyAlignment="1">
      <alignment horizontal="center" vertical="center"/>
    </xf>
    <xf numFmtId="0" fontId="12" fillId="0" borderId="31" xfId="0" applyFont="1" applyBorder="1" applyAlignment="1">
      <alignment horizontal="center"/>
    </xf>
    <xf numFmtId="0" fontId="12" fillId="0" borderId="13" xfId="0" applyFont="1" applyBorder="1" applyAlignment="1">
      <alignment horizontal="center"/>
    </xf>
    <xf numFmtId="2" fontId="29" fillId="0" borderId="13" xfId="0" applyNumberFormat="1" applyFont="1" applyBorder="1" applyAlignment="1">
      <alignment horizontal="center"/>
    </xf>
    <xf numFmtId="2" fontId="12" fillId="0" borderId="13" xfId="0" applyNumberFormat="1" applyFont="1" applyBorder="1" applyAlignment="1">
      <alignment horizontal="center"/>
    </xf>
    <xf numFmtId="0" fontId="29" fillId="0" borderId="2" xfId="0" applyFont="1" applyBorder="1" applyAlignment="1">
      <alignment horizontal="center"/>
    </xf>
    <xf numFmtId="1" fontId="29" fillId="0" borderId="2" xfId="0" applyNumberFormat="1" applyFont="1" applyBorder="1" applyAlignment="1">
      <alignment horizontal="center"/>
    </xf>
    <xf numFmtId="2" fontId="29" fillId="0" borderId="2" xfId="0" applyNumberFormat="1" applyFont="1" applyBorder="1" applyAlignment="1">
      <alignment horizontal="center"/>
    </xf>
    <xf numFmtId="0" fontId="5" fillId="0" borderId="57" xfId="0" applyFont="1" applyBorder="1" applyAlignment="1">
      <alignment horizontal="center" vertical="center"/>
    </xf>
    <xf numFmtId="166" fontId="29" fillId="0" borderId="2" xfId="0" applyNumberFormat="1" applyFont="1" applyBorder="1" applyAlignment="1">
      <alignment horizontal="center"/>
    </xf>
    <xf numFmtId="1" fontId="12" fillId="0" borderId="2" xfId="0" applyNumberFormat="1" applyFont="1" applyBorder="1" applyAlignment="1">
      <alignment horizontal="center"/>
    </xf>
    <xf numFmtId="167" fontId="29" fillId="0" borderId="2" xfId="0" applyNumberFormat="1" applyFont="1" applyBorder="1" applyAlignment="1">
      <alignment horizontal="center"/>
    </xf>
    <xf numFmtId="166" fontId="29" fillId="0" borderId="13" xfId="0" applyNumberFormat="1" applyFont="1" applyBorder="1" applyAlignment="1">
      <alignment horizontal="center"/>
    </xf>
    <xf numFmtId="1" fontId="29" fillId="0" borderId="13" xfId="0" applyNumberFormat="1" applyFont="1" applyBorder="1" applyAlignment="1">
      <alignment horizontal="center"/>
    </xf>
    <xf numFmtId="0" fontId="9" fillId="0" borderId="31" xfId="0" applyFont="1" applyBorder="1" applyAlignment="1">
      <alignment horizontal="center" vertical="center"/>
    </xf>
    <xf numFmtId="0" fontId="9" fillId="0" borderId="2" xfId="0" applyFont="1" applyBorder="1" applyAlignment="1">
      <alignment horizontal="center" vertical="center"/>
    </xf>
    <xf numFmtId="0" fontId="7" fillId="0" borderId="2" xfId="0" applyFont="1" applyBorder="1" applyAlignment="1">
      <alignment horizontal="center" vertical="center"/>
    </xf>
    <xf numFmtId="166" fontId="8" fillId="0" borderId="2" xfId="0" applyNumberFormat="1" applyFont="1" applyBorder="1" applyAlignment="1">
      <alignment horizontal="center" vertical="center"/>
    </xf>
    <xf numFmtId="1" fontId="7" fillId="0" borderId="2" xfId="0" applyNumberFormat="1" applyFont="1" applyBorder="1" applyAlignment="1">
      <alignment horizontal="center" vertical="center"/>
    </xf>
    <xf numFmtId="0" fontId="23" fillId="0" borderId="7" xfId="1" applyFont="1" applyBorder="1" applyAlignment="1" applyProtection="1">
      <alignment vertical="center" wrapText="1"/>
      <protection locked="0"/>
    </xf>
    <xf numFmtId="0" fontId="25" fillId="13" borderId="5" xfId="1" applyFont="1" applyFill="1" applyBorder="1" applyAlignment="1" applyProtection="1">
      <alignment vertical="center" wrapText="1"/>
      <protection locked="0"/>
    </xf>
    <xf numFmtId="0" fontId="25" fillId="0" borderId="5" xfId="1" applyFont="1" applyBorder="1" applyAlignment="1" applyProtection="1">
      <alignment horizontal="left" vertical="center" wrapText="1"/>
      <protection locked="0"/>
    </xf>
    <xf numFmtId="0" fontId="25" fillId="0" borderId="7" xfId="1" applyFont="1" applyBorder="1" applyAlignment="1" applyProtection="1">
      <alignment horizontal="left" vertical="center" wrapText="1"/>
      <protection locked="0"/>
    </xf>
    <xf numFmtId="0" fontId="23" fillId="0" borderId="5" xfId="1" applyFont="1" applyBorder="1" applyAlignment="1" applyProtection="1">
      <alignment vertical="center"/>
      <protection locked="0"/>
    </xf>
    <xf numFmtId="2" fontId="23" fillId="0" borderId="59" xfId="1" applyNumberFormat="1" applyFont="1" applyBorder="1" applyAlignment="1" applyProtection="1">
      <alignment vertical="center"/>
      <protection locked="0"/>
    </xf>
    <xf numFmtId="3" fontId="26" fillId="0" borderId="52" xfId="1" applyNumberFormat="1" applyFont="1" applyBorder="1" applyAlignment="1" applyProtection="1">
      <alignment horizontal="center" vertical="center"/>
      <protection locked="0"/>
    </xf>
    <xf numFmtId="0" fontId="23" fillId="4" borderId="5" xfId="1" applyFont="1" applyFill="1" applyBorder="1" applyAlignment="1" applyProtection="1">
      <alignment vertical="center"/>
      <protection locked="0"/>
    </xf>
    <xf numFmtId="0" fontId="23" fillId="0" borderId="7" xfId="1" applyFont="1" applyBorder="1" applyAlignment="1" applyProtection="1">
      <alignment vertical="center"/>
      <protection locked="0"/>
    </xf>
    <xf numFmtId="2" fontId="23" fillId="0" borderId="60" xfId="1" applyNumberFormat="1" applyFont="1" applyBorder="1" applyAlignment="1" applyProtection="1">
      <alignment vertical="center"/>
      <protection locked="0"/>
    </xf>
    <xf numFmtId="0" fontId="26" fillId="4" borderId="2" xfId="1" applyFont="1" applyFill="1" applyBorder="1" applyAlignment="1" applyProtection="1">
      <alignment horizontal="center" vertical="center"/>
      <protection locked="0"/>
    </xf>
    <xf numFmtId="1" fontId="27" fillId="0" borderId="52" xfId="1" applyNumberFormat="1" applyFont="1" applyBorder="1" applyAlignment="1" applyProtection="1">
      <alignment horizontal="center" vertical="center"/>
      <protection locked="0"/>
    </xf>
    <xf numFmtId="10" fontId="26" fillId="4" borderId="2" xfId="1" applyNumberFormat="1" applyFont="1" applyFill="1" applyBorder="1" applyAlignment="1" applyProtection="1">
      <alignment horizontal="center" vertical="center"/>
      <protection locked="0"/>
    </xf>
    <xf numFmtId="167" fontId="27" fillId="0" borderId="52" xfId="1" applyNumberFormat="1" applyFont="1" applyBorder="1" applyAlignment="1" applyProtection="1">
      <alignment horizontal="center" vertical="center"/>
      <protection locked="0"/>
    </xf>
    <xf numFmtId="0" fontId="23" fillId="4" borderId="61" xfId="1" applyFont="1" applyFill="1" applyBorder="1" applyAlignment="1" applyProtection="1">
      <alignment vertical="center"/>
      <protection locked="0"/>
    </xf>
    <xf numFmtId="0" fontId="26" fillId="4" borderId="62" xfId="1" applyFont="1" applyFill="1" applyBorder="1" applyAlignment="1" applyProtection="1">
      <alignment horizontal="center" vertical="center"/>
      <protection locked="0"/>
    </xf>
    <xf numFmtId="167" fontId="27" fillId="0" borderId="63" xfId="1" applyNumberFormat="1" applyFont="1" applyBorder="1" applyAlignment="1" applyProtection="1">
      <alignment horizontal="center" vertical="center"/>
      <protection locked="0"/>
    </xf>
    <xf numFmtId="14" fontId="26" fillId="0" borderId="5" xfId="1" applyNumberFormat="1" applyFont="1" applyBorder="1" applyAlignment="1" applyProtection="1">
      <alignment horizontal="center" vertical="center" wrapText="1"/>
      <protection locked="0"/>
    </xf>
    <xf numFmtId="14" fontId="26" fillId="0" borderId="56" xfId="1" applyNumberFormat="1" applyFont="1" applyBorder="1" applyAlignment="1" applyProtection="1">
      <alignment horizontal="center" vertical="center" wrapText="1"/>
      <protection locked="0"/>
    </xf>
    <xf numFmtId="0" fontId="24" fillId="0" borderId="64" xfId="0" applyFont="1" applyBorder="1" applyAlignment="1" applyProtection="1">
      <alignment horizontal="left" vertical="center"/>
      <protection locked="0"/>
    </xf>
    <xf numFmtId="0" fontId="23" fillId="4" borderId="7" xfId="1" applyFont="1" applyFill="1" applyBorder="1" applyAlignment="1" applyProtection="1">
      <alignment vertical="center"/>
      <protection locked="0"/>
    </xf>
    <xf numFmtId="0" fontId="26" fillId="4" borderId="3" xfId="1" applyFont="1" applyFill="1" applyBorder="1" applyAlignment="1" applyProtection="1">
      <alignment horizontal="center" vertical="center"/>
      <protection locked="0"/>
    </xf>
    <xf numFmtId="14" fontId="24" fillId="0" borderId="5" xfId="0" applyNumberFormat="1" applyFont="1" applyBorder="1" applyAlignment="1">
      <alignment horizontal="center"/>
    </xf>
    <xf numFmtId="14" fontId="24" fillId="0" borderId="7" xfId="0" applyNumberFormat="1" applyFont="1" applyBorder="1" applyAlignment="1">
      <alignment horizontal="center"/>
    </xf>
    <xf numFmtId="14" fontId="24" fillId="0" borderId="0" xfId="0" applyNumberFormat="1" applyFont="1"/>
    <xf numFmtId="0" fontId="25" fillId="8" borderId="66" xfId="1" applyFont="1" applyFill="1" applyBorder="1" applyAlignment="1" applyProtection="1">
      <alignment horizontal="center" vertical="center" wrapText="1"/>
      <protection locked="0"/>
    </xf>
    <xf numFmtId="2" fontId="27" fillId="0" borderId="2" xfId="0" applyNumberFormat="1" applyFont="1" applyBorder="1" applyAlignment="1" applyProtection="1">
      <alignment horizontal="right" vertical="center" wrapText="1"/>
      <protection locked="0"/>
    </xf>
    <xf numFmtId="39" fontId="26" fillId="0" borderId="67" xfId="1" applyNumberFormat="1" applyFont="1" applyBorder="1" applyAlignment="1" applyProtection="1">
      <alignment horizontal="right" vertical="center"/>
      <protection locked="0"/>
    </xf>
    <xf numFmtId="0" fontId="25" fillId="13" borderId="22" xfId="1" applyFont="1" applyFill="1" applyBorder="1" applyAlignment="1" applyProtection="1">
      <alignment vertical="center" wrapText="1"/>
      <protection locked="0"/>
    </xf>
    <xf numFmtId="2" fontId="27" fillId="0" borderId="23" xfId="1" applyNumberFormat="1" applyFont="1" applyBorder="1" applyAlignment="1" applyProtection="1">
      <alignment horizontal="right" vertical="center"/>
      <protection locked="0"/>
    </xf>
    <xf numFmtId="2" fontId="30" fillId="0" borderId="24" xfId="1" applyNumberFormat="1" applyFont="1" applyBorder="1" applyAlignment="1" applyProtection="1">
      <alignment horizontal="right" vertical="center"/>
      <protection locked="0"/>
    </xf>
    <xf numFmtId="2" fontId="26" fillId="0" borderId="3" xfId="1" applyNumberFormat="1" applyFont="1" applyBorder="1" applyAlignment="1" applyProtection="1">
      <alignment horizontal="right" vertical="center"/>
      <protection locked="0"/>
    </xf>
    <xf numFmtId="39" fontId="26" fillId="0" borderId="68" xfId="1" applyNumberFormat="1" applyFont="1" applyBorder="1" applyAlignment="1" applyProtection="1">
      <alignment horizontal="right" vertical="center"/>
      <protection locked="0"/>
    </xf>
    <xf numFmtId="2" fontId="27" fillId="0" borderId="2" xfId="1" applyNumberFormat="1" applyFont="1" applyBorder="1" applyAlignment="1" applyProtection="1">
      <alignment horizontal="right" vertical="center"/>
      <protection locked="0"/>
    </xf>
    <xf numFmtId="2" fontId="30" fillId="0" borderId="52" xfId="1" applyNumberFormat="1" applyFont="1" applyBorder="1" applyAlignment="1" applyProtection="1">
      <alignment horizontal="right" vertical="center"/>
      <protection locked="0"/>
    </xf>
    <xf numFmtId="2" fontId="30" fillId="0" borderId="2" xfId="1" applyNumberFormat="1" applyFont="1" applyBorder="1" applyAlignment="1" applyProtection="1">
      <alignment horizontal="right" vertical="center"/>
      <protection locked="0"/>
    </xf>
    <xf numFmtId="3" fontId="30" fillId="0" borderId="23" xfId="1" applyNumberFormat="1" applyFont="1" applyBorder="1" applyAlignment="1" applyProtection="1">
      <alignment horizontal="right" vertical="center"/>
      <protection locked="0"/>
    </xf>
    <xf numFmtId="3" fontId="30" fillId="0" borderId="23" xfId="2" applyNumberFormat="1" applyFont="1" applyBorder="1" applyAlignment="1" applyProtection="1">
      <alignment horizontal="right" vertical="center"/>
      <protection locked="0"/>
    </xf>
    <xf numFmtId="3" fontId="30" fillId="0" borderId="24" xfId="2" applyNumberFormat="1" applyFont="1" applyBorder="1" applyAlignment="1" applyProtection="1">
      <alignment horizontal="right" vertical="center"/>
      <protection locked="0"/>
    </xf>
    <xf numFmtId="3" fontId="30" fillId="0" borderId="2" xfId="2" applyNumberFormat="1" applyFont="1" applyBorder="1" applyAlignment="1" applyProtection="1">
      <alignment horizontal="right" vertical="center"/>
      <protection locked="0"/>
    </xf>
    <xf numFmtId="3" fontId="27" fillId="0" borderId="2" xfId="2" applyNumberFormat="1" applyFont="1" applyBorder="1" applyAlignment="1" applyProtection="1">
      <alignment horizontal="right" vertical="center"/>
      <protection locked="0"/>
    </xf>
    <xf numFmtId="3" fontId="30" fillId="0" borderId="52" xfId="2" applyNumberFormat="1" applyFont="1" applyBorder="1" applyAlignment="1" applyProtection="1">
      <alignment horizontal="right" vertical="center"/>
      <protection locked="0"/>
    </xf>
    <xf numFmtId="3" fontId="30" fillId="0" borderId="3" xfId="2" applyNumberFormat="1" applyFont="1" applyBorder="1" applyAlignment="1" applyProtection="1">
      <alignment horizontal="right" vertical="center"/>
      <protection locked="0"/>
    </xf>
    <xf numFmtId="3" fontId="30" fillId="0" borderId="53" xfId="2" applyNumberFormat="1" applyFont="1" applyBorder="1" applyAlignment="1" applyProtection="1">
      <alignment horizontal="right" vertical="center"/>
      <protection locked="0"/>
    </xf>
    <xf numFmtId="176" fontId="24" fillId="0" borderId="0" xfId="0" applyNumberFormat="1" applyFont="1" applyProtection="1">
      <protection locked="0"/>
    </xf>
    <xf numFmtId="0" fontId="25" fillId="13" borderId="7" xfId="1" applyFont="1" applyFill="1" applyBorder="1" applyAlignment="1" applyProtection="1">
      <alignment vertical="center" wrapText="1"/>
      <protection locked="0"/>
    </xf>
    <xf numFmtId="2" fontId="30" fillId="0" borderId="3" xfId="1" applyNumberFormat="1" applyFont="1" applyBorder="1" applyAlignment="1" applyProtection="1">
      <alignment horizontal="right" vertical="center"/>
      <protection locked="0"/>
    </xf>
    <xf numFmtId="2" fontId="30" fillId="0" borderId="53" xfId="1" applyNumberFormat="1" applyFont="1" applyBorder="1" applyAlignment="1" applyProtection="1">
      <alignment horizontal="right" vertical="center"/>
      <protection locked="0"/>
    </xf>
    <xf numFmtId="0" fontId="23" fillId="9" borderId="39" xfId="1" applyFont="1" applyFill="1" applyBorder="1" applyAlignment="1" applyProtection="1">
      <alignment horizontal="center" vertical="center" wrapText="1"/>
      <protection locked="0"/>
    </xf>
    <xf numFmtId="0" fontId="23" fillId="9" borderId="69" xfId="1" applyFont="1" applyFill="1" applyBorder="1" applyAlignment="1" applyProtection="1">
      <alignment horizontal="center" vertical="center" wrapText="1"/>
      <protection locked="0"/>
    </xf>
    <xf numFmtId="0" fontId="23" fillId="9" borderId="68" xfId="1" applyFont="1" applyFill="1" applyBorder="1" applyAlignment="1" applyProtection="1">
      <alignment horizontal="center" vertical="center" wrapText="1"/>
      <protection locked="0"/>
    </xf>
    <xf numFmtId="0" fontId="23" fillId="9" borderId="30" xfId="1" applyFont="1" applyFill="1" applyBorder="1" applyAlignment="1" applyProtection="1">
      <alignment horizontal="center" vertical="center" wrapText="1"/>
      <protection locked="0"/>
    </xf>
    <xf numFmtId="3" fontId="30" fillId="0" borderId="55" xfId="2" applyNumberFormat="1" applyFont="1" applyBorder="1" applyAlignment="1" applyProtection="1">
      <alignment horizontal="right" vertical="center"/>
      <protection locked="0"/>
    </xf>
    <xf numFmtId="3" fontId="26" fillId="0" borderId="23" xfId="2" applyNumberFormat="1" applyFont="1" applyBorder="1" applyAlignment="1" applyProtection="1">
      <alignment horizontal="right" vertical="center" wrapText="1"/>
      <protection locked="0"/>
    </xf>
    <xf numFmtId="3" fontId="26" fillId="4" borderId="41" xfId="2" applyNumberFormat="1" applyFont="1" applyFill="1" applyBorder="1" applyAlignment="1" applyProtection="1">
      <alignment horizontal="right" vertical="center" wrapText="1"/>
      <protection locked="0"/>
    </xf>
    <xf numFmtId="3" fontId="26" fillId="4" borderId="23" xfId="2" applyNumberFormat="1" applyFont="1" applyFill="1" applyBorder="1" applyAlignment="1" applyProtection="1">
      <alignment horizontal="right" vertical="center" wrapText="1"/>
      <protection locked="0"/>
    </xf>
    <xf numFmtId="3" fontId="30" fillId="0" borderId="31" xfId="2" applyNumberFormat="1" applyFont="1" applyBorder="1" applyAlignment="1" applyProtection="1">
      <alignment horizontal="right" vertical="center"/>
      <protection locked="0"/>
    </xf>
    <xf numFmtId="3" fontId="26" fillId="0" borderId="2" xfId="2" applyNumberFormat="1" applyFont="1" applyBorder="1" applyAlignment="1" applyProtection="1">
      <alignment horizontal="right" vertical="center" wrapText="1"/>
      <protection locked="0"/>
    </xf>
    <xf numFmtId="3" fontId="26" fillId="4" borderId="2" xfId="2" applyNumberFormat="1" applyFont="1" applyFill="1" applyBorder="1" applyAlignment="1" applyProtection="1">
      <alignment horizontal="right" vertical="center" wrapText="1"/>
      <protection locked="0"/>
    </xf>
    <xf numFmtId="3" fontId="26" fillId="4" borderId="19" xfId="2" applyNumberFormat="1" applyFont="1" applyFill="1" applyBorder="1" applyAlignment="1" applyProtection="1">
      <alignment horizontal="right" vertical="center" wrapText="1"/>
      <protection locked="0"/>
    </xf>
    <xf numFmtId="3" fontId="26" fillId="0" borderId="2" xfId="2" quotePrefix="1" applyNumberFormat="1" applyFont="1" applyBorder="1" applyAlignment="1" applyProtection="1">
      <alignment horizontal="right" vertical="center" wrapText="1"/>
      <protection locked="0"/>
    </xf>
    <xf numFmtId="3" fontId="26" fillId="4" borderId="2" xfId="2" quotePrefix="1" applyNumberFormat="1" applyFont="1" applyFill="1" applyBorder="1" applyAlignment="1" applyProtection="1">
      <alignment horizontal="right" vertical="center" wrapText="1"/>
      <protection locked="0"/>
    </xf>
    <xf numFmtId="3" fontId="26" fillId="0" borderId="52" xfId="1" quotePrefix="1" applyNumberFormat="1" applyFont="1" applyBorder="1" applyAlignment="1" applyProtection="1">
      <alignment horizontal="right" vertical="center"/>
      <protection locked="0"/>
    </xf>
    <xf numFmtId="3" fontId="30" fillId="0" borderId="2" xfId="2" quotePrefix="1" applyNumberFormat="1" applyFont="1" applyBorder="1" applyAlignment="1" applyProtection="1">
      <alignment horizontal="right" vertical="center"/>
      <protection locked="0"/>
    </xf>
    <xf numFmtId="174" fontId="30" fillId="0" borderId="3" xfId="2" applyNumberFormat="1" applyFont="1" applyBorder="1" applyAlignment="1" applyProtection="1">
      <alignment horizontal="right" vertical="center"/>
      <protection locked="0"/>
    </xf>
    <xf numFmtId="3" fontId="30" fillId="0" borderId="32" xfId="2" applyNumberFormat="1" applyFont="1" applyBorder="1" applyAlignment="1" applyProtection="1">
      <alignment horizontal="right" vertical="center"/>
      <protection locked="0"/>
    </xf>
    <xf numFmtId="3" fontId="26" fillId="0" borderId="3" xfId="2" applyNumberFormat="1" applyFont="1" applyBorder="1" applyAlignment="1" applyProtection="1">
      <alignment horizontal="right" vertical="center" wrapText="1"/>
      <protection locked="0"/>
    </xf>
    <xf numFmtId="3" fontId="26" fillId="4" borderId="3" xfId="2" applyNumberFormat="1" applyFont="1" applyFill="1" applyBorder="1" applyAlignment="1" applyProtection="1">
      <alignment horizontal="right" vertical="center" wrapText="1"/>
      <protection locked="0"/>
    </xf>
    <xf numFmtId="3" fontId="26" fillId="0" borderId="53" xfId="1" quotePrefix="1" applyNumberFormat="1" applyFont="1" applyBorder="1" applyAlignment="1" applyProtection="1">
      <alignment horizontal="right" vertical="center"/>
      <protection locked="0"/>
    </xf>
    <xf numFmtId="0" fontId="31" fillId="9" borderId="11" xfId="0" applyFont="1" applyFill="1" applyBorder="1" applyProtection="1">
      <protection locked="0"/>
    </xf>
    <xf numFmtId="3" fontId="31" fillId="0" borderId="70" xfId="0" applyNumberFormat="1" applyFont="1" applyBorder="1" applyAlignment="1" applyProtection="1">
      <alignment horizontal="center"/>
      <protection locked="0"/>
    </xf>
    <xf numFmtId="175" fontId="31" fillId="9" borderId="71" xfId="0" applyNumberFormat="1" applyFont="1" applyFill="1" applyBorder="1" applyAlignment="1" applyProtection="1">
      <alignment horizontal="center" vertical="center"/>
      <protection locked="0"/>
    </xf>
    <xf numFmtId="175" fontId="31" fillId="9" borderId="38" xfId="0" applyNumberFormat="1" applyFont="1" applyFill="1" applyBorder="1" applyAlignment="1" applyProtection="1">
      <alignment horizontal="center" vertical="center" wrapText="1"/>
      <protection locked="0"/>
    </xf>
    <xf numFmtId="175" fontId="31" fillId="9" borderId="30" xfId="0" applyNumberFormat="1" applyFont="1" applyFill="1" applyBorder="1" applyAlignment="1" applyProtection="1">
      <alignment horizontal="center" vertical="center" wrapText="1"/>
      <protection locked="0"/>
    </xf>
    <xf numFmtId="3" fontId="24" fillId="0" borderId="23" xfId="0" applyNumberFormat="1" applyFont="1" applyBorder="1" applyAlignment="1" applyProtection="1">
      <alignment horizontal="right" vertical="center"/>
      <protection locked="0"/>
    </xf>
    <xf numFmtId="3" fontId="24" fillId="0" borderId="72" xfId="0" applyNumberFormat="1" applyFont="1" applyBorder="1" applyAlignment="1" applyProtection="1">
      <alignment horizontal="right" vertical="center"/>
      <protection locked="0"/>
    </xf>
    <xf numFmtId="2" fontId="23" fillId="0" borderId="54" xfId="1" applyNumberFormat="1" applyFont="1" applyBorder="1" applyAlignment="1" applyProtection="1">
      <alignment horizontal="left" vertical="center"/>
      <protection locked="0"/>
    </xf>
    <xf numFmtId="3" fontId="27" fillId="0" borderId="24" xfId="2" applyNumberFormat="1" applyFont="1" applyBorder="1" applyAlignment="1" applyProtection="1">
      <alignment horizontal="right" vertical="center"/>
      <protection locked="0"/>
    </xf>
    <xf numFmtId="3" fontId="24" fillId="0" borderId="2" xfId="0" applyNumberFormat="1" applyFont="1" applyBorder="1" applyAlignment="1" applyProtection="1">
      <alignment horizontal="right" vertical="center"/>
      <protection locked="0"/>
    </xf>
    <xf numFmtId="3" fontId="24" fillId="0" borderId="73" xfId="0" applyNumberFormat="1" applyFont="1" applyBorder="1" applyAlignment="1" applyProtection="1">
      <alignment horizontal="right" vertical="center"/>
      <protection locked="0"/>
    </xf>
    <xf numFmtId="2" fontId="23" fillId="0" borderId="13" xfId="1" applyNumberFormat="1" applyFont="1" applyBorder="1" applyAlignment="1" applyProtection="1">
      <alignment horizontal="left" vertical="center"/>
      <protection locked="0"/>
    </xf>
    <xf numFmtId="3" fontId="27" fillId="0" borderId="52" xfId="2" applyNumberFormat="1" applyFont="1" applyBorder="1" applyAlignment="1" applyProtection="1">
      <alignment horizontal="right" vertical="center"/>
      <protection locked="0"/>
    </xf>
    <xf numFmtId="1" fontId="30" fillId="0" borderId="2" xfId="1" applyNumberFormat="1" applyFont="1" applyBorder="1" applyAlignment="1" applyProtection="1">
      <alignment horizontal="right" vertical="center"/>
      <protection locked="0"/>
    </xf>
    <xf numFmtId="2" fontId="31" fillId="0" borderId="59" xfId="0" applyNumberFormat="1" applyFont="1" applyBorder="1" applyAlignment="1" applyProtection="1">
      <alignment horizontal="left" vertical="center"/>
      <protection locked="0"/>
    </xf>
    <xf numFmtId="2" fontId="23" fillId="0" borderId="74" xfId="1" applyNumberFormat="1" applyFont="1" applyBorder="1" applyAlignment="1" applyProtection="1">
      <alignment horizontal="left" vertical="center"/>
      <protection locked="0"/>
    </xf>
    <xf numFmtId="0" fontId="24" fillId="0" borderId="3" xfId="0" applyFont="1" applyBorder="1" applyAlignment="1" applyProtection="1">
      <alignment horizontal="right" vertical="center"/>
      <protection locked="0"/>
    </xf>
    <xf numFmtId="3" fontId="24" fillId="0" borderId="3" xfId="0" applyNumberFormat="1" applyFont="1" applyBorder="1" applyAlignment="1" applyProtection="1">
      <alignment horizontal="right" vertical="center"/>
      <protection locked="0"/>
    </xf>
    <xf numFmtId="3" fontId="24" fillId="0" borderId="32" xfId="0" applyNumberFormat="1" applyFont="1" applyBorder="1" applyAlignment="1" applyProtection="1">
      <alignment horizontal="right" vertical="center"/>
      <protection locked="0"/>
    </xf>
    <xf numFmtId="3" fontId="27" fillId="0" borderId="30" xfId="2" applyNumberFormat="1" applyFont="1" applyBorder="1" applyAlignment="1" applyProtection="1">
      <alignment horizontal="right" vertical="center"/>
      <protection locked="0"/>
    </xf>
    <xf numFmtId="0" fontId="24" fillId="0" borderId="31" xfId="0" applyFont="1" applyBorder="1" applyAlignment="1" applyProtection="1">
      <alignment vertical="center"/>
      <protection locked="0"/>
    </xf>
    <xf numFmtId="0" fontId="24" fillId="0" borderId="75" xfId="0" applyFont="1" applyBorder="1" applyAlignment="1" applyProtection="1">
      <alignment horizontal="left" vertical="center"/>
      <protection locked="0"/>
    </xf>
    <xf numFmtId="0" fontId="24" fillId="0" borderId="75" xfId="0" applyFont="1" applyBorder="1" applyAlignment="1" applyProtection="1">
      <alignment vertical="center"/>
      <protection locked="0"/>
    </xf>
    <xf numFmtId="0" fontId="24" fillId="0" borderId="75" xfId="0" applyFont="1" applyBorder="1" applyAlignment="1" applyProtection="1">
      <alignment horizontal="center" vertical="center"/>
      <protection locked="0"/>
    </xf>
    <xf numFmtId="0" fontId="24" fillId="0" borderId="36" xfId="0" applyFont="1" applyBorder="1" applyAlignment="1" applyProtection="1">
      <alignment horizontal="center" vertical="center"/>
      <protection locked="0"/>
    </xf>
    <xf numFmtId="4" fontId="24" fillId="0" borderId="24" xfId="0" applyNumberFormat="1" applyFont="1" applyBorder="1" applyAlignment="1" applyProtection="1">
      <alignment horizontal="center" vertical="center"/>
      <protection locked="0"/>
    </xf>
    <xf numFmtId="0" fontId="24" fillId="0" borderId="64" xfId="0" applyFont="1" applyBorder="1" applyAlignment="1" applyProtection="1">
      <alignment vertical="center"/>
      <protection locked="0"/>
    </xf>
    <xf numFmtId="0" fontId="24" fillId="0" borderId="64" xfId="0" applyFont="1" applyBorder="1" applyAlignment="1" applyProtection="1">
      <alignment horizontal="center" vertical="center"/>
      <protection locked="0"/>
    </xf>
    <xf numFmtId="0" fontId="24" fillId="0" borderId="15" xfId="0" applyFont="1" applyBorder="1" applyAlignment="1" applyProtection="1">
      <alignment horizontal="center" vertical="center"/>
      <protection locked="0"/>
    </xf>
    <xf numFmtId="2" fontId="24" fillId="0" borderId="52" xfId="3" applyNumberFormat="1" applyFont="1" applyBorder="1" applyAlignment="1" applyProtection="1">
      <alignment horizontal="center" vertical="center" wrapText="1"/>
      <protection locked="0"/>
    </xf>
    <xf numFmtId="2" fontId="24" fillId="0" borderId="53" xfId="3" applyNumberFormat="1" applyFont="1" applyBorder="1" applyAlignment="1" applyProtection="1">
      <alignment horizontal="center" vertical="center" wrapText="1"/>
      <protection locked="0"/>
    </xf>
    <xf numFmtId="0" fontId="0" fillId="0" borderId="58" xfId="0" applyBorder="1"/>
    <xf numFmtId="2" fontId="12" fillId="0" borderId="48" xfId="0" applyNumberFormat="1" applyFont="1" applyBorder="1" applyAlignment="1">
      <alignment horizontal="center" vertical="center"/>
    </xf>
    <xf numFmtId="0" fontId="12" fillId="0" borderId="48" xfId="0" applyFont="1" applyBorder="1" applyAlignment="1">
      <alignment horizontal="center" vertical="center"/>
    </xf>
    <xf numFmtId="166" fontId="7" fillId="0" borderId="2" xfId="0" applyNumberFormat="1" applyFont="1" applyBorder="1" applyAlignment="1">
      <alignment horizontal="center" vertical="center"/>
    </xf>
    <xf numFmtId="166" fontId="17" fillId="0" borderId="0" xfId="0" applyNumberFormat="1" applyFont="1"/>
    <xf numFmtId="0" fontId="17" fillId="0" borderId="0" xfId="0" applyFont="1"/>
    <xf numFmtId="0" fontId="18" fillId="0" borderId="0" xfId="0" applyFont="1" applyAlignment="1">
      <alignment horizontal="center" vertical="center"/>
    </xf>
    <xf numFmtId="168" fontId="18" fillId="0" borderId="0" xfId="0" applyNumberFormat="1" applyFont="1" applyAlignment="1">
      <alignment horizontal="center"/>
    </xf>
    <xf numFmtId="0" fontId="37" fillId="0" borderId="1" xfId="0" applyFont="1" applyBorder="1" applyAlignment="1">
      <alignment horizontal="center"/>
    </xf>
    <xf numFmtId="0" fontId="17" fillId="0" borderId="11" xfId="0" applyFont="1" applyBorder="1" applyAlignment="1">
      <alignment horizontal="center" vertical="center"/>
    </xf>
    <xf numFmtId="0" fontId="17" fillId="0" borderId="1" xfId="0" applyFont="1" applyBorder="1" applyAlignment="1">
      <alignment horizontal="center" vertical="center" wrapText="1"/>
    </xf>
    <xf numFmtId="3" fontId="17" fillId="0" borderId="1" xfId="0" applyNumberFormat="1" applyFont="1" applyBorder="1" applyAlignment="1">
      <alignment horizontal="center"/>
    </xf>
    <xf numFmtId="3" fontId="17" fillId="0" borderId="9" xfId="0" applyNumberFormat="1" applyFont="1" applyBorder="1" applyAlignment="1">
      <alignment horizontal="center"/>
    </xf>
    <xf numFmtId="3" fontId="17" fillId="0" borderId="21" xfId="0" applyNumberFormat="1" applyFont="1" applyBorder="1" applyAlignment="1">
      <alignment horizontal="center"/>
    </xf>
    <xf numFmtId="2" fontId="17" fillId="0" borderId="21" xfId="0" applyNumberFormat="1" applyFont="1" applyBorder="1" applyAlignment="1">
      <alignment horizontal="center"/>
    </xf>
    <xf numFmtId="4" fontId="17" fillId="0" borderId="1" xfId="0" applyNumberFormat="1" applyFont="1" applyBorder="1" applyAlignment="1">
      <alignment horizontal="center"/>
    </xf>
    <xf numFmtId="167" fontId="17" fillId="0" borderId="21" xfId="0" applyNumberFormat="1" applyFont="1" applyBorder="1" applyAlignment="1">
      <alignment horizontal="center" vertical="center"/>
    </xf>
    <xf numFmtId="3" fontId="0" fillId="0" borderId="2" xfId="0" applyNumberFormat="1" applyBorder="1" applyAlignment="1">
      <alignment horizontal="center"/>
    </xf>
    <xf numFmtId="3" fontId="0" fillId="0" borderId="67" xfId="0" applyNumberFormat="1" applyBorder="1" applyAlignment="1">
      <alignment horizontal="center" vertical="center"/>
    </xf>
    <xf numFmtId="17" fontId="18" fillId="0" borderId="0" xfId="0" applyNumberFormat="1" applyFont="1" applyAlignment="1">
      <alignment vertical="center"/>
    </xf>
    <xf numFmtId="167" fontId="18" fillId="0" borderId="0" xfId="0" applyNumberFormat="1" applyFont="1" applyAlignment="1">
      <alignment vertical="center"/>
    </xf>
    <xf numFmtId="167" fontId="18" fillId="0" borderId="20" xfId="0" applyNumberFormat="1" applyFont="1" applyBorder="1" applyAlignment="1">
      <alignment horizontal="right" vertical="center"/>
    </xf>
    <xf numFmtId="167" fontId="18" fillId="0" borderId="33" xfId="0" applyNumberFormat="1" applyFont="1" applyBorder="1" applyAlignment="1">
      <alignment horizontal="right" vertical="center"/>
    </xf>
    <xf numFmtId="0" fontId="18" fillId="0" borderId="33" xfId="0" applyFont="1" applyBorder="1" applyAlignment="1">
      <alignment horizontal="right" vertical="center"/>
    </xf>
    <xf numFmtId="167" fontId="18" fillId="0" borderId="11" xfId="0" applyNumberFormat="1" applyFont="1" applyBorder="1" applyAlignment="1">
      <alignment horizontal="right" vertical="center"/>
    </xf>
    <xf numFmtId="167" fontId="18" fillId="0" borderId="8" xfId="0" applyNumberFormat="1" applyFont="1" applyBorder="1" applyAlignment="1">
      <alignment horizontal="right" vertical="center"/>
    </xf>
    <xf numFmtId="0" fontId="20" fillId="0" borderId="0" xfId="0" applyFont="1"/>
    <xf numFmtId="168" fontId="18" fillId="0" borderId="2" xfId="2" applyNumberFormat="1" applyFont="1" applyBorder="1" applyAlignment="1">
      <alignment horizontal="center"/>
    </xf>
    <xf numFmtId="168" fontId="18" fillId="0" borderId="0" xfId="2" applyNumberFormat="1" applyFont="1" applyAlignment="1">
      <alignment horizontal="center"/>
    </xf>
    <xf numFmtId="168" fontId="18" fillId="0" borderId="0" xfId="2" applyNumberFormat="1" applyFont="1" applyAlignment="1">
      <alignment horizontal="center" vertical="center"/>
    </xf>
    <xf numFmtId="10" fontId="18" fillId="0" borderId="0" xfId="3" applyNumberFormat="1" applyFont="1" applyAlignment="1">
      <alignment horizontal="center"/>
    </xf>
    <xf numFmtId="168" fontId="35" fillId="0" borderId="0" xfId="2" applyNumberFormat="1" applyFont="1" applyAlignment="1">
      <alignment horizontal="right" vertical="center"/>
    </xf>
    <xf numFmtId="0" fontId="44" fillId="11" borderId="38" xfId="0" applyFont="1" applyFill="1" applyBorder="1" applyAlignment="1">
      <alignment horizontal="center" vertical="center" wrapText="1"/>
    </xf>
    <xf numFmtId="0" fontId="44" fillId="11" borderId="38" xfId="0" applyFont="1" applyFill="1" applyBorder="1" applyAlignment="1">
      <alignment horizontal="center" vertical="center"/>
    </xf>
    <xf numFmtId="168" fontId="35" fillId="0" borderId="0" xfId="2" applyNumberFormat="1" applyFont="1" applyAlignment="1">
      <alignment horizontal="center" vertical="center"/>
    </xf>
    <xf numFmtId="168" fontId="18" fillId="0" borderId="2" xfId="2" applyNumberFormat="1" applyFont="1" applyBorder="1" applyAlignment="1">
      <alignment horizontal="center" vertical="center"/>
    </xf>
    <xf numFmtId="168" fontId="35" fillId="0" borderId="5" xfId="2" applyNumberFormat="1" applyFont="1" applyBorder="1" applyAlignment="1">
      <alignment horizontal="center" vertical="center"/>
    </xf>
    <xf numFmtId="168" fontId="18" fillId="0" borderId="13" xfId="2" applyNumberFormat="1" applyFont="1" applyBorder="1" applyAlignment="1">
      <alignment horizontal="center"/>
    </xf>
    <xf numFmtId="168" fontId="18" fillId="0" borderId="52" xfId="2" applyNumberFormat="1" applyFont="1" applyBorder="1" applyAlignment="1">
      <alignment horizontal="center"/>
    </xf>
    <xf numFmtId="0" fontId="44" fillId="11" borderId="21" xfId="0" applyFont="1" applyFill="1" applyBorder="1" applyAlignment="1">
      <alignment horizontal="center" vertical="center"/>
    </xf>
    <xf numFmtId="0" fontId="44" fillId="11" borderId="37" xfId="0" applyFont="1" applyFill="1" applyBorder="1" applyAlignment="1">
      <alignment horizontal="center" vertical="center" wrapText="1"/>
    </xf>
    <xf numFmtId="0" fontId="44" fillId="11" borderId="30" xfId="0" applyFont="1" applyFill="1" applyBorder="1" applyAlignment="1">
      <alignment horizontal="center" vertical="center" wrapText="1"/>
    </xf>
    <xf numFmtId="0" fontId="21" fillId="11" borderId="71" xfId="0" applyFont="1" applyFill="1" applyBorder="1" applyAlignment="1">
      <alignment horizontal="center" vertical="center" wrapText="1"/>
    </xf>
    <xf numFmtId="0" fontId="21" fillId="11" borderId="30" xfId="0" applyFont="1" applyFill="1" applyBorder="1" applyAlignment="1">
      <alignment horizontal="center" vertical="center" wrapText="1"/>
    </xf>
    <xf numFmtId="168" fontId="18" fillId="0" borderId="57" xfId="2" applyNumberFormat="1" applyFont="1" applyBorder="1" applyAlignment="1">
      <alignment horizontal="center"/>
    </xf>
    <xf numFmtId="168" fontId="35" fillId="0" borderId="94" xfId="2" applyNumberFormat="1" applyFont="1" applyBorder="1" applyAlignment="1">
      <alignment horizontal="right" vertical="center"/>
    </xf>
    <xf numFmtId="168" fontId="35" fillId="0" borderId="79" xfId="2" applyNumberFormat="1" applyFont="1" applyBorder="1" applyAlignment="1">
      <alignment horizontal="right" vertical="center"/>
    </xf>
    <xf numFmtId="168" fontId="18" fillId="0" borderId="95" xfId="2" applyNumberFormat="1" applyFont="1" applyBorder="1" applyAlignment="1">
      <alignment horizontal="center"/>
    </xf>
    <xf numFmtId="0" fontId="44" fillId="11" borderId="21" xfId="0" applyFont="1" applyFill="1" applyBorder="1"/>
    <xf numFmtId="168" fontId="44" fillId="14" borderId="37" xfId="2" applyNumberFormat="1" applyFont="1" applyFill="1" applyBorder="1" applyAlignment="1">
      <alignment horizontal="center" vertical="center"/>
    </xf>
    <xf numFmtId="168" fontId="44" fillId="14" borderId="38" xfId="2" applyNumberFormat="1" applyFont="1" applyFill="1" applyBorder="1" applyAlignment="1">
      <alignment horizontal="center" vertical="center"/>
    </xf>
    <xf numFmtId="2" fontId="44" fillId="14" borderId="38" xfId="0" applyNumberFormat="1" applyFont="1" applyFill="1" applyBorder="1" applyAlignment="1">
      <alignment horizontal="center"/>
    </xf>
    <xf numFmtId="10" fontId="44" fillId="14" borderId="30" xfId="3" applyNumberFormat="1" applyFont="1" applyFill="1" applyBorder="1" applyAlignment="1">
      <alignment horizontal="center" vertical="center"/>
    </xf>
    <xf numFmtId="168" fontId="44" fillId="14" borderId="37" xfId="2" applyNumberFormat="1" applyFont="1" applyFill="1" applyBorder="1" applyAlignment="1">
      <alignment horizontal="right" vertical="center"/>
    </xf>
    <xf numFmtId="168" fontId="44" fillId="14" borderId="38" xfId="2" applyNumberFormat="1" applyFont="1" applyFill="1" applyBorder="1" applyAlignment="1">
      <alignment horizontal="right" vertical="center"/>
    </xf>
    <xf numFmtId="168" fontId="44" fillId="14" borderId="30" xfId="2" applyNumberFormat="1" applyFont="1" applyFill="1" applyBorder="1" applyAlignment="1">
      <alignment horizontal="right" vertical="center"/>
    </xf>
    <xf numFmtId="168" fontId="44" fillId="14" borderId="71" xfId="2" applyNumberFormat="1" applyFont="1" applyFill="1" applyBorder="1" applyAlignment="1">
      <alignment horizontal="right" vertical="center"/>
    </xf>
    <xf numFmtId="17" fontId="44" fillId="15" borderId="93" xfId="0" applyNumberFormat="1" applyFont="1" applyFill="1" applyBorder="1" applyAlignment="1">
      <alignment horizontal="center"/>
    </xf>
    <xf numFmtId="17" fontId="21" fillId="0" borderId="0" xfId="0" applyNumberFormat="1" applyFont="1" applyAlignment="1">
      <alignment horizontal="center" vertical="center" wrapText="1"/>
    </xf>
    <xf numFmtId="2" fontId="21" fillId="0" borderId="0" xfId="0" applyNumberFormat="1" applyFont="1" applyAlignment="1">
      <alignment horizontal="center" vertical="center"/>
    </xf>
    <xf numFmtId="2" fontId="18" fillId="0" borderId="0" xfId="0" applyNumberFormat="1" applyFont="1" applyAlignment="1">
      <alignment horizontal="center" vertical="center"/>
    </xf>
    <xf numFmtId="9" fontId="18" fillId="0" borderId="0" xfId="3" applyFont="1" applyAlignment="1">
      <alignment horizontal="center" vertical="center"/>
    </xf>
    <xf numFmtId="170" fontId="18" fillId="0" borderId="0" xfId="0" applyNumberFormat="1" applyFont="1" applyAlignment="1">
      <alignment horizontal="center" vertical="center"/>
    </xf>
    <xf numFmtId="0" fontId="21" fillId="9" borderId="1" xfId="0" applyFont="1" applyFill="1" applyBorder="1" applyAlignment="1">
      <alignment horizontal="center" vertical="center"/>
    </xf>
    <xf numFmtId="172" fontId="18" fillId="6" borderId="69" xfId="3" applyNumberFormat="1" applyFont="1" applyFill="1" applyBorder="1" applyAlignment="1">
      <alignment horizontal="right" vertical="center"/>
    </xf>
    <xf numFmtId="0" fontId="21" fillId="15" borderId="92" xfId="0" applyFont="1" applyFill="1" applyBorder="1" applyAlignment="1">
      <alignment horizontal="left" vertical="center" wrapText="1"/>
    </xf>
    <xf numFmtId="0" fontId="21" fillId="15" borderId="56" xfId="0" applyFont="1" applyFill="1" applyBorder="1" applyAlignment="1">
      <alignment horizontal="left" vertical="center" wrapText="1"/>
    </xf>
    <xf numFmtId="0" fontId="21" fillId="15" borderId="89" xfId="0" applyFont="1" applyFill="1" applyBorder="1" applyAlignment="1">
      <alignment horizontal="left" vertical="center" wrapText="1"/>
    </xf>
    <xf numFmtId="172" fontId="21" fillId="14" borderId="70" xfId="3" applyNumberFormat="1" applyFont="1" applyFill="1" applyBorder="1" applyAlignment="1">
      <alignment horizontal="right" vertical="center"/>
    </xf>
    <xf numFmtId="172" fontId="18" fillId="6" borderId="39" xfId="3" applyNumberFormat="1" applyFont="1" applyFill="1" applyBorder="1" applyAlignment="1">
      <alignment horizontal="right" vertical="center"/>
    </xf>
    <xf numFmtId="172" fontId="18" fillId="6" borderId="87" xfId="3" applyNumberFormat="1" applyFont="1" applyFill="1" applyBorder="1" applyAlignment="1">
      <alignment horizontal="right" vertical="center"/>
    </xf>
    <xf numFmtId="0" fontId="21" fillId="14" borderId="27" xfId="0" applyFont="1" applyFill="1" applyBorder="1" applyAlignment="1">
      <alignment horizontal="left" vertical="center" wrapText="1"/>
    </xf>
    <xf numFmtId="0" fontId="21" fillId="15" borderId="33" xfId="0" applyFont="1" applyFill="1" applyBorder="1" applyAlignment="1">
      <alignment vertical="center"/>
    </xf>
    <xf numFmtId="0" fontId="21" fillId="15" borderId="11" xfId="0" applyFont="1" applyFill="1" applyBorder="1" applyAlignment="1">
      <alignment vertical="center" wrapText="1"/>
    </xf>
    <xf numFmtId="0" fontId="21" fillId="15" borderId="11" xfId="0" applyFont="1" applyFill="1" applyBorder="1" applyAlignment="1">
      <alignment horizontal="left" vertical="center" wrapText="1"/>
    </xf>
    <xf numFmtId="0" fontId="21" fillId="15" borderId="20" xfId="0" applyFont="1" applyFill="1" applyBorder="1" applyAlignment="1">
      <alignment vertical="center"/>
    </xf>
    <xf numFmtId="0" fontId="21" fillId="15" borderId="11" xfId="0" applyFont="1" applyFill="1" applyBorder="1" applyAlignment="1">
      <alignment vertical="center"/>
    </xf>
    <xf numFmtId="0" fontId="21" fillId="15" borderId="33" xfId="0" applyFont="1" applyFill="1" applyBorder="1" applyAlignment="1">
      <alignment vertical="center" wrapText="1"/>
    </xf>
    <xf numFmtId="0" fontId="21" fillId="15" borderId="4" xfId="0" applyFont="1" applyFill="1" applyBorder="1" applyAlignment="1">
      <alignment vertical="center"/>
    </xf>
    <xf numFmtId="0" fontId="21" fillId="15" borderId="8" xfId="0" applyFont="1" applyFill="1" applyBorder="1" applyAlignment="1">
      <alignment vertical="center"/>
    </xf>
    <xf numFmtId="0" fontId="20" fillId="15" borderId="6" xfId="0" applyFont="1" applyFill="1" applyBorder="1" applyAlignment="1">
      <alignment vertical="center"/>
    </xf>
    <xf numFmtId="0" fontId="20" fillId="15" borderId="6" xfId="0" applyFont="1" applyFill="1" applyBorder="1" applyAlignment="1">
      <alignment horizontal="center" vertical="center"/>
    </xf>
    <xf numFmtId="0" fontId="20" fillId="15" borderId="12" xfId="0" applyFont="1" applyFill="1" applyBorder="1" applyAlignment="1">
      <alignment vertical="center"/>
    </xf>
    <xf numFmtId="0" fontId="20" fillId="15" borderId="12" xfId="0" applyFont="1" applyFill="1" applyBorder="1" applyAlignment="1">
      <alignment horizontal="center" vertical="center"/>
    </xf>
    <xf numFmtId="0" fontId="20" fillId="15" borderId="8" xfId="0" applyFont="1" applyFill="1" applyBorder="1" applyAlignment="1">
      <alignment vertical="center"/>
    </xf>
    <xf numFmtId="0" fontId="20" fillId="15" borderId="8" xfId="0" applyFont="1" applyFill="1" applyBorder="1" applyAlignment="1">
      <alignment horizontal="center" vertical="center"/>
    </xf>
    <xf numFmtId="0" fontId="20" fillId="15" borderId="10" xfId="0" applyFont="1" applyFill="1" applyBorder="1" applyAlignment="1">
      <alignment horizontal="center" vertical="center"/>
    </xf>
    <xf numFmtId="0" fontId="20" fillId="15" borderId="8" xfId="0" applyFont="1" applyFill="1" applyBorder="1" applyAlignment="1">
      <alignment horizontal="center" vertical="center" wrapText="1"/>
    </xf>
    <xf numFmtId="0" fontId="20" fillId="15" borderId="10" xfId="0" applyFont="1" applyFill="1" applyBorder="1" applyAlignment="1">
      <alignment vertical="center"/>
    </xf>
    <xf numFmtId="0" fontId="19" fillId="9" borderId="20" xfId="0" applyFont="1" applyFill="1" applyBorder="1" applyAlignment="1">
      <alignment horizontal="center" vertical="center"/>
    </xf>
    <xf numFmtId="0" fontId="19" fillId="9" borderId="1" xfId="0" applyFont="1" applyFill="1" applyBorder="1" applyAlignment="1">
      <alignment horizontal="center" vertical="center"/>
    </xf>
    <xf numFmtId="0" fontId="21" fillId="9" borderId="21" xfId="0" applyFont="1" applyFill="1" applyBorder="1" applyAlignment="1">
      <alignment horizontal="center" vertical="center"/>
    </xf>
    <xf numFmtId="17" fontId="21" fillId="9" borderId="1" xfId="0" applyNumberFormat="1" applyFont="1" applyFill="1" applyBorder="1" applyAlignment="1">
      <alignment horizontal="center" vertical="center"/>
    </xf>
    <xf numFmtId="0" fontId="21" fillId="9" borderId="25" xfId="0" applyFont="1" applyFill="1" applyBorder="1" applyAlignment="1">
      <alignment horizontal="center" vertical="center" wrapText="1"/>
    </xf>
    <xf numFmtId="0" fontId="0" fillId="0" borderId="0" xfId="0" applyAlignment="1">
      <alignment vertical="center"/>
    </xf>
    <xf numFmtId="0" fontId="43" fillId="0" borderId="0" xfId="0" applyFont="1" applyAlignment="1">
      <alignment vertical="center"/>
    </xf>
    <xf numFmtId="0" fontId="22" fillId="0" borderId="2" xfId="0" applyFont="1" applyBorder="1" applyAlignment="1">
      <alignment vertical="center"/>
    </xf>
    <xf numFmtId="166" fontId="22" fillId="0" borderId="2" xfId="0" applyNumberFormat="1" applyFont="1" applyBorder="1" applyAlignment="1">
      <alignment vertical="center"/>
    </xf>
    <xf numFmtId="0" fontId="0" fillId="0" borderId="0" xfId="0" applyAlignment="1">
      <alignment horizontal="center" vertical="center"/>
    </xf>
    <xf numFmtId="0" fontId="22" fillId="0" borderId="0" xfId="0" applyFont="1" applyAlignment="1">
      <alignment horizontal="center" vertical="center"/>
    </xf>
    <xf numFmtId="0" fontId="19" fillId="9" borderId="25" xfId="0" applyFont="1" applyFill="1" applyBorder="1" applyAlignment="1">
      <alignment horizontal="center" vertical="center" wrapText="1"/>
    </xf>
    <xf numFmtId="2" fontId="19" fillId="15" borderId="92" xfId="0" applyNumberFormat="1" applyFont="1" applyFill="1" applyBorder="1" applyAlignment="1">
      <alignment horizontal="left" vertical="center"/>
    </xf>
    <xf numFmtId="2" fontId="19" fillId="15" borderId="56" xfId="0" applyNumberFormat="1" applyFont="1" applyFill="1" applyBorder="1" applyAlignment="1">
      <alignment horizontal="left" vertical="center"/>
    </xf>
    <xf numFmtId="2" fontId="19" fillId="15" borderId="89" xfId="0" applyNumberFormat="1" applyFont="1" applyFill="1" applyBorder="1" applyAlignment="1">
      <alignment horizontal="left" vertical="center"/>
    </xf>
    <xf numFmtId="0" fontId="35" fillId="0" borderId="0" xfId="0" applyFont="1" applyAlignment="1">
      <alignment horizontal="center" vertical="center"/>
    </xf>
    <xf numFmtId="2" fontId="18" fillId="15" borderId="42" xfId="0" applyNumberFormat="1" applyFont="1" applyFill="1" applyBorder="1" applyAlignment="1">
      <alignment horizontal="right" vertical="center"/>
    </xf>
    <xf numFmtId="2" fontId="18" fillId="15" borderId="48" xfId="0" applyNumberFormat="1" applyFont="1" applyFill="1" applyBorder="1" applyAlignment="1">
      <alignment horizontal="right" vertical="center"/>
    </xf>
    <xf numFmtId="2" fontId="18" fillId="15" borderId="90" xfId="0" applyNumberFormat="1" applyFont="1" applyFill="1" applyBorder="1" applyAlignment="1">
      <alignment horizontal="right" vertical="center"/>
    </xf>
    <xf numFmtId="17" fontId="21" fillId="9" borderId="37" xfId="0" applyNumberFormat="1" applyFont="1" applyFill="1" applyBorder="1" applyAlignment="1">
      <alignment horizontal="center" vertical="center"/>
    </xf>
    <xf numFmtId="17" fontId="21" fillId="9" borderId="38" xfId="0" applyNumberFormat="1" applyFont="1" applyFill="1" applyBorder="1" applyAlignment="1">
      <alignment horizontal="center" vertical="center"/>
    </xf>
    <xf numFmtId="17" fontId="21" fillId="9" borderId="30" xfId="0" applyNumberFormat="1" applyFont="1" applyFill="1" applyBorder="1" applyAlignment="1">
      <alignment horizontal="center" vertical="center"/>
    </xf>
    <xf numFmtId="2" fontId="18" fillId="0" borderId="5" xfId="3" applyNumberFormat="1" applyFont="1" applyBorder="1" applyAlignment="1">
      <alignment horizontal="right" vertical="center"/>
    </xf>
    <xf numFmtId="2" fontId="18" fillId="0" borderId="2" xfId="3" applyNumberFormat="1" applyFont="1" applyBorder="1" applyAlignment="1">
      <alignment horizontal="right" vertical="center"/>
    </xf>
    <xf numFmtId="2" fontId="18" fillId="0" borderId="52" xfId="3" applyNumberFormat="1" applyFont="1" applyBorder="1" applyAlignment="1">
      <alignment horizontal="right" vertical="center"/>
    </xf>
    <xf numFmtId="2" fontId="21" fillId="0" borderId="91" xfId="3" applyNumberFormat="1" applyFont="1" applyBorder="1" applyAlignment="1">
      <alignment horizontal="right" vertical="center"/>
    </xf>
    <xf numFmtId="2" fontId="21" fillId="0" borderId="15" xfId="3" applyNumberFormat="1" applyFont="1" applyBorder="1" applyAlignment="1">
      <alignment horizontal="right" vertical="center"/>
    </xf>
    <xf numFmtId="2" fontId="18" fillId="0" borderId="5" xfId="0" applyNumberFormat="1" applyFont="1" applyBorder="1" applyAlignment="1">
      <alignment horizontal="right" vertical="center"/>
    </xf>
    <xf numFmtId="2" fontId="18" fillId="0" borderId="2" xfId="0" applyNumberFormat="1" applyFont="1" applyBorder="1" applyAlignment="1">
      <alignment horizontal="right" vertical="center"/>
    </xf>
    <xf numFmtId="2" fontId="18" fillId="0" borderId="52" xfId="0" applyNumberFormat="1" applyFont="1" applyBorder="1" applyAlignment="1">
      <alignment horizontal="right" vertical="center"/>
    </xf>
    <xf numFmtId="2" fontId="35" fillId="0" borderId="7" xfId="0" applyNumberFormat="1" applyFont="1" applyBorder="1" applyAlignment="1">
      <alignment horizontal="right" vertical="center"/>
    </xf>
    <xf numFmtId="2" fontId="35" fillId="0" borderId="3" xfId="0" applyNumberFormat="1" applyFont="1" applyBorder="1" applyAlignment="1">
      <alignment horizontal="right" vertical="center"/>
    </xf>
    <xf numFmtId="2" fontId="35" fillId="0" borderId="53" xfId="0" applyNumberFormat="1" applyFont="1" applyBorder="1" applyAlignment="1">
      <alignment horizontal="right" vertical="center"/>
    </xf>
    <xf numFmtId="2" fontId="21" fillId="0" borderId="16" xfId="3" applyNumberFormat="1" applyFont="1" applyBorder="1" applyAlignment="1">
      <alignment horizontal="right" vertical="center"/>
    </xf>
    <xf numFmtId="3" fontId="0" fillId="0" borderId="0" xfId="0" applyNumberFormat="1"/>
    <xf numFmtId="3" fontId="0" fillId="0" borderId="0" xfId="0" applyNumberFormat="1" applyAlignment="1">
      <alignment horizontal="center"/>
    </xf>
    <xf numFmtId="2" fontId="0" fillId="0" borderId="0" xfId="0" applyNumberFormat="1"/>
    <xf numFmtId="0" fontId="17" fillId="0" borderId="11" xfId="0" applyFont="1" applyBorder="1" applyAlignment="1">
      <alignment horizontal="center" vertical="center" wrapText="1"/>
    </xf>
    <xf numFmtId="1" fontId="18" fillId="0" borderId="11" xfId="0" applyNumberFormat="1" applyFont="1" applyBorder="1" applyAlignment="1">
      <alignment horizontal="right" vertical="center"/>
    </xf>
    <xf numFmtId="2" fontId="19" fillId="15" borderId="42" xfId="0" applyNumberFormat="1" applyFont="1" applyFill="1" applyBorder="1" applyAlignment="1">
      <alignment horizontal="center" vertical="center"/>
    </xf>
    <xf numFmtId="2" fontId="20" fillId="0" borderId="6" xfId="0" applyNumberFormat="1" applyFont="1" applyBorder="1" applyAlignment="1">
      <alignment horizontal="center" vertical="center"/>
    </xf>
    <xf numFmtId="17" fontId="19" fillId="9" borderId="37" xfId="0" applyNumberFormat="1" applyFont="1" applyFill="1" applyBorder="1" applyAlignment="1">
      <alignment horizontal="center" vertical="center" wrapText="1"/>
    </xf>
    <xf numFmtId="2" fontId="20" fillId="0" borderId="10" xfId="0" applyNumberFormat="1" applyFont="1" applyBorder="1" applyAlignment="1">
      <alignment horizontal="center" vertical="center"/>
    </xf>
    <xf numFmtId="2" fontId="20" fillId="0" borderId="8" xfId="0" applyNumberFormat="1" applyFont="1" applyBorder="1" applyAlignment="1">
      <alignment horizontal="center" vertical="center"/>
    </xf>
    <xf numFmtId="2" fontId="19" fillId="15" borderId="90" xfId="0" applyNumberFormat="1" applyFont="1" applyFill="1" applyBorder="1" applyAlignment="1">
      <alignment horizontal="center" vertical="center"/>
    </xf>
    <xf numFmtId="17" fontId="19" fillId="9" borderId="40" xfId="0" applyNumberFormat="1" applyFont="1" applyFill="1" applyBorder="1" applyAlignment="1">
      <alignment horizontal="center" vertical="center" wrapText="1"/>
    </xf>
    <xf numFmtId="2" fontId="19" fillId="15" borderId="5" xfId="0" applyNumberFormat="1" applyFont="1" applyFill="1" applyBorder="1" applyAlignment="1">
      <alignment horizontal="center" vertical="center"/>
    </xf>
    <xf numFmtId="2" fontId="19" fillId="15" borderId="7" xfId="0" applyNumberFormat="1" applyFont="1" applyFill="1" applyBorder="1" applyAlignment="1">
      <alignment horizontal="center" vertical="center"/>
    </xf>
    <xf numFmtId="17" fontId="19" fillId="9" borderId="1" xfId="0" applyNumberFormat="1" applyFont="1" applyFill="1" applyBorder="1" applyAlignment="1">
      <alignment horizontal="center" vertical="center" wrapText="1"/>
    </xf>
    <xf numFmtId="2" fontId="20" fillId="0" borderId="4" xfId="0" applyNumberFormat="1" applyFont="1" applyBorder="1" applyAlignment="1">
      <alignment horizontal="center" vertical="center"/>
    </xf>
    <xf numFmtId="2" fontId="19" fillId="15" borderId="22" xfId="0" applyNumberFormat="1" applyFont="1" applyFill="1" applyBorder="1" applyAlignment="1">
      <alignment horizontal="center" vertical="center"/>
    </xf>
    <xf numFmtId="0" fontId="21" fillId="15" borderId="6" xfId="0" applyFont="1" applyFill="1" applyBorder="1" applyAlignment="1">
      <alignment horizontal="left" vertical="center" wrapText="1"/>
    </xf>
    <xf numFmtId="17" fontId="21" fillId="9" borderId="40" xfId="0" applyNumberFormat="1" applyFont="1" applyFill="1" applyBorder="1" applyAlignment="1">
      <alignment horizontal="center" vertical="center" wrapText="1"/>
    </xf>
    <xf numFmtId="2" fontId="18" fillId="0" borderId="67" xfId="0" applyNumberFormat="1" applyFont="1" applyBorder="1" applyAlignment="1">
      <alignment horizontal="right" vertical="center"/>
    </xf>
    <xf numFmtId="2" fontId="18" fillId="0" borderId="31" xfId="0" applyNumberFormat="1" applyFont="1" applyBorder="1" applyAlignment="1">
      <alignment horizontal="right" vertical="center"/>
    </xf>
    <xf numFmtId="166" fontId="18" fillId="0" borderId="31" xfId="0" applyNumberFormat="1" applyFont="1" applyBorder="1" applyAlignment="1">
      <alignment horizontal="right" vertical="center"/>
    </xf>
    <xf numFmtId="2" fontId="21" fillId="15" borderId="4" xfId="0" applyNumberFormat="1" applyFont="1" applyFill="1" applyBorder="1" applyAlignment="1">
      <alignment horizontal="right" vertical="center"/>
    </xf>
    <xf numFmtId="2" fontId="21" fillId="15" borderId="6" xfId="0" applyNumberFormat="1" applyFont="1" applyFill="1" applyBorder="1" applyAlignment="1">
      <alignment horizontal="right" vertical="center"/>
    </xf>
    <xf numFmtId="167" fontId="18" fillId="0" borderId="0" xfId="0" applyNumberFormat="1" applyFont="1" applyAlignment="1">
      <alignment horizontal="center" vertical="center"/>
    </xf>
    <xf numFmtId="1" fontId="20" fillId="0" borderId="6" xfId="0" applyNumberFormat="1" applyFont="1" applyBorder="1" applyAlignment="1">
      <alignment horizontal="center" vertical="center"/>
    </xf>
    <xf numFmtId="166" fontId="20" fillId="0" borderId="8" xfId="0" applyNumberFormat="1" applyFont="1" applyBorder="1" applyAlignment="1">
      <alignment horizontal="center" vertical="center"/>
    </xf>
    <xf numFmtId="167" fontId="20" fillId="0" borderId="12" xfId="0" applyNumberFormat="1" applyFont="1" applyBorder="1" applyAlignment="1">
      <alignment horizontal="center" vertical="center"/>
    </xf>
    <xf numFmtId="2" fontId="19" fillId="15" borderId="24" xfId="0" applyNumberFormat="1" applyFont="1" applyFill="1" applyBorder="1" applyAlignment="1">
      <alignment horizontal="center" vertical="center"/>
    </xf>
    <xf numFmtId="2" fontId="19" fillId="15" borderId="52" xfId="0" applyNumberFormat="1" applyFont="1" applyFill="1" applyBorder="1" applyAlignment="1">
      <alignment horizontal="center" vertical="center"/>
    </xf>
    <xf numFmtId="2" fontId="19" fillId="15" borderId="53" xfId="0" applyNumberFormat="1" applyFont="1" applyFill="1" applyBorder="1" applyAlignment="1">
      <alignment horizontal="center" vertical="center"/>
    </xf>
    <xf numFmtId="0" fontId="21" fillId="9" borderId="1" xfId="0" applyFont="1" applyFill="1" applyBorder="1" applyAlignment="1">
      <alignment horizontal="center" vertical="center" wrapText="1"/>
    </xf>
    <xf numFmtId="17" fontId="19" fillId="9" borderId="30" xfId="0" applyNumberFormat="1" applyFont="1" applyFill="1" applyBorder="1" applyAlignment="1">
      <alignment horizontal="center" vertical="center" wrapText="1"/>
    </xf>
    <xf numFmtId="2" fontId="0" fillId="0" borderId="67" xfId="0" applyNumberFormat="1" applyBorder="1" applyAlignment="1">
      <alignment horizontal="center"/>
    </xf>
    <xf numFmtId="10" fontId="46" fillId="0" borderId="0" xfId="3" applyNumberFormat="1" applyFont="1" applyAlignment="1">
      <alignment horizontal="center" vertical="center" wrapText="1"/>
    </xf>
    <xf numFmtId="174" fontId="0" fillId="0" borderId="0" xfId="0" applyNumberFormat="1" applyAlignment="1">
      <alignment horizontal="center"/>
    </xf>
    <xf numFmtId="2" fontId="46" fillId="0" borderId="0" xfId="0" applyNumberFormat="1" applyFont="1" applyAlignment="1">
      <alignment horizontal="center" vertical="center" wrapText="1"/>
    </xf>
    <xf numFmtId="17" fontId="19" fillId="9" borderId="20" xfId="0" applyNumberFormat="1" applyFont="1" applyFill="1" applyBorder="1" applyAlignment="1">
      <alignment horizontal="center" vertical="center" wrapText="1"/>
    </xf>
    <xf numFmtId="17" fontId="19" fillId="9" borderId="11" xfId="0" applyNumberFormat="1" applyFont="1" applyFill="1" applyBorder="1" applyAlignment="1">
      <alignment horizontal="center" vertical="center" wrapText="1"/>
    </xf>
    <xf numFmtId="0" fontId="35" fillId="0" borderId="24" xfId="0" applyFont="1" applyBorder="1" applyAlignment="1">
      <alignment horizontal="left" vertical="center"/>
    </xf>
    <xf numFmtId="0" fontId="35" fillId="0" borderId="0" xfId="0" applyFont="1" applyAlignment="1">
      <alignment vertical="center"/>
    </xf>
    <xf numFmtId="0" fontId="49" fillId="0" borderId="0" xfId="0" applyFont="1" applyAlignment="1">
      <alignment vertical="center"/>
    </xf>
    <xf numFmtId="0" fontId="49" fillId="0" borderId="0" xfId="0" applyFont="1" applyAlignment="1">
      <alignment horizontal="center" vertical="center"/>
    </xf>
    <xf numFmtId="0" fontId="50" fillId="10" borderId="1" xfId="0" applyFont="1" applyFill="1" applyBorder="1" applyAlignment="1">
      <alignment horizontal="center" vertical="center"/>
    </xf>
    <xf numFmtId="17" fontId="50" fillId="0" borderId="1" xfId="0" applyNumberFormat="1" applyFont="1" applyBorder="1" applyAlignment="1">
      <alignment horizontal="center" vertical="center" wrapText="1"/>
    </xf>
    <xf numFmtId="14" fontId="51" fillId="0" borderId="0" xfId="0" applyNumberFormat="1" applyFont="1" applyAlignment="1">
      <alignment horizontal="center" vertical="center"/>
    </xf>
    <xf numFmtId="0" fontId="51" fillId="0" borderId="0" xfId="0" applyFont="1" applyAlignment="1">
      <alignment vertical="center"/>
    </xf>
    <xf numFmtId="0" fontId="50" fillId="11" borderId="41" xfId="0" applyFont="1" applyFill="1" applyBorder="1" applyAlignment="1">
      <alignment horizontal="center" vertical="center"/>
    </xf>
    <xf numFmtId="0" fontId="50" fillId="11" borderId="35" xfId="0" applyFont="1" applyFill="1" applyBorder="1" applyAlignment="1">
      <alignment horizontal="center" vertical="center"/>
    </xf>
    <xf numFmtId="0" fontId="50" fillId="0" borderId="0" xfId="0" applyFont="1" applyAlignment="1">
      <alignment vertical="center"/>
    </xf>
    <xf numFmtId="166" fontId="51" fillId="0" borderId="23" xfId="0" applyNumberFormat="1" applyFont="1" applyBorder="1" applyAlignment="1">
      <alignment horizontal="center" vertical="center"/>
    </xf>
    <xf numFmtId="10" fontId="51" fillId="0" borderId="24" xfId="0" applyNumberFormat="1" applyFont="1" applyBorder="1" applyAlignment="1">
      <alignment horizontal="center" vertical="center"/>
    </xf>
    <xf numFmtId="166" fontId="51" fillId="0" borderId="2" xfId="0" applyNumberFormat="1" applyFont="1" applyBorder="1" applyAlignment="1">
      <alignment horizontal="center" vertical="center"/>
    </xf>
    <xf numFmtId="10" fontId="51" fillId="0" borderId="52" xfId="0" applyNumberFormat="1" applyFont="1" applyBorder="1" applyAlignment="1">
      <alignment horizontal="center" vertical="center"/>
    </xf>
    <xf numFmtId="0" fontId="51" fillId="10" borderId="10" xfId="0" applyFont="1" applyFill="1" applyBorder="1" applyAlignment="1">
      <alignment vertical="center" wrapText="1"/>
    </xf>
    <xf numFmtId="39" fontId="51" fillId="4" borderId="29" xfId="1" applyNumberFormat="1" applyFont="1" applyFill="1" applyBorder="1" applyAlignment="1">
      <alignment horizontal="center" vertical="center"/>
    </xf>
    <xf numFmtId="10" fontId="51" fillId="4" borderId="10" xfId="3" applyNumberFormat="1" applyFont="1" applyFill="1" applyBorder="1" applyAlignment="1">
      <alignment horizontal="center" vertical="center"/>
    </xf>
    <xf numFmtId="2" fontId="51" fillId="0" borderId="2" xfId="0" applyNumberFormat="1" applyFont="1" applyBorder="1" applyAlignment="1">
      <alignment horizontal="center" vertical="center"/>
    </xf>
    <xf numFmtId="0" fontId="50" fillId="11" borderId="34" xfId="0" applyFont="1" applyFill="1" applyBorder="1" applyAlignment="1">
      <alignment horizontal="center" vertical="center"/>
    </xf>
    <xf numFmtId="0" fontId="50" fillId="11" borderId="41" xfId="0" applyFont="1" applyFill="1" applyBorder="1" applyAlignment="1">
      <alignment horizontal="center" vertical="center" wrapText="1"/>
    </xf>
    <xf numFmtId="0" fontId="50" fillId="11" borderId="35" xfId="0" applyFont="1" applyFill="1" applyBorder="1" applyAlignment="1">
      <alignment horizontal="center" vertical="center" wrapText="1"/>
    </xf>
    <xf numFmtId="0" fontId="50" fillId="0" borderId="0" xfId="0" applyFont="1" applyAlignment="1">
      <alignment horizontal="center" vertical="center" wrapText="1"/>
    </xf>
    <xf numFmtId="0" fontId="51" fillId="10" borderId="8" xfId="0" applyFont="1" applyFill="1" applyBorder="1" applyAlignment="1">
      <alignment vertical="center" wrapText="1"/>
    </xf>
    <xf numFmtId="0" fontId="51" fillId="10" borderId="22" xfId="0" applyFont="1" applyFill="1" applyBorder="1" applyAlignment="1">
      <alignment horizontal="center" vertical="center" wrapText="1"/>
    </xf>
    <xf numFmtId="177" fontId="51" fillId="4" borderId="23" xfId="2" applyNumberFormat="1" applyFont="1" applyFill="1" applyBorder="1" applyAlignment="1">
      <alignment vertical="center"/>
    </xf>
    <xf numFmtId="177" fontId="51" fillId="0" borderId="24" xfId="2" applyNumberFormat="1" applyFont="1" applyBorder="1" applyAlignment="1">
      <alignment vertical="center"/>
    </xf>
    <xf numFmtId="0" fontId="50" fillId="0" borderId="0" xfId="0" applyFont="1" applyAlignment="1">
      <alignment vertical="center" wrapText="1"/>
    </xf>
    <xf numFmtId="0" fontId="51" fillId="4" borderId="0" xfId="0" applyFont="1" applyFill="1" applyAlignment="1">
      <alignment vertical="center"/>
    </xf>
    <xf numFmtId="0" fontId="51" fillId="10" borderId="5" xfId="0" applyFont="1" applyFill="1" applyBorder="1" applyAlignment="1">
      <alignment horizontal="center" vertical="center" wrapText="1"/>
    </xf>
    <xf numFmtId="177" fontId="51" fillId="4" borderId="2" xfId="2" applyNumberFormat="1" applyFont="1" applyFill="1" applyBorder="1" applyAlignment="1">
      <alignment vertical="center"/>
    </xf>
    <xf numFmtId="177" fontId="51" fillId="0" borderId="52" xfId="2" applyNumberFormat="1" applyFont="1" applyBorder="1" applyAlignment="1">
      <alignment vertical="center"/>
    </xf>
    <xf numFmtId="0" fontId="51" fillId="10" borderId="21" xfId="0" applyFont="1" applyFill="1" applyBorder="1" applyAlignment="1">
      <alignment vertical="center" wrapText="1"/>
    </xf>
    <xf numFmtId="0" fontId="51" fillId="0" borderId="0" xfId="0" applyFont="1" applyAlignment="1">
      <alignment horizontal="center" vertical="center"/>
    </xf>
    <xf numFmtId="0" fontId="51" fillId="10" borderId="7" xfId="0" applyFont="1" applyFill="1" applyBorder="1" applyAlignment="1">
      <alignment horizontal="center" vertical="center" wrapText="1"/>
    </xf>
    <xf numFmtId="177" fontId="51" fillId="4" borderId="3" xfId="2" applyNumberFormat="1" applyFont="1" applyFill="1" applyBorder="1" applyAlignment="1">
      <alignment vertical="center"/>
    </xf>
    <xf numFmtId="177" fontId="51" fillId="0" borderId="53" xfId="2" applyNumberFormat="1" applyFont="1" applyBorder="1" applyAlignment="1">
      <alignment vertical="center"/>
    </xf>
    <xf numFmtId="165" fontId="51" fillId="4" borderId="0" xfId="0" applyNumberFormat="1" applyFont="1" applyFill="1" applyAlignment="1">
      <alignment vertical="center"/>
    </xf>
    <xf numFmtId="169" fontId="51" fillId="0" borderId="0" xfId="0" applyNumberFormat="1" applyFont="1" applyAlignment="1">
      <alignment vertical="center"/>
    </xf>
    <xf numFmtId="177" fontId="51" fillId="4" borderId="23" xfId="2" applyNumberFormat="1" applyFont="1" applyFill="1" applyBorder="1" applyAlignment="1">
      <alignment horizontal="right" vertical="center"/>
    </xf>
    <xf numFmtId="177" fontId="51" fillId="0" borderId="24" xfId="2" applyNumberFormat="1" applyFont="1" applyBorder="1" applyAlignment="1">
      <alignment horizontal="right" vertical="center"/>
    </xf>
    <xf numFmtId="177" fontId="51" fillId="4" borderId="3" xfId="2" applyNumberFormat="1" applyFont="1" applyFill="1" applyBorder="1" applyAlignment="1">
      <alignment horizontal="right" vertical="center"/>
    </xf>
    <xf numFmtId="177" fontId="51" fillId="0" borderId="87" xfId="2" applyNumberFormat="1" applyFont="1" applyBorder="1" applyAlignment="1">
      <alignment horizontal="right" vertical="center"/>
    </xf>
    <xf numFmtId="10" fontId="51" fillId="0" borderId="53" xfId="0" applyNumberFormat="1" applyFont="1" applyBorder="1" applyAlignment="1">
      <alignment horizontal="center" vertical="center"/>
    </xf>
    <xf numFmtId="0" fontId="51" fillId="10" borderId="37" xfId="0" applyFont="1" applyFill="1" applyBorder="1" applyAlignment="1">
      <alignment horizontal="center" vertical="center" wrapText="1"/>
    </xf>
    <xf numFmtId="177" fontId="51" fillId="4" borderId="38" xfId="2" applyNumberFormat="1" applyFont="1" applyFill="1" applyBorder="1" applyAlignment="1">
      <alignment horizontal="right" vertical="center"/>
    </xf>
    <xf numFmtId="177" fontId="51" fillId="0" borderId="30" xfId="2" applyNumberFormat="1" applyFont="1" applyBorder="1" applyAlignment="1">
      <alignment horizontal="right" vertical="center"/>
    </xf>
    <xf numFmtId="0" fontId="51" fillId="5" borderId="0" xfId="0" applyFont="1" applyFill="1" applyAlignment="1">
      <alignment vertical="center"/>
    </xf>
    <xf numFmtId="0" fontId="50" fillId="11" borderId="22" xfId="0" applyFont="1" applyFill="1" applyBorder="1" applyAlignment="1">
      <alignment horizontal="center" vertical="center"/>
    </xf>
    <xf numFmtId="0" fontId="50" fillId="11" borderId="23" xfId="0" applyFont="1" applyFill="1" applyBorder="1" applyAlignment="1">
      <alignment horizontal="center" vertical="center"/>
    </xf>
    <xf numFmtId="0" fontId="50" fillId="11" borderId="10" xfId="0" applyFont="1" applyFill="1" applyBorder="1" applyAlignment="1">
      <alignment horizontal="center" vertical="center" wrapText="1"/>
    </xf>
    <xf numFmtId="0" fontId="50" fillId="11" borderId="54" xfId="0" applyFont="1" applyFill="1" applyBorder="1" applyAlignment="1">
      <alignment horizontal="center" vertical="center"/>
    </xf>
    <xf numFmtId="0" fontId="50" fillId="11" borderId="55" xfId="0" applyFont="1" applyFill="1" applyBorder="1" applyAlignment="1">
      <alignment horizontal="center" vertical="center"/>
    </xf>
    <xf numFmtId="0" fontId="51" fillId="0" borderId="0" xfId="0" applyFont="1" applyAlignment="1">
      <alignment horizontal="center" vertical="center" wrapText="1"/>
    </xf>
    <xf numFmtId="0" fontId="51" fillId="0" borderId="5" xfId="0" applyFont="1" applyBorder="1" applyAlignment="1">
      <alignment vertical="center"/>
    </xf>
    <xf numFmtId="0" fontId="51" fillId="0" borderId="2" xfId="0" applyFont="1" applyBorder="1" applyAlignment="1">
      <alignment horizontal="center" vertical="center"/>
    </xf>
    <xf numFmtId="2" fontId="51" fillId="0" borderId="6" xfId="0" applyNumberFormat="1" applyFont="1" applyBorder="1" applyAlignment="1">
      <alignment horizontal="center" vertical="center"/>
    </xf>
    <xf numFmtId="0" fontId="51" fillId="0" borderId="13" xfId="0" applyFont="1" applyBorder="1" applyAlignment="1">
      <alignment vertical="center"/>
    </xf>
    <xf numFmtId="0" fontId="51" fillId="0" borderId="31" xfId="0" applyFont="1" applyBorder="1" applyAlignment="1">
      <alignment horizontal="center" vertical="center"/>
    </xf>
    <xf numFmtId="1" fontId="51" fillId="0" borderId="6" xfId="0" applyNumberFormat="1" applyFont="1" applyBorder="1" applyAlignment="1">
      <alignment horizontal="center" vertical="center"/>
    </xf>
    <xf numFmtId="0" fontId="51" fillId="0" borderId="2" xfId="0" applyFont="1" applyBorder="1" applyAlignment="1">
      <alignment horizontal="center" vertical="center" wrapText="1"/>
    </xf>
    <xf numFmtId="0" fontId="51" fillId="0" borderId="7" xfId="0" applyFont="1" applyBorder="1" applyAlignment="1">
      <alignment vertical="center"/>
    </xf>
    <xf numFmtId="0" fontId="51" fillId="0" borderId="3" xfId="0" applyFont="1" applyBorder="1" applyAlignment="1">
      <alignment horizontal="center" vertical="center"/>
    </xf>
    <xf numFmtId="2" fontId="51" fillId="0" borderId="8" xfId="0" applyNumberFormat="1" applyFont="1" applyBorder="1" applyAlignment="1">
      <alignment horizontal="center" vertical="center"/>
    </xf>
    <xf numFmtId="0" fontId="51" fillId="0" borderId="14" xfId="0" applyFont="1" applyBorder="1" applyAlignment="1">
      <alignment vertical="center"/>
    </xf>
    <xf numFmtId="0" fontId="51" fillId="0" borderId="32" xfId="0" applyFont="1" applyBorder="1" applyAlignment="1">
      <alignment horizontal="center" vertical="center"/>
    </xf>
    <xf numFmtId="0" fontId="51" fillId="0" borderId="3" xfId="0" applyFont="1" applyBorder="1" applyAlignment="1">
      <alignment horizontal="center" vertical="center" wrapText="1"/>
    </xf>
    <xf numFmtId="0" fontId="50" fillId="11" borderId="11" xfId="0" applyFont="1" applyFill="1" applyBorder="1" applyAlignment="1">
      <alignment horizontal="center" vertical="center" wrapText="1"/>
    </xf>
    <xf numFmtId="0" fontId="50" fillId="11" borderId="33" xfId="0" applyFont="1" applyFill="1" applyBorder="1" applyAlignment="1">
      <alignment horizontal="center" vertical="center" wrapText="1"/>
    </xf>
    <xf numFmtId="14" fontId="50" fillId="11" borderId="33" xfId="0" applyNumberFormat="1" applyFont="1" applyFill="1" applyBorder="1" applyAlignment="1">
      <alignment horizontal="center" vertical="center"/>
    </xf>
    <xf numFmtId="0" fontId="50" fillId="0" borderId="4" xfId="0" applyFont="1" applyBorder="1" applyAlignment="1">
      <alignment vertical="center"/>
    </xf>
    <xf numFmtId="0" fontId="50" fillId="0" borderId="10" xfId="0" applyFont="1" applyBorder="1" applyAlignment="1">
      <alignment horizontal="center" vertical="center"/>
    </xf>
    <xf numFmtId="2" fontId="51" fillId="0" borderId="88" xfId="0" applyNumberFormat="1" applyFont="1" applyBorder="1" applyAlignment="1">
      <alignment horizontal="center" vertical="center"/>
    </xf>
    <xf numFmtId="2" fontId="51" fillId="0" borderId="10" xfId="0" applyNumberFormat="1" applyFont="1" applyBorder="1" applyAlignment="1">
      <alignment horizontal="center" vertical="center"/>
    </xf>
    <xf numFmtId="2" fontId="51" fillId="0" borderId="17" xfId="0" applyNumberFormat="1" applyFont="1" applyBorder="1" applyAlignment="1">
      <alignment horizontal="center" vertical="center"/>
    </xf>
    <xf numFmtId="2" fontId="35" fillId="0" borderId="0" xfId="0" applyNumberFormat="1" applyFont="1" applyAlignment="1">
      <alignment vertical="center"/>
    </xf>
    <xf numFmtId="0" fontId="52" fillId="4" borderId="0" xfId="0" applyFont="1" applyFill="1" applyAlignment="1">
      <alignment horizontal="right" vertical="center"/>
    </xf>
    <xf numFmtId="0" fontId="50" fillId="4" borderId="51" xfId="0" applyFont="1" applyFill="1" applyBorder="1" applyAlignment="1">
      <alignment horizontal="center" vertical="center"/>
    </xf>
    <xf numFmtId="0" fontId="50" fillId="0" borderId="6" xfId="0" applyFont="1" applyBorder="1" applyAlignment="1">
      <alignment vertical="center"/>
    </xf>
    <xf numFmtId="2" fontId="50" fillId="0" borderId="6" xfId="0" applyNumberFormat="1" applyFont="1" applyBorder="1" applyAlignment="1">
      <alignment horizontal="center" vertical="center"/>
    </xf>
    <xf numFmtId="2" fontId="51" fillId="0" borderId="64" xfId="0" applyNumberFormat="1" applyFont="1" applyBorder="1" applyAlignment="1">
      <alignment horizontal="center" vertical="center"/>
    </xf>
    <xf numFmtId="2" fontId="51" fillId="0" borderId="15" xfId="0" applyNumberFormat="1" applyFont="1" applyBorder="1" applyAlignment="1">
      <alignment horizontal="center" vertical="center"/>
    </xf>
    <xf numFmtId="0" fontId="51" fillId="4" borderId="9" xfId="0" applyFont="1" applyFill="1" applyBorder="1" applyAlignment="1">
      <alignment vertical="center"/>
    </xf>
    <xf numFmtId="0" fontId="52" fillId="0" borderId="0" xfId="0" applyFont="1" applyAlignment="1">
      <alignment horizontal="right" vertical="center"/>
    </xf>
    <xf numFmtId="177" fontId="35" fillId="0" borderId="0" xfId="0" applyNumberFormat="1" applyFont="1" applyAlignment="1">
      <alignment vertical="center"/>
    </xf>
    <xf numFmtId="2" fontId="35" fillId="0" borderId="0" xfId="0" applyNumberFormat="1" applyFont="1" applyAlignment="1">
      <alignment horizontal="center" vertical="center"/>
    </xf>
    <xf numFmtId="0" fontId="53" fillId="0" borderId="0" xfId="0" applyFont="1" applyAlignment="1">
      <alignment horizontal="center" vertical="center"/>
    </xf>
    <xf numFmtId="1" fontId="53" fillId="0" borderId="0" xfId="3" applyNumberFormat="1" applyFont="1" applyAlignment="1">
      <alignment horizontal="center" vertical="center"/>
    </xf>
    <xf numFmtId="2" fontId="51" fillId="0" borderId="0" xfId="0" applyNumberFormat="1" applyFont="1" applyAlignment="1">
      <alignment horizontal="center" vertical="center" wrapText="1"/>
    </xf>
    <xf numFmtId="1" fontId="53" fillId="0" borderId="0" xfId="0" applyNumberFormat="1" applyFont="1" applyAlignment="1">
      <alignment horizontal="center" vertical="center"/>
    </xf>
    <xf numFmtId="17" fontId="44" fillId="0" borderId="0" xfId="0" applyNumberFormat="1" applyFont="1" applyAlignment="1">
      <alignment horizontal="center" vertical="center"/>
    </xf>
    <xf numFmtId="0" fontId="44" fillId="0" borderId="0" xfId="0" applyFont="1" applyAlignment="1">
      <alignment horizontal="center" vertical="center"/>
    </xf>
    <xf numFmtId="166" fontId="51" fillId="0" borderId="0" xfId="0" applyNumberFormat="1" applyFont="1" applyAlignment="1">
      <alignment horizontal="center" vertical="center"/>
    </xf>
    <xf numFmtId="0" fontId="50" fillId="0" borderId="6" xfId="0" applyFont="1" applyBorder="1" applyAlignment="1">
      <alignment horizontal="center" vertical="center"/>
    </xf>
    <xf numFmtId="167" fontId="50" fillId="0" borderId="0" xfId="0" applyNumberFormat="1" applyFont="1" applyAlignment="1">
      <alignment vertical="center" wrapText="1"/>
    </xf>
    <xf numFmtId="2" fontId="50" fillId="0" borderId="0" xfId="0" applyNumberFormat="1" applyFont="1" applyAlignment="1">
      <alignment vertical="center" wrapText="1"/>
    </xf>
    <xf numFmtId="2" fontId="50" fillId="0" borderId="0" xfId="0" applyNumberFormat="1" applyFont="1" applyAlignment="1">
      <alignment vertical="center"/>
    </xf>
    <xf numFmtId="0" fontId="50" fillId="0" borderId="8" xfId="0" applyFont="1" applyBorder="1" applyAlignment="1">
      <alignment vertical="center"/>
    </xf>
    <xf numFmtId="2" fontId="50" fillId="0" borderId="8" xfId="0" applyNumberFormat="1" applyFont="1" applyBorder="1" applyAlignment="1">
      <alignment horizontal="center" vertical="center"/>
    </xf>
    <xf numFmtId="2" fontId="51" fillId="0" borderId="86" xfId="0" applyNumberFormat="1" applyFont="1" applyBorder="1" applyAlignment="1">
      <alignment horizontal="center" vertical="center"/>
    </xf>
    <xf numFmtId="2" fontId="51" fillId="0" borderId="16" xfId="0" applyNumberFormat="1" applyFont="1" applyBorder="1" applyAlignment="1">
      <alignment horizontal="center" vertical="center"/>
    </xf>
    <xf numFmtId="9" fontId="51" fillId="0" borderId="0" xfId="3" applyFont="1" applyAlignment="1">
      <alignment horizontal="center" vertical="center"/>
    </xf>
    <xf numFmtId="172" fontId="51" fillId="0" borderId="0" xfId="3" applyNumberFormat="1" applyFont="1" applyAlignment="1">
      <alignment horizontal="center" vertical="center"/>
    </xf>
    <xf numFmtId="10" fontId="51" fillId="0" borderId="0" xfId="3" applyNumberFormat="1" applyFont="1" applyAlignment="1">
      <alignment horizontal="center" vertical="center"/>
    </xf>
    <xf numFmtId="10" fontId="51" fillId="0" borderId="0" xfId="0" applyNumberFormat="1" applyFont="1" applyAlignment="1">
      <alignment horizontal="center" vertical="center"/>
    </xf>
    <xf numFmtId="166" fontId="50" fillId="0" borderId="0" xfId="0" applyNumberFormat="1" applyFont="1" applyAlignment="1">
      <alignment horizontal="center" vertical="center"/>
    </xf>
    <xf numFmtId="0" fontId="35" fillId="0" borderId="54" xfId="0" applyFont="1" applyBorder="1" applyAlignment="1">
      <alignment horizontal="left" vertical="center"/>
    </xf>
    <xf numFmtId="0" fontId="35" fillId="0" borderId="55" xfId="0" applyFont="1" applyBorder="1" applyAlignment="1">
      <alignment horizontal="left" vertical="center"/>
    </xf>
    <xf numFmtId="165" fontId="35" fillId="0" borderId="0" xfId="0" applyNumberFormat="1" applyFont="1" applyAlignment="1">
      <alignment vertical="center"/>
    </xf>
    <xf numFmtId="0" fontId="35" fillId="0" borderId="0" xfId="0" applyFont="1" applyAlignment="1">
      <alignment horizontal="left" vertical="center"/>
    </xf>
    <xf numFmtId="0" fontId="44" fillId="0" borderId="0" xfId="0" applyFont="1" applyAlignment="1">
      <alignment vertical="center"/>
    </xf>
    <xf numFmtId="0" fontId="44" fillId="9" borderId="1" xfId="0" applyFont="1" applyFill="1" applyBorder="1" applyAlignment="1">
      <alignment horizontal="center" vertical="center" wrapText="1"/>
    </xf>
    <xf numFmtId="17" fontId="44" fillId="9" borderId="1" xfId="0" applyNumberFormat="1" applyFont="1" applyFill="1" applyBorder="1" applyAlignment="1">
      <alignment horizontal="center" vertical="center" wrapText="1"/>
    </xf>
    <xf numFmtId="0" fontId="44" fillId="15" borderId="92" xfId="0" applyFont="1" applyFill="1" applyBorder="1" applyAlignment="1">
      <alignment vertical="center"/>
    </xf>
    <xf numFmtId="169" fontId="35" fillId="15" borderId="10" xfId="2" applyNumberFormat="1" applyFont="1" applyFill="1" applyBorder="1" applyAlignment="1">
      <alignment horizontal="center" vertical="center"/>
    </xf>
    <xf numFmtId="169" fontId="35" fillId="0" borderId="17" xfId="2" applyNumberFormat="1" applyFont="1" applyBorder="1" applyAlignment="1">
      <alignment horizontal="right" vertical="center"/>
    </xf>
    <xf numFmtId="2" fontId="44" fillId="15" borderId="20" xfId="0" applyNumberFormat="1" applyFont="1" applyFill="1" applyBorder="1" applyAlignment="1">
      <alignment horizontal="center" vertical="center"/>
    </xf>
    <xf numFmtId="167" fontId="35" fillId="0" borderId="0" xfId="0" applyNumberFormat="1" applyFont="1" applyAlignment="1">
      <alignment vertical="center"/>
    </xf>
    <xf numFmtId="0" fontId="44" fillId="15" borderId="93" xfId="0" applyFont="1" applyFill="1" applyBorder="1" applyAlignment="1">
      <alignment vertical="center"/>
    </xf>
    <xf numFmtId="169" fontId="35" fillId="15" borderId="6" xfId="2" applyNumberFormat="1" applyFont="1" applyFill="1" applyBorder="1" applyAlignment="1">
      <alignment horizontal="center" vertical="center"/>
    </xf>
    <xf numFmtId="169" fontId="35" fillId="0" borderId="18" xfId="1" applyNumberFormat="1" applyFont="1" applyBorder="1" applyAlignment="1">
      <alignment horizontal="right" vertical="center"/>
    </xf>
    <xf numFmtId="2" fontId="44" fillId="15" borderId="12" xfId="0" applyNumberFormat="1" applyFont="1" applyFill="1" applyBorder="1" applyAlignment="1">
      <alignment horizontal="center" vertical="center"/>
    </xf>
    <xf numFmtId="166" fontId="35" fillId="0" borderId="0" xfId="1" applyNumberFormat="1" applyFont="1" applyAlignment="1">
      <alignment horizontal="center" vertical="center"/>
    </xf>
    <xf numFmtId="169" fontId="35" fillId="0" borderId="0" xfId="1" applyNumberFormat="1" applyFont="1" applyAlignment="1">
      <alignment horizontal="center" vertical="center"/>
    </xf>
    <xf numFmtId="2" fontId="54" fillId="0" borderId="0" xfId="0" applyNumberFormat="1" applyFont="1" applyAlignment="1">
      <alignment horizontal="center" vertical="center"/>
    </xf>
    <xf numFmtId="0" fontId="44" fillId="15" borderId="89" xfId="0" applyFont="1" applyFill="1" applyBorder="1" applyAlignment="1">
      <alignment vertical="center"/>
    </xf>
    <xf numFmtId="169" fontId="35" fillId="15" borderId="8" xfId="2" applyNumberFormat="1" applyFont="1" applyFill="1" applyBorder="1" applyAlignment="1">
      <alignment horizontal="center" vertical="center"/>
    </xf>
    <xf numFmtId="169" fontId="35" fillId="0" borderId="16" xfId="1" applyNumberFormat="1" applyFont="1" applyBorder="1" applyAlignment="1">
      <alignment horizontal="right" vertical="center"/>
    </xf>
    <xf numFmtId="2" fontId="44" fillId="15" borderId="8" xfId="0" applyNumberFormat="1" applyFont="1" applyFill="1" applyBorder="1" applyAlignment="1">
      <alignment horizontal="center" vertical="center"/>
    </xf>
    <xf numFmtId="0" fontId="44" fillId="15" borderId="10" xfId="0" applyFont="1" applyFill="1" applyBorder="1" applyAlignment="1">
      <alignment vertical="center"/>
    </xf>
    <xf numFmtId="2" fontId="44" fillId="15" borderId="10" xfId="0" applyNumberFormat="1" applyFont="1" applyFill="1" applyBorder="1" applyAlignment="1">
      <alignment horizontal="center" vertical="center"/>
    </xf>
    <xf numFmtId="2" fontId="35" fillId="0" borderId="10" xfId="0" applyNumberFormat="1" applyFont="1" applyBorder="1" applyAlignment="1">
      <alignment horizontal="center" vertical="center"/>
    </xf>
    <xf numFmtId="0" fontId="44" fillId="15" borderId="6" xfId="0" applyFont="1" applyFill="1" applyBorder="1" applyAlignment="1">
      <alignment vertical="center"/>
    </xf>
    <xf numFmtId="2" fontId="44" fillId="15" borderId="6" xfId="0" applyNumberFormat="1" applyFont="1" applyFill="1" applyBorder="1" applyAlignment="1">
      <alignment horizontal="center" vertical="center"/>
    </xf>
    <xf numFmtId="2" fontId="35" fillId="0" borderId="6" xfId="0" applyNumberFormat="1" applyFont="1" applyBorder="1" applyAlignment="1">
      <alignment horizontal="center" vertical="center"/>
    </xf>
    <xf numFmtId="166" fontId="35" fillId="0" borderId="6" xfId="0" applyNumberFormat="1" applyFont="1" applyBorder="1" applyAlignment="1">
      <alignment horizontal="center" vertical="center"/>
    </xf>
    <xf numFmtId="10" fontId="35" fillId="0" borderId="6" xfId="3" applyNumberFormat="1" applyFont="1" applyBorder="1" applyAlignment="1">
      <alignment horizontal="center" vertical="center"/>
    </xf>
    <xf numFmtId="0" fontId="44" fillId="15" borderId="12" xfId="0" applyFont="1" applyFill="1" applyBorder="1" applyAlignment="1">
      <alignment vertical="center"/>
    </xf>
    <xf numFmtId="167" fontId="44" fillId="15" borderId="12" xfId="0" applyNumberFormat="1" applyFont="1" applyFill="1" applyBorder="1" applyAlignment="1">
      <alignment horizontal="center" vertical="center"/>
    </xf>
    <xf numFmtId="2" fontId="35" fillId="0" borderId="12" xfId="0" applyNumberFormat="1" applyFont="1" applyBorder="1" applyAlignment="1">
      <alignment horizontal="center" vertical="center"/>
    </xf>
    <xf numFmtId="0" fontId="44" fillId="15" borderId="8" xfId="0" applyFont="1" applyFill="1" applyBorder="1" applyAlignment="1">
      <alignment vertical="center"/>
    </xf>
    <xf numFmtId="2" fontId="35" fillId="0" borderId="8" xfId="0" applyNumberFormat="1" applyFont="1" applyBorder="1" applyAlignment="1">
      <alignment horizontal="center" vertical="center"/>
    </xf>
    <xf numFmtId="2" fontId="44" fillId="0" borderId="0" xfId="0" applyNumberFormat="1" applyFont="1" applyAlignment="1">
      <alignment horizontal="center" vertical="center"/>
    </xf>
    <xf numFmtId="1" fontId="44" fillId="15" borderId="10" xfId="0" applyNumberFormat="1" applyFont="1" applyFill="1" applyBorder="1" applyAlignment="1">
      <alignment horizontal="center" vertical="center"/>
    </xf>
    <xf numFmtId="1" fontId="44" fillId="15" borderId="6" xfId="0" applyNumberFormat="1" applyFont="1" applyFill="1" applyBorder="1" applyAlignment="1">
      <alignment horizontal="center" vertical="center"/>
    </xf>
    <xf numFmtId="0" fontId="44" fillId="15" borderId="4" xfId="0" applyFont="1" applyFill="1" applyBorder="1" applyAlignment="1">
      <alignment vertical="center"/>
    </xf>
    <xf numFmtId="1" fontId="44" fillId="15" borderId="8" xfId="0" applyNumberFormat="1" applyFont="1" applyFill="1" applyBorder="1" applyAlignment="1">
      <alignment horizontal="center" vertical="center"/>
    </xf>
    <xf numFmtId="2" fontId="44" fillId="15" borderId="4" xfId="0" applyNumberFormat="1" applyFont="1" applyFill="1" applyBorder="1" applyAlignment="1">
      <alignment horizontal="center" vertical="center"/>
    </xf>
    <xf numFmtId="2" fontId="35" fillId="0" borderId="4" xfId="0" applyNumberFormat="1" applyFont="1" applyBorder="1" applyAlignment="1">
      <alignment horizontal="center" vertical="center"/>
    </xf>
    <xf numFmtId="0" fontId="44" fillId="15" borderId="11" xfId="0" applyFont="1" applyFill="1" applyBorder="1" applyAlignment="1">
      <alignment vertical="center"/>
    </xf>
    <xf numFmtId="2" fontId="44" fillId="15" borderId="10" xfId="0" quotePrefix="1" applyNumberFormat="1" applyFont="1" applyFill="1" applyBorder="1" applyAlignment="1">
      <alignment horizontal="center" vertical="center"/>
    </xf>
    <xf numFmtId="167" fontId="44" fillId="15" borderId="8" xfId="0" applyNumberFormat="1" applyFont="1" applyFill="1" applyBorder="1" applyAlignment="1">
      <alignment horizontal="center" vertical="center"/>
    </xf>
    <xf numFmtId="0" fontId="21" fillId="0" borderId="0" xfId="0" applyFont="1" applyAlignment="1">
      <alignment horizontal="center" vertical="center" wrapText="1"/>
    </xf>
    <xf numFmtId="0" fontId="55" fillId="0" borderId="0" xfId="0" applyFont="1" applyAlignment="1">
      <alignment horizontal="center" vertical="center"/>
    </xf>
    <xf numFmtId="0" fontId="55" fillId="0" borderId="0" xfId="0" applyFont="1" applyAlignment="1">
      <alignment horizontal="center" vertical="center" wrapText="1"/>
    </xf>
    <xf numFmtId="0" fontId="56" fillId="0" borderId="0" xfId="0" applyFont="1" applyAlignment="1">
      <alignment horizontal="center" vertical="center"/>
    </xf>
    <xf numFmtId="0" fontId="56" fillId="0" borderId="0" xfId="0" applyFont="1" applyAlignment="1">
      <alignment horizontal="center" vertical="center" wrapText="1"/>
    </xf>
    <xf numFmtId="1" fontId="18" fillId="0" borderId="0" xfId="0" applyNumberFormat="1" applyFont="1" applyAlignment="1">
      <alignment horizontal="center" vertical="center"/>
    </xf>
    <xf numFmtId="177" fontId="51" fillId="0" borderId="0" xfId="0" applyNumberFormat="1" applyFont="1" applyAlignment="1">
      <alignment vertical="center"/>
    </xf>
    <xf numFmtId="2" fontId="44" fillId="15" borderId="33" xfId="0" applyNumberFormat="1" applyFont="1" applyFill="1" applyBorder="1" applyAlignment="1">
      <alignment horizontal="center" vertical="center"/>
    </xf>
    <xf numFmtId="0" fontId="21" fillId="15" borderId="10" xfId="0" applyFont="1" applyFill="1" applyBorder="1" applyAlignment="1">
      <alignment vertical="center"/>
    </xf>
    <xf numFmtId="167" fontId="18" fillId="0" borderId="10" xfId="0" applyNumberFormat="1" applyFont="1" applyBorder="1" applyAlignment="1">
      <alignment horizontal="right" vertical="center"/>
    </xf>
    <xf numFmtId="9" fontId="44" fillId="15" borderId="6" xfId="3" applyFont="1" applyFill="1" applyBorder="1" applyAlignment="1">
      <alignment horizontal="center" vertical="center"/>
    </xf>
    <xf numFmtId="172" fontId="35" fillId="0" borderId="6" xfId="3" applyNumberFormat="1" applyFont="1" applyBorder="1" applyAlignment="1">
      <alignment horizontal="center" vertical="center"/>
    </xf>
    <xf numFmtId="172" fontId="44" fillId="15" borderId="12" xfId="3" applyNumberFormat="1" applyFont="1" applyFill="1" applyBorder="1" applyAlignment="1">
      <alignment horizontal="center" vertical="center"/>
    </xf>
    <xf numFmtId="166" fontId="20" fillId="15" borderId="10" xfId="0" applyNumberFormat="1" applyFont="1" applyFill="1" applyBorder="1" applyAlignment="1">
      <alignment horizontal="center" vertical="center"/>
    </xf>
    <xf numFmtId="2" fontId="20" fillId="15" borderId="6" xfId="0" applyNumberFormat="1" applyFont="1" applyFill="1" applyBorder="1" applyAlignment="1">
      <alignment horizontal="center" vertical="center"/>
    </xf>
    <xf numFmtId="1" fontId="20" fillId="15" borderId="6" xfId="0" applyNumberFormat="1" applyFont="1" applyFill="1" applyBorder="1" applyAlignment="1">
      <alignment horizontal="center" vertical="center"/>
    </xf>
    <xf numFmtId="10" fontId="20" fillId="15" borderId="6" xfId="0" applyNumberFormat="1" applyFont="1" applyFill="1" applyBorder="1" applyAlignment="1">
      <alignment horizontal="center" vertical="center"/>
    </xf>
    <xf numFmtId="167" fontId="20" fillId="15" borderId="12" xfId="0" applyNumberFormat="1" applyFont="1" applyFill="1" applyBorder="1" applyAlignment="1">
      <alignment horizontal="center" vertical="center"/>
    </xf>
    <xf numFmtId="166" fontId="20" fillId="15" borderId="8" xfId="0" applyNumberFormat="1" applyFont="1" applyFill="1" applyBorder="1" applyAlignment="1">
      <alignment horizontal="center" vertical="center"/>
    </xf>
    <xf numFmtId="10" fontId="20" fillId="15" borderId="17" xfId="0" applyNumberFormat="1" applyFont="1" applyFill="1" applyBorder="1" applyAlignment="1">
      <alignment horizontal="center" vertical="center"/>
    </xf>
    <xf numFmtId="10" fontId="20" fillId="15" borderId="15" xfId="0" applyNumberFormat="1" applyFont="1" applyFill="1" applyBorder="1" applyAlignment="1">
      <alignment horizontal="center" vertical="center"/>
    </xf>
    <xf numFmtId="10" fontId="20" fillId="15" borderId="15" xfId="3" applyNumberFormat="1" applyFont="1" applyFill="1" applyBorder="1" applyAlignment="1">
      <alignment horizontal="center" vertical="center"/>
    </xf>
    <xf numFmtId="10" fontId="20" fillId="15" borderId="16" xfId="0" applyNumberFormat="1" applyFont="1" applyFill="1" applyBorder="1" applyAlignment="1">
      <alignment horizontal="center" vertical="center"/>
    </xf>
    <xf numFmtId="1" fontId="20" fillId="15" borderId="17" xfId="0" applyNumberFormat="1" applyFont="1" applyFill="1" applyBorder="1" applyAlignment="1">
      <alignment horizontal="center" vertical="center"/>
    </xf>
    <xf numFmtId="2" fontId="20" fillId="15" borderId="16" xfId="0" applyNumberFormat="1" applyFont="1" applyFill="1" applyBorder="1" applyAlignment="1">
      <alignment horizontal="center" vertical="center"/>
    </xf>
    <xf numFmtId="2" fontId="44" fillId="15" borderId="25" xfId="0" applyNumberFormat="1" applyFont="1" applyFill="1" applyBorder="1" applyAlignment="1">
      <alignment horizontal="center" vertical="center"/>
    </xf>
    <xf numFmtId="2" fontId="44" fillId="15" borderId="93" xfId="0" applyNumberFormat="1" applyFont="1" applyFill="1" applyBorder="1" applyAlignment="1">
      <alignment horizontal="center" vertical="center"/>
    </xf>
    <xf numFmtId="172" fontId="44" fillId="15" borderId="93" xfId="3" applyNumberFormat="1" applyFont="1" applyFill="1" applyBorder="1" applyAlignment="1">
      <alignment horizontal="center" vertical="center"/>
    </xf>
    <xf numFmtId="2" fontId="44" fillId="15" borderId="89" xfId="0" applyNumberFormat="1" applyFont="1" applyFill="1" applyBorder="1" applyAlignment="1">
      <alignment horizontal="center" vertical="center"/>
    </xf>
    <xf numFmtId="10" fontId="17" fillId="0" borderId="21" xfId="3" applyNumberFormat="1" applyFont="1" applyBorder="1" applyAlignment="1">
      <alignment horizontal="center"/>
    </xf>
    <xf numFmtId="10" fontId="0" fillId="0" borderId="31" xfId="3" applyNumberFormat="1" applyFont="1" applyBorder="1" applyAlignment="1">
      <alignment horizontal="center"/>
    </xf>
    <xf numFmtId="167" fontId="46" fillId="0" borderId="0" xfId="0" applyNumberFormat="1" applyFont="1" applyAlignment="1">
      <alignment horizontal="center" vertical="center" wrapText="1"/>
    </xf>
    <xf numFmtId="2" fontId="35" fillId="0" borderId="0" xfId="3" applyNumberFormat="1" applyFont="1" applyAlignment="1">
      <alignment vertical="center"/>
    </xf>
    <xf numFmtId="169" fontId="35" fillId="0" borderId="0" xfId="0" applyNumberFormat="1" applyFont="1" applyAlignment="1">
      <alignment vertical="center"/>
    </xf>
    <xf numFmtId="172" fontId="35" fillId="0" borderId="18" xfId="3" applyNumberFormat="1" applyFont="1" applyBorder="1" applyAlignment="1">
      <alignment horizontal="center" vertical="center"/>
    </xf>
    <xf numFmtId="4" fontId="0" fillId="0" borderId="0" xfId="0" applyNumberFormat="1" applyAlignment="1">
      <alignment horizontal="center"/>
    </xf>
    <xf numFmtId="172" fontId="0" fillId="0" borderId="0" xfId="3" applyNumberFormat="1" applyFont="1"/>
    <xf numFmtId="167" fontId="18" fillId="0" borderId="33" xfId="0" applyNumberFormat="1" applyFont="1" applyBorder="1" applyAlignment="1">
      <alignment vertical="center"/>
    </xf>
    <xf numFmtId="10" fontId="17" fillId="0" borderId="1" xfId="0" applyNumberFormat="1" applyFont="1" applyBorder="1" applyAlignment="1">
      <alignment horizontal="center"/>
    </xf>
    <xf numFmtId="10" fontId="57" fillId="0" borderId="10" xfId="1641" applyNumberFormat="1" applyFont="1" applyBorder="1" applyAlignment="1">
      <alignment horizontal="center" vertical="center"/>
    </xf>
    <xf numFmtId="1" fontId="57" fillId="0" borderId="10" xfId="0" applyNumberFormat="1" applyFont="1" applyBorder="1" applyAlignment="1">
      <alignment horizontal="center"/>
    </xf>
    <xf numFmtId="10" fontId="57" fillId="0" borderId="8" xfId="1641" applyNumberFormat="1" applyFont="1" applyBorder="1" applyAlignment="1">
      <alignment horizontal="center" vertical="center"/>
    </xf>
    <xf numFmtId="10" fontId="57" fillId="0" borderId="6" xfId="1641" applyNumberFormat="1" applyFont="1" applyBorder="1" applyAlignment="1">
      <alignment horizontal="center" vertical="center"/>
    </xf>
    <xf numFmtId="2" fontId="57" fillId="0" borderId="8" xfId="0" applyNumberFormat="1" applyFont="1" applyBorder="1" applyAlignment="1">
      <alignment horizontal="center"/>
    </xf>
    <xf numFmtId="2" fontId="21" fillId="14" borderId="10" xfId="0" applyNumberFormat="1" applyFont="1" applyFill="1" applyBorder="1" applyAlignment="1">
      <alignment horizontal="right" vertical="center"/>
    </xf>
    <xf numFmtId="2" fontId="21" fillId="14" borderId="8" xfId="0" applyNumberFormat="1" applyFont="1" applyFill="1" applyBorder="1" applyAlignment="1">
      <alignment horizontal="right" vertical="center"/>
    </xf>
    <xf numFmtId="0" fontId="21" fillId="14" borderId="8" xfId="0" applyFont="1" applyFill="1" applyBorder="1" applyAlignment="1">
      <alignment horizontal="left" vertical="center"/>
    </xf>
    <xf numFmtId="0" fontId="21" fillId="15" borderId="10" xfId="0" applyFont="1" applyFill="1" applyBorder="1" applyAlignment="1">
      <alignment horizontal="left" vertical="center" wrapText="1"/>
    </xf>
    <xf numFmtId="2" fontId="57" fillId="0" borderId="6" xfId="1641" applyNumberFormat="1" applyFont="1" applyBorder="1" applyAlignment="1">
      <alignment horizontal="center"/>
    </xf>
    <xf numFmtId="1" fontId="57" fillId="0" borderId="6" xfId="1641" applyNumberFormat="1" applyFont="1" applyBorder="1" applyAlignment="1">
      <alignment horizontal="center"/>
    </xf>
    <xf numFmtId="10" fontId="57" fillId="0" borderId="6" xfId="1641" applyNumberFormat="1" applyFont="1" applyBorder="1" applyAlignment="1">
      <alignment horizontal="center"/>
    </xf>
    <xf numFmtId="0" fontId="50" fillId="11" borderId="25" xfId="0" applyFont="1" applyFill="1" applyBorder="1" applyAlignment="1">
      <alignment horizontal="center" vertical="center" wrapText="1"/>
    </xf>
    <xf numFmtId="0" fontId="51" fillId="10" borderId="94" xfId="0" applyFont="1" applyFill="1" applyBorder="1" applyAlignment="1">
      <alignment horizontal="center" vertical="center" wrapText="1"/>
    </xf>
    <xf numFmtId="2" fontId="51" fillId="0" borderId="0" xfId="0" applyNumberFormat="1" applyFont="1" applyAlignment="1">
      <alignment horizontal="center" vertical="center"/>
    </xf>
    <xf numFmtId="2" fontId="51" fillId="0" borderId="0" xfId="0" applyNumberFormat="1" applyFont="1" applyAlignment="1">
      <alignment vertical="center"/>
    </xf>
    <xf numFmtId="177" fontId="51" fillId="0" borderId="0" xfId="2" applyNumberFormat="1" applyFont="1" applyAlignment="1">
      <alignment horizontal="right" vertical="center"/>
    </xf>
    <xf numFmtId="39" fontId="51" fillId="4" borderId="96" xfId="1" applyNumberFormat="1" applyFont="1" applyFill="1" applyBorder="1" applyAlignment="1">
      <alignment horizontal="center" vertical="center"/>
    </xf>
    <xf numFmtId="10" fontId="51" fillId="4" borderId="12" xfId="3" applyNumberFormat="1" applyFont="1" applyFill="1" applyBorder="1" applyAlignment="1">
      <alignment horizontal="center" vertical="center"/>
    </xf>
    <xf numFmtId="0" fontId="50" fillId="11" borderId="25" xfId="0" applyFont="1" applyFill="1" applyBorder="1" applyAlignment="1">
      <alignment vertical="center" wrapText="1"/>
    </xf>
    <xf numFmtId="166" fontId="51" fillId="0" borderId="13" xfId="0" applyNumberFormat="1" applyFont="1" applyBorder="1" applyAlignment="1">
      <alignment horizontal="center" vertical="center"/>
    </xf>
    <xf numFmtId="2" fontId="51" fillId="0" borderId="14" xfId="0" applyNumberFormat="1" applyFont="1" applyBorder="1" applyAlignment="1">
      <alignment horizontal="center" vertical="center"/>
    </xf>
    <xf numFmtId="0" fontId="20" fillId="16" borderId="5" xfId="0" applyFont="1" applyFill="1" applyBorder="1" applyAlignment="1">
      <alignment horizontal="center" vertical="center" wrapText="1"/>
    </xf>
    <xf numFmtId="0" fontId="20" fillId="16" borderId="7" xfId="0" applyFont="1" applyFill="1" applyBorder="1" applyAlignment="1">
      <alignment horizontal="center" vertical="center" wrapText="1"/>
    </xf>
    <xf numFmtId="2" fontId="18" fillId="6" borderId="2" xfId="0" applyNumberFormat="1" applyFont="1" applyFill="1" applyBorder="1" applyAlignment="1">
      <alignment horizontal="right" vertical="center"/>
    </xf>
    <xf numFmtId="2" fontId="19" fillId="15" borderId="97" xfId="0" applyNumberFormat="1" applyFont="1" applyFill="1" applyBorder="1" applyAlignment="1">
      <alignment horizontal="left" vertical="center"/>
    </xf>
    <xf numFmtId="166" fontId="51" fillId="0" borderId="41" xfId="0" applyNumberFormat="1" applyFont="1" applyBorder="1" applyAlignment="1">
      <alignment horizontal="center" vertical="center"/>
    </xf>
    <xf numFmtId="166" fontId="51" fillId="0" borderId="69" xfId="0" applyNumberFormat="1" applyFont="1" applyBorder="1" applyAlignment="1">
      <alignment horizontal="center" vertical="center"/>
    </xf>
    <xf numFmtId="10" fontId="0" fillId="0" borderId="67" xfId="3" applyNumberFormat="1" applyFont="1" applyBorder="1" applyAlignment="1">
      <alignment horizontal="center" vertical="center"/>
    </xf>
    <xf numFmtId="0" fontId="21" fillId="0" borderId="0" xfId="0" applyFont="1" applyAlignment="1">
      <alignment horizontal="left" vertical="center" wrapText="1"/>
    </xf>
    <xf numFmtId="0" fontId="21" fillId="0" borderId="0" xfId="0" applyFont="1" applyAlignment="1">
      <alignment horizontal="left" vertical="center"/>
    </xf>
    <xf numFmtId="0" fontId="21" fillId="14" borderId="4" xfId="0" applyFont="1" applyFill="1" applyBorder="1" applyAlignment="1">
      <alignment horizontal="left" vertical="center"/>
    </xf>
    <xf numFmtId="2" fontId="21" fillId="14" borderId="4" xfId="0" applyNumberFormat="1" applyFont="1" applyFill="1" applyBorder="1" applyAlignment="1">
      <alignment horizontal="right" vertical="center"/>
    </xf>
    <xf numFmtId="0" fontId="21" fillId="15" borderId="12" xfId="0" applyFont="1" applyFill="1" applyBorder="1" applyAlignment="1">
      <alignment horizontal="left" vertical="center" wrapText="1"/>
    </xf>
    <xf numFmtId="166" fontId="18" fillId="0" borderId="65" xfId="0" applyNumberFormat="1" applyFont="1" applyBorder="1" applyAlignment="1">
      <alignment horizontal="right" vertical="center"/>
    </xf>
    <xf numFmtId="2" fontId="21" fillId="15" borderId="12" xfId="0" applyNumberFormat="1" applyFont="1" applyFill="1" applyBorder="1" applyAlignment="1">
      <alignment horizontal="right" vertical="center"/>
    </xf>
    <xf numFmtId="0" fontId="21" fillId="14" borderId="10" xfId="0" applyFont="1" applyFill="1" applyBorder="1" applyAlignment="1">
      <alignment horizontal="left" vertical="center" wrapText="1"/>
    </xf>
    <xf numFmtId="166" fontId="18" fillId="6" borderId="7" xfId="0" applyNumberFormat="1" applyFont="1" applyFill="1" applyBorder="1" applyAlignment="1">
      <alignment horizontal="right" vertical="center"/>
    </xf>
    <xf numFmtId="2" fontId="18" fillId="14" borderId="92" xfId="0" applyNumberFormat="1" applyFont="1" applyFill="1" applyBorder="1" applyAlignment="1">
      <alignment horizontal="right" vertical="center"/>
    </xf>
    <xf numFmtId="2" fontId="18" fillId="14" borderId="23" xfId="0" applyNumberFormat="1" applyFont="1" applyFill="1" applyBorder="1" applyAlignment="1">
      <alignment horizontal="right" vertical="center"/>
    </xf>
    <xf numFmtId="2" fontId="18" fillId="0" borderId="42" xfId="0" applyNumberFormat="1" applyFont="1" applyBorder="1" applyAlignment="1">
      <alignment horizontal="right" vertical="center"/>
    </xf>
    <xf numFmtId="2" fontId="18" fillId="0" borderId="48" xfId="0" applyNumberFormat="1" applyFont="1" applyBorder="1" applyAlignment="1">
      <alignment horizontal="right" vertical="center"/>
    </xf>
    <xf numFmtId="166" fontId="18" fillId="0" borderId="2" xfId="0" applyNumberFormat="1" applyFont="1" applyBorder="1" applyAlignment="1">
      <alignment horizontal="right" vertical="center"/>
    </xf>
    <xf numFmtId="166" fontId="18" fillId="0" borderId="56" xfId="0" applyNumberFormat="1" applyFont="1" applyBorder="1" applyAlignment="1">
      <alignment horizontal="right" vertical="center"/>
    </xf>
    <xf numFmtId="2" fontId="18" fillId="14" borderId="17" xfId="0" applyNumberFormat="1" applyFont="1" applyFill="1" applyBorder="1" applyAlignment="1">
      <alignment horizontal="right" vertical="center"/>
    </xf>
    <xf numFmtId="2" fontId="18" fillId="0" borderId="90" xfId="0" applyNumberFormat="1" applyFont="1" applyBorder="1" applyAlignment="1">
      <alignment horizontal="right" vertical="center"/>
    </xf>
    <xf numFmtId="166" fontId="18" fillId="0" borderId="15" xfId="0" applyNumberFormat="1" applyFont="1" applyBorder="1" applyAlignment="1">
      <alignment horizontal="right" vertical="center"/>
    </xf>
    <xf numFmtId="2" fontId="18" fillId="0" borderId="89" xfId="0" applyNumberFormat="1" applyFont="1" applyBorder="1" applyAlignment="1">
      <alignment horizontal="right" vertical="center"/>
    </xf>
    <xf numFmtId="2" fontId="18" fillId="0" borderId="3" xfId="0" applyNumberFormat="1" applyFont="1" applyBorder="1" applyAlignment="1">
      <alignment horizontal="right" vertical="center"/>
    </xf>
    <xf numFmtId="2" fontId="18" fillId="0" borderId="16" xfId="0" applyNumberFormat="1" applyFont="1" applyBorder="1" applyAlignment="1">
      <alignment horizontal="right" vertical="center"/>
    </xf>
    <xf numFmtId="2" fontId="18" fillId="0" borderId="65" xfId="0" applyNumberFormat="1" applyFont="1" applyBorder="1" applyAlignment="1">
      <alignment horizontal="right" vertical="center"/>
    </xf>
    <xf numFmtId="0" fontId="21" fillId="14" borderId="92" xfId="0" applyFont="1" applyFill="1" applyBorder="1" applyAlignment="1">
      <alignment horizontal="left" vertical="center" wrapText="1"/>
    </xf>
    <xf numFmtId="0" fontId="21" fillId="14" borderId="97" xfId="0" applyFont="1" applyFill="1" applyBorder="1" applyAlignment="1">
      <alignment horizontal="left" vertical="center"/>
    </xf>
    <xf numFmtId="0" fontId="21" fillId="14" borderId="89" xfId="0" applyFont="1" applyFill="1" applyBorder="1" applyAlignment="1">
      <alignment horizontal="left" vertical="center"/>
    </xf>
    <xf numFmtId="2" fontId="21" fillId="14" borderId="91" xfId="0" applyNumberFormat="1" applyFont="1" applyFill="1" applyBorder="1" applyAlignment="1">
      <alignment horizontal="right" vertical="center"/>
    </xf>
    <xf numFmtId="2" fontId="21" fillId="14" borderId="16" xfId="0" applyNumberFormat="1" applyFont="1" applyFill="1" applyBorder="1" applyAlignment="1">
      <alignment horizontal="right" vertical="center"/>
    </xf>
    <xf numFmtId="2" fontId="18" fillId="14" borderId="22" xfId="0" applyNumberFormat="1" applyFont="1" applyFill="1" applyBorder="1" applyAlignment="1">
      <alignment horizontal="right" vertical="center"/>
    </xf>
    <xf numFmtId="2" fontId="18" fillId="14" borderId="24" xfId="0" applyNumberFormat="1" applyFont="1" applyFill="1" applyBorder="1" applyAlignment="1">
      <alignment horizontal="right" vertical="center"/>
    </xf>
    <xf numFmtId="2" fontId="18" fillId="6" borderId="5" xfId="0" applyNumberFormat="1" applyFont="1" applyFill="1" applyBorder="1" applyAlignment="1">
      <alignment horizontal="right" vertical="center"/>
    </xf>
    <xf numFmtId="2" fontId="18" fillId="6" borderId="52" xfId="0" applyNumberFormat="1" applyFont="1" applyFill="1" applyBorder="1" applyAlignment="1">
      <alignment horizontal="right" vertical="center"/>
    </xf>
    <xf numFmtId="2" fontId="21" fillId="14" borderId="17" xfId="0" applyNumberFormat="1" applyFont="1" applyFill="1" applyBorder="1" applyAlignment="1">
      <alignment horizontal="right" vertical="center"/>
    </xf>
    <xf numFmtId="2" fontId="18" fillId="6" borderId="3" xfId="0" applyNumberFormat="1" applyFont="1" applyFill="1" applyBorder="1" applyAlignment="1">
      <alignment horizontal="right" vertical="center"/>
    </xf>
    <xf numFmtId="2" fontId="18" fillId="6" borderId="53" xfId="0" applyNumberFormat="1" applyFont="1" applyFill="1" applyBorder="1" applyAlignment="1">
      <alignment horizontal="right" vertical="center"/>
    </xf>
    <xf numFmtId="167" fontId="35" fillId="0" borderId="11" xfId="0" applyNumberFormat="1" applyFont="1" applyFill="1" applyBorder="1" applyAlignment="1">
      <alignment horizontal="right" vertical="center"/>
    </xf>
    <xf numFmtId="167" fontId="18" fillId="0" borderId="33" xfId="0" applyNumberFormat="1" applyFont="1" applyFill="1" applyBorder="1" applyAlignment="1">
      <alignment horizontal="right" vertical="center"/>
    </xf>
    <xf numFmtId="167" fontId="18" fillId="0" borderId="20" xfId="0" applyNumberFormat="1" applyFont="1" applyFill="1" applyBorder="1" applyAlignment="1">
      <alignment horizontal="right" vertical="center"/>
    </xf>
    <xf numFmtId="167" fontId="18" fillId="0" borderId="11" xfId="0" applyNumberFormat="1" applyFont="1" applyFill="1" applyBorder="1" applyAlignment="1">
      <alignment horizontal="right" vertical="center"/>
    </xf>
    <xf numFmtId="167" fontId="46" fillId="0" borderId="0" xfId="0" applyNumberFormat="1" applyFont="1" applyFill="1" applyBorder="1" applyAlignment="1">
      <alignment horizontal="center" vertical="center" wrapText="1"/>
    </xf>
    <xf numFmtId="3" fontId="0" fillId="0" borderId="2" xfId="0" applyNumberFormat="1" applyFill="1" applyBorder="1" applyAlignment="1">
      <alignment horizontal="center"/>
    </xf>
    <xf numFmtId="1" fontId="18" fillId="0" borderId="33" xfId="0" applyNumberFormat="1" applyFont="1" applyFill="1" applyBorder="1" applyAlignment="1">
      <alignment horizontal="right" vertical="center"/>
    </xf>
    <xf numFmtId="0" fontId="18" fillId="0" borderId="0" xfId="0" applyFont="1" applyAlignment="1">
      <alignment vertical="center"/>
    </xf>
    <xf numFmtId="167" fontId="18" fillId="0" borderId="0" xfId="0" applyNumberFormat="1" applyFont="1" applyAlignment="1">
      <alignment vertical="center"/>
    </xf>
    <xf numFmtId="168" fontId="18" fillId="0" borderId="2" xfId="2" applyNumberFormat="1" applyFont="1" applyBorder="1" applyAlignment="1">
      <alignment horizontal="center"/>
    </xf>
    <xf numFmtId="168" fontId="18" fillId="0" borderId="2" xfId="2" applyNumberFormat="1" applyFont="1" applyBorder="1" applyAlignment="1">
      <alignment horizontal="center" vertical="center"/>
    </xf>
    <xf numFmtId="168" fontId="35" fillId="0" borderId="5" xfId="2" applyNumberFormat="1" applyFont="1" applyBorder="1" applyAlignment="1">
      <alignment horizontal="center" vertical="center"/>
    </xf>
    <xf numFmtId="168" fontId="18" fillId="0" borderId="13" xfId="2" applyNumberFormat="1" applyFont="1" applyBorder="1" applyAlignment="1">
      <alignment horizontal="center"/>
    </xf>
    <xf numFmtId="168" fontId="18" fillId="0" borderId="52" xfId="2" applyNumberFormat="1" applyFont="1" applyBorder="1" applyAlignment="1">
      <alignment horizontal="center"/>
    </xf>
    <xf numFmtId="168" fontId="18" fillId="0" borderId="57" xfId="2" applyNumberFormat="1" applyFont="1" applyBorder="1" applyAlignment="1">
      <alignment horizontal="center"/>
    </xf>
    <xf numFmtId="168" fontId="35" fillId="0" borderId="94" xfId="2" applyNumberFormat="1" applyFont="1" applyBorder="1" applyAlignment="1">
      <alignment horizontal="right" vertical="center"/>
    </xf>
    <xf numFmtId="168" fontId="35" fillId="0" borderId="79" xfId="2" applyNumberFormat="1" applyFont="1" applyBorder="1" applyAlignment="1">
      <alignment horizontal="right" vertical="center"/>
    </xf>
    <xf numFmtId="168" fontId="18" fillId="0" borderId="95" xfId="2" applyNumberFormat="1" applyFont="1" applyBorder="1" applyAlignment="1">
      <alignment horizontal="center"/>
    </xf>
    <xf numFmtId="17" fontId="44" fillId="15" borderId="93" xfId="0" applyNumberFormat="1" applyFont="1" applyFill="1" applyBorder="1" applyAlignment="1">
      <alignment horizontal="center"/>
    </xf>
    <xf numFmtId="1" fontId="18" fillId="0" borderId="0" xfId="0" applyNumberFormat="1" applyFont="1" applyAlignment="1">
      <alignment vertical="center"/>
    </xf>
    <xf numFmtId="2" fontId="18" fillId="0" borderId="57" xfId="0" applyNumberFormat="1" applyFont="1" applyBorder="1" applyAlignment="1">
      <alignment horizontal="center"/>
    </xf>
    <xf numFmtId="10" fontId="18" fillId="0" borderId="95" xfId="3" applyNumberFormat="1" applyFont="1" applyBorder="1" applyAlignment="1">
      <alignment horizontal="center"/>
    </xf>
    <xf numFmtId="2" fontId="20" fillId="0" borderId="6" xfId="0" applyNumberFormat="1" applyFont="1" applyBorder="1" applyAlignment="1">
      <alignment horizontal="center" vertical="center"/>
    </xf>
    <xf numFmtId="17" fontId="19" fillId="9" borderId="40" xfId="0" applyNumberFormat="1" applyFont="1" applyFill="1" applyBorder="1" applyAlignment="1">
      <alignment horizontal="center" vertical="center" wrapText="1"/>
    </xf>
    <xf numFmtId="2" fontId="20" fillId="0" borderId="67" xfId="0" applyNumberFormat="1" applyFont="1" applyBorder="1" applyAlignment="1">
      <alignment horizontal="right" vertical="center"/>
    </xf>
    <xf numFmtId="2" fontId="20" fillId="0" borderId="31" xfId="0" applyNumberFormat="1" applyFont="1" applyBorder="1" applyAlignment="1">
      <alignment horizontal="right" vertical="center"/>
    </xf>
    <xf numFmtId="2" fontId="20" fillId="0" borderId="32" xfId="0" applyNumberFormat="1" applyFont="1" applyBorder="1" applyAlignment="1">
      <alignment horizontal="right" vertical="center"/>
    </xf>
    <xf numFmtId="2" fontId="20" fillId="0" borderId="55" xfId="0" applyNumberFormat="1" applyFont="1" applyBorder="1" applyAlignment="1">
      <alignment horizontal="right" vertical="center"/>
    </xf>
    <xf numFmtId="17" fontId="21" fillId="9" borderId="40" xfId="0" applyNumberFormat="1" applyFont="1" applyFill="1" applyBorder="1" applyAlignment="1">
      <alignment horizontal="center" vertical="center" wrapText="1"/>
    </xf>
    <xf numFmtId="2" fontId="18" fillId="0" borderId="67" xfId="0" applyNumberFormat="1" applyFont="1" applyBorder="1" applyAlignment="1">
      <alignment horizontal="right" vertical="center"/>
    </xf>
    <xf numFmtId="2" fontId="18" fillId="0" borderId="31" xfId="0" applyNumberFormat="1" applyFont="1" applyBorder="1" applyAlignment="1">
      <alignment horizontal="right" vertical="center"/>
    </xf>
    <xf numFmtId="166" fontId="18" fillId="0" borderId="31" xfId="0" applyNumberFormat="1" applyFont="1" applyBorder="1" applyAlignment="1">
      <alignment horizontal="right" vertical="center"/>
    </xf>
    <xf numFmtId="1" fontId="20" fillId="0" borderId="6" xfId="0" applyNumberFormat="1" applyFont="1" applyBorder="1" applyAlignment="1">
      <alignment horizontal="center" vertical="center"/>
    </xf>
    <xf numFmtId="166" fontId="20" fillId="0" borderId="8" xfId="0" applyNumberFormat="1" applyFont="1" applyBorder="1" applyAlignment="1">
      <alignment horizontal="center" vertical="center"/>
    </xf>
    <xf numFmtId="167" fontId="20" fillId="0" borderId="12" xfId="0" applyNumberFormat="1" applyFont="1" applyBorder="1" applyAlignment="1">
      <alignment horizontal="center" vertical="center"/>
    </xf>
    <xf numFmtId="17" fontId="19" fillId="9" borderId="20" xfId="0" applyNumberFormat="1" applyFont="1" applyFill="1" applyBorder="1" applyAlignment="1">
      <alignment horizontal="center" vertical="center" wrapText="1"/>
    </xf>
    <xf numFmtId="17" fontId="19" fillId="9" borderId="11" xfId="0" applyNumberFormat="1" applyFont="1" applyFill="1" applyBorder="1" applyAlignment="1">
      <alignment horizontal="center" vertical="center" wrapText="1"/>
    </xf>
    <xf numFmtId="10" fontId="57" fillId="0" borderId="10" xfId="1641" applyNumberFormat="1" applyFont="1" applyBorder="1" applyAlignment="1">
      <alignment horizontal="center" vertical="center"/>
    </xf>
    <xf numFmtId="1" fontId="57" fillId="0" borderId="10" xfId="0" applyNumberFormat="1" applyFont="1" applyBorder="1" applyAlignment="1">
      <alignment horizontal="center"/>
    </xf>
    <xf numFmtId="10" fontId="57" fillId="0" borderId="8" xfId="1641" applyNumberFormat="1" applyFont="1" applyBorder="1" applyAlignment="1">
      <alignment horizontal="center" vertical="center"/>
    </xf>
    <xf numFmtId="10" fontId="57" fillId="0" borderId="6" xfId="1641" applyNumberFormat="1" applyFont="1" applyBorder="1" applyAlignment="1">
      <alignment horizontal="center" vertical="center"/>
    </xf>
    <xf numFmtId="2" fontId="57" fillId="0" borderId="8" xfId="0" applyNumberFormat="1" applyFont="1" applyBorder="1" applyAlignment="1">
      <alignment horizontal="center"/>
    </xf>
    <xf numFmtId="166" fontId="57" fillId="0" borderId="10" xfId="1641" applyNumberFormat="1" applyFont="1" applyBorder="1" applyAlignment="1">
      <alignment horizontal="center"/>
    </xf>
    <xf numFmtId="2" fontId="57" fillId="0" borderId="6" xfId="1641" applyNumberFormat="1" applyFont="1" applyBorder="1" applyAlignment="1">
      <alignment horizontal="center"/>
    </xf>
    <xf numFmtId="1" fontId="57" fillId="0" borderId="6" xfId="1641" applyNumberFormat="1" applyFont="1" applyBorder="1" applyAlignment="1">
      <alignment horizontal="center"/>
    </xf>
    <xf numFmtId="10" fontId="57" fillId="0" borderId="6" xfId="1641" applyNumberFormat="1" applyFont="1" applyBorder="1" applyAlignment="1">
      <alignment horizontal="center"/>
    </xf>
    <xf numFmtId="166" fontId="18" fillId="0" borderId="65" xfId="0" applyNumberFormat="1" applyFont="1" applyBorder="1" applyAlignment="1">
      <alignment horizontal="right" vertical="center"/>
    </xf>
    <xf numFmtId="2" fontId="18" fillId="0" borderId="65" xfId="0" applyNumberFormat="1" applyFont="1" applyBorder="1" applyAlignment="1">
      <alignment horizontal="right" vertical="center"/>
    </xf>
    <xf numFmtId="3" fontId="0" fillId="0" borderId="57" xfId="0" applyNumberFormat="1" applyFill="1" applyBorder="1" applyAlignment="1">
      <alignment horizontal="center"/>
    </xf>
    <xf numFmtId="3" fontId="0" fillId="0" borderId="67" xfId="0" applyNumberFormat="1" applyFill="1" applyBorder="1" applyAlignment="1">
      <alignment horizontal="center" vertical="center"/>
    </xf>
    <xf numFmtId="2" fontId="0" fillId="0" borderId="65" xfId="0" applyNumberFormat="1" applyFill="1" applyBorder="1" applyAlignment="1">
      <alignment horizontal="center"/>
    </xf>
    <xf numFmtId="10" fontId="0" fillId="0" borderId="67" xfId="3" applyNumberFormat="1" applyFont="1" applyFill="1" applyBorder="1" applyAlignment="1">
      <alignment horizontal="center" vertical="center"/>
    </xf>
    <xf numFmtId="167" fontId="18" fillId="0" borderId="0" xfId="0" applyNumberFormat="1" applyFont="1" applyFill="1" applyAlignment="1">
      <alignment vertical="center"/>
    </xf>
    <xf numFmtId="10" fontId="46" fillId="0" borderId="0" xfId="3" applyNumberFormat="1" applyFont="1" applyFill="1" applyBorder="1" applyAlignment="1">
      <alignment horizontal="center" vertical="center" wrapText="1"/>
    </xf>
    <xf numFmtId="10" fontId="0" fillId="0" borderId="0" xfId="3" applyNumberFormat="1" applyFont="1" applyFill="1" applyBorder="1" applyAlignment="1">
      <alignment horizontal="center"/>
    </xf>
    <xf numFmtId="2" fontId="0" fillId="0" borderId="0" xfId="3" applyNumberFormat="1" applyFont="1"/>
    <xf numFmtId="0" fontId="17" fillId="0" borderId="11" xfId="0" applyFont="1" applyFill="1" applyBorder="1" applyAlignment="1">
      <alignment horizontal="center" vertical="center" wrapText="1"/>
    </xf>
    <xf numFmtId="0" fontId="17" fillId="0" borderId="1" xfId="0" applyFont="1" applyFill="1" applyBorder="1" applyAlignment="1">
      <alignment horizontal="center" vertical="center" wrapText="1"/>
    </xf>
    <xf numFmtId="0" fontId="28" fillId="0" borderId="1" xfId="0" applyFont="1" applyFill="1" applyBorder="1" applyAlignment="1">
      <alignment horizontal="center" vertical="center" wrapText="1"/>
    </xf>
    <xf numFmtId="167" fontId="47" fillId="0" borderId="0" xfId="0" applyNumberFormat="1" applyFont="1" applyAlignment="1">
      <alignment horizontal="center" vertical="center" wrapText="1"/>
    </xf>
    <xf numFmtId="0" fontId="18" fillId="0" borderId="16" xfId="0" applyFont="1" applyBorder="1" applyAlignment="1">
      <alignment vertical="center"/>
    </xf>
    <xf numFmtId="0" fontId="21" fillId="9" borderId="38" xfId="0" applyFont="1" applyFill="1" applyBorder="1" applyAlignment="1">
      <alignment horizontal="center" vertical="center"/>
    </xf>
    <xf numFmtId="0" fontId="21" fillId="9" borderId="30" xfId="0" applyFont="1" applyFill="1" applyBorder="1" applyAlignment="1">
      <alignment horizontal="center" vertical="center"/>
    </xf>
    <xf numFmtId="0" fontId="21" fillId="9" borderId="6" xfId="0" applyFont="1" applyFill="1" applyBorder="1" applyAlignment="1">
      <alignment horizontal="center" vertical="center"/>
    </xf>
    <xf numFmtId="49" fontId="18" fillId="0" borderId="2" xfId="0" applyNumberFormat="1" applyFont="1" applyBorder="1" applyAlignment="1">
      <alignment horizontal="center" vertical="center" wrapText="1"/>
    </xf>
    <xf numFmtId="0" fontId="21" fillId="9" borderId="12" xfId="0" applyFont="1" applyFill="1" applyBorder="1" applyAlignment="1">
      <alignment horizontal="center" vertical="center"/>
    </xf>
    <xf numFmtId="0" fontId="21" fillId="9" borderId="8" xfId="0" applyFont="1" applyFill="1" applyBorder="1" applyAlignment="1">
      <alignment horizontal="center" vertical="center"/>
    </xf>
    <xf numFmtId="10" fontId="51" fillId="0" borderId="0" xfId="0" applyNumberFormat="1" applyFont="1" applyBorder="1" applyAlignment="1">
      <alignment horizontal="center" vertical="center"/>
    </xf>
    <xf numFmtId="0" fontId="50" fillId="0" borderId="0" xfId="0" applyFont="1" applyFill="1" applyBorder="1" applyAlignment="1">
      <alignment horizontal="center" vertical="center"/>
    </xf>
    <xf numFmtId="10" fontId="51" fillId="0" borderId="0" xfId="3" applyNumberFormat="1" applyFont="1" applyFill="1" applyBorder="1" applyAlignment="1">
      <alignment horizontal="center" vertical="center"/>
    </xf>
    <xf numFmtId="2" fontId="51" fillId="0" borderId="0" xfId="0" applyNumberFormat="1" applyFont="1" applyFill="1" applyBorder="1" applyAlignment="1">
      <alignment horizontal="center" vertical="center"/>
    </xf>
    <xf numFmtId="0" fontId="51" fillId="0" borderId="0" xfId="0" applyFont="1" applyFill="1" applyAlignment="1">
      <alignment horizontal="center" vertical="center"/>
    </xf>
    <xf numFmtId="166" fontId="51" fillId="0" borderId="3" xfId="0" applyNumberFormat="1" applyFont="1" applyBorder="1" applyAlignment="1">
      <alignment horizontal="center" vertical="center"/>
    </xf>
    <xf numFmtId="10" fontId="51" fillId="10" borderId="22" xfId="0" applyNumberFormat="1" applyFont="1" applyFill="1" applyBorder="1" applyAlignment="1">
      <alignment horizontal="center" vertical="center" wrapText="1"/>
    </xf>
    <xf numFmtId="10" fontId="51" fillId="10" borderId="5" xfId="0" applyNumberFormat="1" applyFont="1" applyFill="1" applyBorder="1" applyAlignment="1">
      <alignment horizontal="center" vertical="center" wrapText="1"/>
    </xf>
    <xf numFmtId="10" fontId="51" fillId="10" borderId="5" xfId="0" applyNumberFormat="1" applyFont="1" applyFill="1" applyBorder="1" applyAlignment="1">
      <alignment horizontal="center" vertical="center"/>
    </xf>
    <xf numFmtId="10" fontId="51" fillId="10" borderId="7" xfId="0" applyNumberFormat="1" applyFont="1" applyFill="1" applyBorder="1" applyAlignment="1">
      <alignment horizontal="center" vertical="center" wrapText="1"/>
    </xf>
    <xf numFmtId="0" fontId="49" fillId="0" borderId="27" xfId="0" applyFont="1" applyBorder="1" applyAlignment="1">
      <alignment horizontal="center" vertical="center"/>
    </xf>
    <xf numFmtId="0" fontId="49" fillId="0" borderId="51" xfId="0" applyFont="1" applyBorder="1" applyAlignment="1">
      <alignment horizontal="center" vertical="center"/>
    </xf>
    <xf numFmtId="1" fontId="46" fillId="0" borderId="0" xfId="0" applyNumberFormat="1" applyFont="1" applyFill="1" applyBorder="1" applyAlignment="1">
      <alignment horizontal="center" vertical="center" wrapText="1"/>
    </xf>
    <xf numFmtId="1" fontId="46" fillId="0" borderId="0" xfId="3" applyNumberFormat="1" applyFont="1" applyFill="1" applyBorder="1" applyAlignment="1">
      <alignment horizontal="center" vertical="center" wrapText="1"/>
    </xf>
    <xf numFmtId="1" fontId="18" fillId="0" borderId="0" xfId="0" applyNumberFormat="1" applyFont="1" applyFill="1" applyBorder="1" applyAlignment="1">
      <alignment horizontal="center" vertical="center"/>
    </xf>
    <xf numFmtId="1" fontId="46" fillId="0" borderId="0" xfId="0" applyNumberFormat="1" applyFont="1" applyFill="1" applyBorder="1" applyAlignment="1">
      <alignment horizontal="center" vertical="center"/>
    </xf>
    <xf numFmtId="1" fontId="0" fillId="0" borderId="0" xfId="0" applyNumberFormat="1" applyFill="1" applyBorder="1" applyAlignment="1">
      <alignment horizontal="center" vertical="center"/>
    </xf>
    <xf numFmtId="1" fontId="0" fillId="0" borderId="0" xfId="0" applyNumberFormat="1" applyFill="1" applyBorder="1" applyAlignment="1">
      <alignment horizontal="center"/>
    </xf>
    <xf numFmtId="1" fontId="16" fillId="0" borderId="0" xfId="3" applyNumberFormat="1" applyFill="1" applyBorder="1" applyAlignment="1">
      <alignment horizontal="center" vertical="center"/>
    </xf>
    <xf numFmtId="1" fontId="46" fillId="0" borderId="0" xfId="0" applyNumberFormat="1" applyFont="1" applyAlignment="1">
      <alignment horizontal="center" vertical="center" wrapText="1"/>
    </xf>
    <xf numFmtId="167" fontId="18" fillId="0" borderId="8" xfId="0" applyNumberFormat="1" applyFont="1" applyFill="1" applyBorder="1" applyAlignment="1">
      <alignment horizontal="right" vertical="center"/>
    </xf>
    <xf numFmtId="3" fontId="0" fillId="0" borderId="65" xfId="0" applyNumberFormat="1" applyFill="1" applyBorder="1" applyAlignment="1">
      <alignment horizontal="center" vertical="center"/>
    </xf>
    <xf numFmtId="2" fontId="35" fillId="0" borderId="8" xfId="0" applyNumberFormat="1" applyFont="1" applyFill="1" applyBorder="1" applyAlignment="1">
      <alignment horizontal="center" vertical="center"/>
    </xf>
    <xf numFmtId="2" fontId="35" fillId="0" borderId="6" xfId="0" applyNumberFormat="1" applyFont="1" applyFill="1" applyBorder="1" applyAlignment="1">
      <alignment horizontal="center" vertical="center"/>
    </xf>
    <xf numFmtId="2" fontId="18" fillId="15" borderId="22" xfId="0" applyNumberFormat="1" applyFont="1" applyFill="1" applyBorder="1" applyAlignment="1">
      <alignment horizontal="right" vertical="center"/>
    </xf>
    <xf numFmtId="2" fontId="18" fillId="15" borderId="23" xfId="0" applyNumberFormat="1" applyFont="1" applyFill="1" applyBorder="1" applyAlignment="1">
      <alignment horizontal="right" vertical="center"/>
    </xf>
    <xf numFmtId="2" fontId="18" fillId="15" borderId="24" xfId="0" applyNumberFormat="1" applyFont="1" applyFill="1" applyBorder="1" applyAlignment="1">
      <alignment horizontal="right" vertical="center"/>
    </xf>
    <xf numFmtId="2" fontId="18" fillId="15" borderId="54" xfId="0" applyNumberFormat="1" applyFont="1" applyFill="1" applyBorder="1" applyAlignment="1">
      <alignment horizontal="right" vertical="center"/>
    </xf>
    <xf numFmtId="1" fontId="18" fillId="0" borderId="8" xfId="0" applyNumberFormat="1" applyFont="1" applyFill="1" applyBorder="1" applyAlignment="1">
      <alignment horizontal="right" vertical="center"/>
    </xf>
    <xf numFmtId="169" fontId="35" fillId="0" borderId="18" xfId="1" applyNumberFormat="1" applyFont="1" applyFill="1" applyBorder="1" applyAlignment="1">
      <alignment horizontal="right" vertical="center"/>
    </xf>
    <xf numFmtId="2" fontId="35" fillId="0" borderId="10" xfId="0" applyNumberFormat="1" applyFont="1" applyFill="1" applyBorder="1" applyAlignment="1">
      <alignment horizontal="center" vertical="center"/>
    </xf>
    <xf numFmtId="171" fontId="18" fillId="0" borderId="0" xfId="0" applyNumberFormat="1" applyFont="1" applyFill="1" applyAlignment="1">
      <alignment vertical="center"/>
    </xf>
    <xf numFmtId="2" fontId="35" fillId="0" borderId="56" xfId="0" applyNumberFormat="1" applyFont="1" applyBorder="1" applyAlignment="1">
      <alignment horizontal="center" vertical="center"/>
    </xf>
    <xf numFmtId="172" fontId="35" fillId="0" borderId="56" xfId="3" applyNumberFormat="1" applyFont="1" applyBorder="1" applyAlignment="1">
      <alignment horizontal="center" vertical="center"/>
    </xf>
    <xf numFmtId="166" fontId="35" fillId="0" borderId="56" xfId="0" applyNumberFormat="1" applyFont="1" applyBorder="1" applyAlignment="1">
      <alignment horizontal="center" vertical="center"/>
    </xf>
    <xf numFmtId="2" fontId="44" fillId="15" borderId="36" xfId="0" applyNumberFormat="1" applyFont="1" applyFill="1" applyBorder="1" applyAlignment="1">
      <alignment horizontal="center" vertical="center"/>
    </xf>
    <xf numFmtId="2" fontId="44" fillId="15" borderId="15" xfId="0" applyNumberFormat="1" applyFont="1" applyFill="1" applyBorder="1" applyAlignment="1">
      <alignment horizontal="center" vertical="center"/>
    </xf>
    <xf numFmtId="172" fontId="44" fillId="15" borderId="15" xfId="3" applyNumberFormat="1" applyFont="1" applyFill="1" applyBorder="1" applyAlignment="1">
      <alignment horizontal="center" vertical="center"/>
    </xf>
    <xf numFmtId="10" fontId="44" fillId="15" borderId="15" xfId="3" applyNumberFormat="1" applyFont="1" applyFill="1" applyBorder="1" applyAlignment="1">
      <alignment horizontal="center" vertical="center"/>
    </xf>
    <xf numFmtId="167" fontId="44" fillId="15" borderId="15" xfId="0" applyNumberFormat="1" applyFont="1" applyFill="1" applyBorder="1" applyAlignment="1">
      <alignment horizontal="center" vertical="center"/>
    </xf>
    <xf numFmtId="2" fontId="44" fillId="15" borderId="16" xfId="0" applyNumberFormat="1" applyFont="1" applyFill="1" applyBorder="1" applyAlignment="1">
      <alignment horizontal="center" vertical="center"/>
    </xf>
    <xf numFmtId="17" fontId="44" fillId="9" borderId="25" xfId="0" applyNumberFormat="1" applyFont="1" applyFill="1" applyBorder="1" applyAlignment="1">
      <alignment horizontal="center" vertical="center" wrapText="1"/>
    </xf>
    <xf numFmtId="17" fontId="44" fillId="9" borderId="20" xfId="0" applyNumberFormat="1" applyFont="1" applyFill="1" applyBorder="1" applyAlignment="1">
      <alignment horizontal="center" vertical="center" wrapText="1"/>
    </xf>
    <xf numFmtId="49" fontId="18" fillId="0" borderId="3" xfId="0" applyNumberFormat="1" applyFont="1" applyBorder="1" applyAlignment="1">
      <alignment horizontal="center" vertical="center" wrapText="1"/>
    </xf>
    <xf numFmtId="10" fontId="44" fillId="15" borderId="6" xfId="3" applyNumberFormat="1" applyFont="1" applyFill="1" applyBorder="1" applyAlignment="1">
      <alignment horizontal="center" vertical="center"/>
    </xf>
    <xf numFmtId="2" fontId="35" fillId="0" borderId="92" xfId="0" applyNumberFormat="1" applyFont="1" applyBorder="1" applyAlignment="1">
      <alignment horizontal="center" vertical="center"/>
    </xf>
    <xf numFmtId="172" fontId="44" fillId="15" borderId="6" xfId="3" applyNumberFormat="1" applyFont="1" applyFill="1" applyBorder="1" applyAlignment="1">
      <alignment horizontal="center" vertical="center"/>
    </xf>
    <xf numFmtId="2" fontId="35" fillId="0" borderId="93" xfId="0" applyNumberFormat="1" applyFont="1" applyBorder="1" applyAlignment="1">
      <alignment horizontal="center" vertical="center"/>
    </xf>
    <xf numFmtId="2" fontId="35" fillId="0" borderId="89" xfId="0" applyNumberFormat="1" applyFont="1" applyBorder="1" applyAlignment="1">
      <alignment horizontal="center" vertical="center"/>
    </xf>
    <xf numFmtId="2" fontId="18" fillId="14" borderId="88" xfId="0" applyNumberFormat="1" applyFont="1" applyFill="1" applyBorder="1" applyAlignment="1">
      <alignment horizontal="right" vertical="center"/>
    </xf>
    <xf numFmtId="2" fontId="18" fillId="0" borderId="32" xfId="0" applyNumberFormat="1" applyFont="1" applyBorder="1" applyAlignment="1">
      <alignment horizontal="right" vertical="center"/>
    </xf>
    <xf numFmtId="2" fontId="35" fillId="0" borderId="12" xfId="0" applyNumberFormat="1" applyFont="1" applyFill="1" applyBorder="1" applyAlignment="1">
      <alignment horizontal="center" vertical="center"/>
    </xf>
    <xf numFmtId="2" fontId="35" fillId="0" borderId="0" xfId="0" applyNumberFormat="1" applyFont="1" applyFill="1" applyAlignment="1">
      <alignment horizontal="center" vertical="center"/>
    </xf>
    <xf numFmtId="2" fontId="35" fillId="0" borderId="56" xfId="0" applyNumberFormat="1" applyFont="1" applyFill="1" applyBorder="1" applyAlignment="1">
      <alignment horizontal="center" vertical="center"/>
    </xf>
    <xf numFmtId="10" fontId="35" fillId="0" borderId="6" xfId="3" applyNumberFormat="1" applyFont="1" applyFill="1" applyBorder="1" applyAlignment="1">
      <alignment horizontal="center" vertical="center"/>
    </xf>
    <xf numFmtId="10" fontId="35" fillId="0" borderId="56" xfId="3" applyNumberFormat="1" applyFont="1" applyFill="1" applyBorder="1" applyAlignment="1">
      <alignment horizontal="center" vertical="center"/>
    </xf>
    <xf numFmtId="0" fontId="21" fillId="9" borderId="4" xfId="0" applyFont="1" applyFill="1" applyBorder="1" applyAlignment="1">
      <alignment horizontal="center" vertical="center"/>
    </xf>
    <xf numFmtId="166" fontId="18" fillId="0" borderId="0" xfId="0" applyNumberFormat="1" applyFont="1" applyAlignment="1">
      <alignment vertical="center"/>
    </xf>
    <xf numFmtId="167" fontId="35" fillId="0" borderId="8" xfId="0" applyNumberFormat="1" applyFont="1" applyFill="1" applyBorder="1" applyAlignment="1">
      <alignment horizontal="center" vertical="center"/>
    </xf>
    <xf numFmtId="178" fontId="18" fillId="0" borderId="0" xfId="3" applyNumberFormat="1" applyFont="1" applyBorder="1" applyAlignment="1">
      <alignment horizontal="left" vertical="center" wrapText="1"/>
    </xf>
    <xf numFmtId="9" fontId="18" fillId="0" borderId="0" xfId="3" applyFont="1" applyBorder="1" applyAlignment="1">
      <alignment horizontal="left" vertical="center" wrapText="1"/>
    </xf>
    <xf numFmtId="0" fontId="18" fillId="0" borderId="0" xfId="2071" applyFont="1" applyAlignment="1">
      <alignment horizontal="center"/>
    </xf>
    <xf numFmtId="0" fontId="18" fillId="0" borderId="0" xfId="2071" applyFont="1" applyAlignment="1">
      <alignment horizontal="center" vertical="center"/>
    </xf>
    <xf numFmtId="0" fontId="44" fillId="11" borderId="21" xfId="2071" applyFont="1" applyFill="1" applyBorder="1" applyAlignment="1">
      <alignment horizontal="center" vertical="center"/>
    </xf>
    <xf numFmtId="0" fontId="44" fillId="11" borderId="38" xfId="2071" applyFont="1" applyFill="1" applyBorder="1" applyAlignment="1">
      <alignment horizontal="center" vertical="center" wrapText="1"/>
    </xf>
    <xf numFmtId="0" fontId="44" fillId="11" borderId="38" xfId="2071" applyFont="1" applyFill="1" applyBorder="1" applyAlignment="1">
      <alignment horizontal="center" vertical="center"/>
    </xf>
    <xf numFmtId="0" fontId="44" fillId="11" borderId="30" xfId="2071" applyFont="1" applyFill="1" applyBorder="1" applyAlignment="1">
      <alignment horizontal="center" vertical="center"/>
    </xf>
    <xf numFmtId="168" fontId="35" fillId="0" borderId="5" xfId="2072" applyNumberFormat="1" applyFont="1" applyBorder="1" applyAlignment="1">
      <alignment horizontal="center" vertical="center"/>
    </xf>
    <xf numFmtId="168" fontId="18" fillId="0" borderId="2" xfId="2072" applyNumberFormat="1" applyFont="1" applyBorder="1" applyAlignment="1">
      <alignment horizontal="center"/>
    </xf>
    <xf numFmtId="2" fontId="18" fillId="0" borderId="2" xfId="2071" applyNumberFormat="1" applyFont="1" applyBorder="1" applyAlignment="1">
      <alignment horizontal="center"/>
    </xf>
    <xf numFmtId="2" fontId="18" fillId="0" borderId="52" xfId="2071" applyNumberFormat="1" applyFont="1" applyBorder="1" applyAlignment="1">
      <alignment horizontal="center"/>
    </xf>
    <xf numFmtId="168" fontId="18" fillId="0" borderId="0" xfId="2071" applyNumberFormat="1" applyFont="1" applyAlignment="1">
      <alignment horizontal="center"/>
    </xf>
    <xf numFmtId="168" fontId="18" fillId="0" borderId="0" xfId="2072" applyNumberFormat="1" applyFont="1" applyAlignment="1">
      <alignment horizontal="center"/>
    </xf>
    <xf numFmtId="168" fontId="18" fillId="0" borderId="0" xfId="2072" applyNumberFormat="1" applyFont="1" applyAlignment="1">
      <alignment horizontal="center" vertical="center"/>
    </xf>
    <xf numFmtId="10" fontId="18" fillId="0" borderId="0" xfId="2073" applyNumberFormat="1" applyFont="1" applyAlignment="1">
      <alignment horizontal="center"/>
    </xf>
    <xf numFmtId="2" fontId="18" fillId="0" borderId="0" xfId="2071" applyNumberFormat="1" applyFont="1" applyAlignment="1">
      <alignment horizontal="center"/>
    </xf>
    <xf numFmtId="168" fontId="35" fillId="0" borderId="0" xfId="2072" applyNumberFormat="1" applyFont="1" applyAlignment="1">
      <alignment horizontal="center" vertical="center"/>
    </xf>
    <xf numFmtId="17" fontId="44" fillId="15" borderId="97" xfId="2071" applyNumberFormat="1" applyFont="1" applyFill="1" applyBorder="1" applyAlignment="1">
      <alignment horizontal="center" vertical="center"/>
    </xf>
    <xf numFmtId="168" fontId="18" fillId="0" borderId="0" xfId="2071" applyNumberFormat="1" applyFont="1" applyAlignment="1">
      <alignment horizontal="center" vertical="center"/>
    </xf>
    <xf numFmtId="173" fontId="35" fillId="0" borderId="0" xfId="2072" applyNumberFormat="1" applyFont="1" applyAlignment="1">
      <alignment horizontal="center" vertical="center"/>
    </xf>
    <xf numFmtId="168" fontId="35" fillId="0" borderId="44" xfId="2072" applyNumberFormat="1" applyFont="1" applyBorder="1" applyAlignment="1">
      <alignment horizontal="center" vertical="center"/>
    </xf>
    <xf numFmtId="168" fontId="18" fillId="0" borderId="19" xfId="2072" applyNumberFormat="1" applyFont="1" applyBorder="1" applyAlignment="1">
      <alignment horizontal="center"/>
    </xf>
    <xf numFmtId="2" fontId="18" fillId="0" borderId="48" xfId="2071" applyNumberFormat="1" applyFont="1" applyBorder="1" applyAlignment="1">
      <alignment horizontal="center"/>
    </xf>
    <xf numFmtId="2" fontId="18" fillId="0" borderId="90" xfId="2071" applyNumberFormat="1" applyFont="1" applyBorder="1" applyAlignment="1">
      <alignment horizontal="center"/>
    </xf>
    <xf numFmtId="0" fontId="44" fillId="11" borderId="1" xfId="2071" applyFont="1" applyFill="1" applyBorder="1" applyAlignment="1">
      <alignment horizontal="center" vertical="center"/>
    </xf>
    <xf numFmtId="168" fontId="44" fillId="0" borderId="37" xfId="2072" applyNumberFormat="1" applyFont="1" applyBorder="1" applyAlignment="1">
      <alignment horizontal="center" vertical="center"/>
    </xf>
    <xf numFmtId="168" fontId="44" fillId="0" borderId="38" xfId="2072" applyNumberFormat="1" applyFont="1" applyBorder="1" applyAlignment="1">
      <alignment horizontal="center" vertical="center"/>
    </xf>
    <xf numFmtId="2" fontId="21" fillId="0" borderId="38" xfId="2071" applyNumberFormat="1" applyFont="1" applyBorder="1" applyAlignment="1">
      <alignment horizontal="center"/>
    </xf>
    <xf numFmtId="2" fontId="21" fillId="0" borderId="30" xfId="2071" applyNumberFormat="1" applyFont="1" applyBorder="1" applyAlignment="1">
      <alignment horizontal="center"/>
    </xf>
    <xf numFmtId="2" fontId="35" fillId="0" borderId="93" xfId="0" applyNumberFormat="1" applyFont="1" applyFill="1" applyBorder="1" applyAlignment="1">
      <alignment horizontal="center" vertical="center"/>
    </xf>
    <xf numFmtId="0" fontId="18" fillId="0" borderId="0" xfId="0" applyFont="1" applyAlignment="1">
      <alignment vertical="top" wrapText="1"/>
    </xf>
    <xf numFmtId="0" fontId="18" fillId="0" borderId="0" xfId="0" applyFont="1" applyAlignment="1">
      <alignment vertical="center" wrapText="1"/>
    </xf>
    <xf numFmtId="0" fontId="18" fillId="0" borderId="0" xfId="0" applyFont="1" applyAlignment="1">
      <alignment horizontal="left" vertical="center" wrapText="1"/>
    </xf>
    <xf numFmtId="167" fontId="35" fillId="0" borderId="0" xfId="0" applyNumberFormat="1" applyFont="1" applyAlignment="1">
      <alignment horizontal="center" vertical="center"/>
    </xf>
    <xf numFmtId="167" fontId="18" fillId="0" borderId="0" xfId="0" applyNumberFormat="1" applyFont="1" applyFill="1" applyAlignment="1">
      <alignment horizontal="center" vertical="center"/>
    </xf>
    <xf numFmtId="0" fontId="18" fillId="0" borderId="0" xfId="0" applyFont="1" applyFill="1" applyAlignment="1">
      <alignment vertical="center"/>
    </xf>
    <xf numFmtId="0" fontId="18" fillId="0" borderId="33" xfId="0" applyFont="1" applyFill="1" applyBorder="1" applyAlignment="1">
      <alignment horizontal="right" vertical="center"/>
    </xf>
    <xf numFmtId="1" fontId="18" fillId="0" borderId="0" xfId="0" applyNumberFormat="1" applyFont="1" applyFill="1" applyAlignment="1">
      <alignment vertical="center"/>
    </xf>
    <xf numFmtId="2" fontId="18" fillId="14" borderId="54" xfId="0" applyNumberFormat="1" applyFont="1" applyFill="1" applyBorder="1" applyAlignment="1">
      <alignment horizontal="right" vertical="center"/>
    </xf>
    <xf numFmtId="2" fontId="18" fillId="0" borderId="74" xfId="0" applyNumberFormat="1" applyFont="1" applyBorder="1" applyAlignment="1">
      <alignment horizontal="right" vertical="center"/>
    </xf>
    <xf numFmtId="166" fontId="18" fillId="0" borderId="13" xfId="0" applyNumberFormat="1" applyFont="1" applyBorder="1" applyAlignment="1">
      <alignment horizontal="right" vertical="center"/>
    </xf>
    <xf numFmtId="2" fontId="18" fillId="0" borderId="14" xfId="0" applyNumberFormat="1" applyFont="1" applyBorder="1" applyAlignment="1">
      <alignment horizontal="right" vertical="center"/>
    </xf>
    <xf numFmtId="2" fontId="35" fillId="0" borderId="4" xfId="0" applyNumberFormat="1" applyFont="1" applyFill="1" applyBorder="1" applyAlignment="1">
      <alignment horizontal="center" vertical="center"/>
    </xf>
    <xf numFmtId="3" fontId="0" fillId="0" borderId="2" xfId="0" applyNumberFormat="1" applyFill="1" applyBorder="1" applyAlignment="1">
      <alignment horizontal="center" vertical="center"/>
    </xf>
    <xf numFmtId="0" fontId="0" fillId="0" borderId="22" xfId="0" applyBorder="1" applyAlignment="1">
      <alignment horizontal="center"/>
    </xf>
    <xf numFmtId="3" fontId="0" fillId="0" borderId="23" xfId="0" applyNumberFormat="1" applyBorder="1" applyAlignment="1">
      <alignment horizontal="center"/>
    </xf>
    <xf numFmtId="3" fontId="0" fillId="0" borderId="55" xfId="0" applyNumberFormat="1" applyBorder="1" applyAlignment="1">
      <alignment horizontal="center" vertical="center"/>
    </xf>
    <xf numFmtId="3" fontId="0" fillId="0" borderId="55" xfId="0" applyNumberFormat="1" applyFill="1" applyBorder="1" applyAlignment="1">
      <alignment horizontal="center" vertical="center"/>
    </xf>
    <xf numFmtId="3" fontId="0" fillId="0" borderId="23" xfId="0" applyNumberFormat="1" applyBorder="1" applyAlignment="1">
      <alignment horizontal="center" vertical="center"/>
    </xf>
    <xf numFmtId="2" fontId="0" fillId="0" borderId="55" xfId="0" applyNumberFormat="1" applyBorder="1" applyAlignment="1">
      <alignment horizontal="center"/>
    </xf>
    <xf numFmtId="10" fontId="0" fillId="0" borderId="24" xfId="3" applyNumberFormat="1" applyFont="1" applyBorder="1" applyAlignment="1">
      <alignment horizontal="center" vertical="center"/>
    </xf>
    <xf numFmtId="0" fontId="0" fillId="0" borderId="5" xfId="0" applyBorder="1" applyAlignment="1">
      <alignment horizontal="center"/>
    </xf>
    <xf numFmtId="10" fontId="0" fillId="0" borderId="90" xfId="3" applyNumberFormat="1" applyFont="1" applyBorder="1" applyAlignment="1">
      <alignment horizontal="center" vertical="center"/>
    </xf>
    <xf numFmtId="0" fontId="0" fillId="0" borderId="5" xfId="0" applyFill="1" applyBorder="1" applyAlignment="1">
      <alignment horizontal="center"/>
    </xf>
    <xf numFmtId="0" fontId="0" fillId="0" borderId="94" xfId="0" applyBorder="1" applyAlignment="1">
      <alignment horizontal="center"/>
    </xf>
    <xf numFmtId="0" fontId="0" fillId="0" borderId="94" xfId="0" applyFill="1" applyBorder="1" applyAlignment="1">
      <alignment horizontal="center"/>
    </xf>
    <xf numFmtId="10" fontId="0" fillId="0" borderId="90" xfId="3" applyNumberFormat="1" applyFont="1" applyFill="1" applyBorder="1" applyAlignment="1">
      <alignment horizontal="center" vertical="center"/>
    </xf>
    <xf numFmtId="10" fontId="17" fillId="0" borderId="1" xfId="3" applyNumberFormat="1" applyFont="1" applyBorder="1" applyAlignment="1">
      <alignment horizontal="center"/>
    </xf>
    <xf numFmtId="0" fontId="18" fillId="0" borderId="32" xfId="0" applyFont="1" applyBorder="1" applyAlignment="1">
      <alignment horizontal="left" vertical="center"/>
    </xf>
    <xf numFmtId="0" fontId="18" fillId="0" borderId="16" xfId="0" applyFont="1" applyBorder="1" applyAlignment="1">
      <alignment horizontal="left" vertical="center"/>
    </xf>
    <xf numFmtId="2" fontId="35" fillId="0" borderId="0" xfId="0" applyNumberFormat="1" applyFont="1" applyFill="1" applyAlignment="1">
      <alignment vertical="center"/>
    </xf>
    <xf numFmtId="0" fontId="35" fillId="4" borderId="25" xfId="0" applyFont="1" applyFill="1" applyBorder="1" applyAlignment="1">
      <alignment vertical="center"/>
    </xf>
    <xf numFmtId="0" fontId="35" fillId="4" borderId="26" xfId="0" applyFont="1" applyFill="1" applyBorder="1" applyAlignment="1">
      <alignment vertical="center"/>
    </xf>
    <xf numFmtId="0" fontId="35" fillId="4" borderId="27" xfId="0" applyFont="1" applyFill="1" applyBorder="1" applyAlignment="1">
      <alignment vertical="center"/>
    </xf>
    <xf numFmtId="0" fontId="35" fillId="0" borderId="0" xfId="0" applyFont="1" applyFill="1" applyAlignment="1">
      <alignment vertical="center"/>
    </xf>
    <xf numFmtId="43" fontId="35" fillId="0" borderId="0" xfId="0" applyNumberFormat="1" applyFont="1" applyAlignment="1">
      <alignment vertical="center"/>
    </xf>
    <xf numFmtId="173" fontId="35" fillId="0" borderId="0" xfId="0" applyNumberFormat="1" applyFont="1" applyAlignment="1">
      <alignment horizontal="center" vertical="center"/>
    </xf>
    <xf numFmtId="169" fontId="35" fillId="0" borderId="0" xfId="0" applyNumberFormat="1" applyFont="1" applyAlignment="1">
      <alignment horizontal="center" vertical="center"/>
    </xf>
    <xf numFmtId="17" fontId="44" fillId="15" borderId="56" xfId="2071" applyNumberFormat="1" applyFont="1" applyFill="1" applyBorder="1" applyAlignment="1">
      <alignment horizontal="center" vertical="center"/>
    </xf>
    <xf numFmtId="0" fontId="35" fillId="0" borderId="0" xfId="0" applyFont="1" applyFill="1" applyAlignment="1">
      <alignment horizontal="center" vertical="center"/>
    </xf>
    <xf numFmtId="169" fontId="35" fillId="0" borderId="0" xfId="1" applyNumberFormat="1" applyFont="1" applyFill="1" applyAlignment="1">
      <alignment horizontal="center" vertical="center"/>
    </xf>
    <xf numFmtId="167" fontId="57" fillId="0" borderId="6" xfId="1641" applyNumberFormat="1" applyFont="1" applyBorder="1" applyAlignment="1">
      <alignment horizontal="center"/>
    </xf>
    <xf numFmtId="49" fontId="18" fillId="0" borderId="23" xfId="0" applyNumberFormat="1" applyFont="1" applyFill="1" applyBorder="1" applyAlignment="1">
      <alignment horizontal="center" vertical="center" wrapText="1"/>
    </xf>
    <xf numFmtId="10" fontId="0" fillId="0" borderId="67" xfId="3" applyNumberFormat="1" applyFont="1" applyBorder="1" applyAlignment="1">
      <alignment horizontal="center"/>
    </xf>
    <xf numFmtId="10" fontId="0" fillId="0" borderId="23" xfId="3" applyNumberFormat="1" applyFont="1" applyBorder="1" applyAlignment="1">
      <alignment horizontal="center"/>
    </xf>
    <xf numFmtId="10" fontId="0" fillId="0" borderId="23" xfId="3" applyNumberFormat="1" applyFont="1" applyBorder="1" applyAlignment="1">
      <alignment horizontal="center" vertical="center"/>
    </xf>
    <xf numFmtId="2" fontId="0" fillId="0" borderId="76" xfId="0" applyNumberFormat="1" applyFill="1" applyBorder="1" applyAlignment="1">
      <alignment horizontal="center"/>
    </xf>
    <xf numFmtId="2" fontId="0" fillId="0" borderId="23" xfId="0" applyNumberFormat="1" applyFill="1" applyBorder="1" applyAlignment="1">
      <alignment horizontal="center"/>
    </xf>
    <xf numFmtId="168" fontId="18" fillId="0" borderId="0" xfId="0" applyNumberFormat="1" applyFont="1" applyAlignment="1">
      <alignment horizontal="center" vertical="center"/>
    </xf>
    <xf numFmtId="2" fontId="20" fillId="0" borderId="32" xfId="0" applyNumberFormat="1" applyFont="1" applyFill="1" applyBorder="1" applyAlignment="1">
      <alignment horizontal="right" vertical="center"/>
    </xf>
    <xf numFmtId="2" fontId="0" fillId="0" borderId="2" xfId="0" applyNumberFormat="1" applyFill="1" applyBorder="1" applyAlignment="1">
      <alignment horizontal="center"/>
    </xf>
    <xf numFmtId="2" fontId="35" fillId="5" borderId="0" xfId="0" applyNumberFormat="1" applyFont="1" applyFill="1" applyAlignment="1">
      <alignment vertical="center"/>
    </xf>
    <xf numFmtId="0" fontId="59" fillId="0" borderId="52" xfId="0" applyFont="1" applyFill="1" applyBorder="1" applyAlignment="1">
      <alignment vertical="top" wrapText="1"/>
    </xf>
    <xf numFmtId="0" fontId="59" fillId="0" borderId="53" xfId="0" applyFont="1" applyFill="1" applyBorder="1" applyAlignment="1">
      <alignment vertical="top" wrapText="1"/>
    </xf>
    <xf numFmtId="167" fontId="18" fillId="5" borderId="0" xfId="0" applyNumberFormat="1" applyFont="1" applyFill="1" applyAlignment="1">
      <alignment vertical="center"/>
    </xf>
    <xf numFmtId="0" fontId="35" fillId="0" borderId="64" xfId="0" applyFont="1" applyBorder="1" applyAlignment="1">
      <alignment horizontal="left" vertical="center"/>
    </xf>
    <xf numFmtId="0" fontId="35" fillId="0" borderId="15" xfId="0" applyFont="1" applyBorder="1" applyAlignment="1">
      <alignment horizontal="left" vertical="center"/>
    </xf>
    <xf numFmtId="0" fontId="35" fillId="0" borderId="86" xfId="0" applyFont="1" applyBorder="1" applyAlignment="1">
      <alignment horizontal="left" vertical="center"/>
    </xf>
    <xf numFmtId="0" fontId="35" fillId="0" borderId="16" xfId="0" applyFont="1" applyBorder="1" applyAlignment="1">
      <alignment horizontal="left" vertical="center"/>
    </xf>
    <xf numFmtId="0" fontId="48" fillId="0" borderId="25" xfId="0" applyFont="1" applyBorder="1" applyAlignment="1">
      <alignment horizontal="center" vertical="center"/>
    </xf>
    <xf numFmtId="0" fontId="48" fillId="0" borderId="75" xfId="0" applyFont="1" applyBorder="1" applyAlignment="1">
      <alignment horizontal="center" vertical="center"/>
    </xf>
    <xf numFmtId="0" fontId="48" fillId="0" borderId="36" xfId="0" applyFont="1" applyBorder="1" applyAlignment="1">
      <alignment horizontal="center" vertical="center"/>
    </xf>
    <xf numFmtId="0" fontId="48" fillId="0" borderId="26" xfId="0" applyFont="1" applyBorder="1" applyAlignment="1">
      <alignment horizontal="center" vertical="center"/>
    </xf>
    <xf numFmtId="0" fontId="48" fillId="0" borderId="0" xfId="0" applyFont="1" applyBorder="1" applyAlignment="1">
      <alignment horizontal="center" vertical="center"/>
    </xf>
    <xf numFmtId="0" fontId="48" fillId="0" borderId="58" xfId="0" applyFont="1" applyBorder="1" applyAlignment="1">
      <alignment horizontal="center" vertical="center"/>
    </xf>
    <xf numFmtId="0" fontId="48" fillId="0" borderId="27" xfId="0" applyFont="1" applyBorder="1" applyAlignment="1">
      <alignment horizontal="center" vertical="center"/>
    </xf>
    <xf numFmtId="0" fontId="48" fillId="0" borderId="51" xfId="0" applyFont="1" applyBorder="1" applyAlignment="1">
      <alignment horizontal="center" vertical="center"/>
    </xf>
    <xf numFmtId="0" fontId="48" fillId="0" borderId="70" xfId="0" applyFont="1" applyBorder="1" applyAlignment="1">
      <alignment horizontal="center" vertical="center"/>
    </xf>
    <xf numFmtId="0" fontId="49" fillId="10" borderId="21" xfId="0" applyFont="1" applyFill="1" applyBorder="1" applyAlignment="1">
      <alignment horizontal="center" vertical="center"/>
    </xf>
    <xf numFmtId="0" fontId="49" fillId="10" borderId="9" xfId="0" applyFont="1" applyFill="1" applyBorder="1" applyAlignment="1">
      <alignment horizontal="center" vertical="center"/>
    </xf>
    <xf numFmtId="0" fontId="49" fillId="10" borderId="28" xfId="0" applyFont="1" applyFill="1" applyBorder="1" applyAlignment="1">
      <alignment horizontal="center" vertical="center"/>
    </xf>
    <xf numFmtId="0" fontId="50" fillId="11" borderId="21" xfId="0" applyFont="1" applyFill="1" applyBorder="1" applyAlignment="1">
      <alignment horizontal="center" vertical="center"/>
    </xf>
    <xf numFmtId="0" fontId="50" fillId="11" borderId="9" xfId="0" applyFont="1" applyFill="1" applyBorder="1" applyAlignment="1">
      <alignment horizontal="center" vertical="center"/>
    </xf>
    <xf numFmtId="0" fontId="50" fillId="11" borderId="28" xfId="0" applyFont="1" applyFill="1" applyBorder="1" applyAlignment="1">
      <alignment horizontal="center" vertical="center"/>
    </xf>
    <xf numFmtId="0" fontId="50" fillId="12" borderId="21" xfId="0" applyFont="1" applyFill="1" applyBorder="1" applyAlignment="1">
      <alignment horizontal="center" vertical="center"/>
    </xf>
    <xf numFmtId="0" fontId="50" fillId="12" borderId="9" xfId="0" applyFont="1" applyFill="1" applyBorder="1" applyAlignment="1">
      <alignment horizontal="center" vertical="center"/>
    </xf>
    <xf numFmtId="0" fontId="50" fillId="12" borderId="28" xfId="0" applyFont="1" applyFill="1" applyBorder="1" applyAlignment="1">
      <alignment horizontal="center" vertical="center"/>
    </xf>
    <xf numFmtId="0" fontId="50" fillId="12" borderId="25" xfId="0" applyFont="1" applyFill="1" applyBorder="1" applyAlignment="1">
      <alignment horizontal="center" vertical="center"/>
    </xf>
    <xf numFmtId="0" fontId="50" fillId="12" borderId="75" xfId="0" applyFont="1" applyFill="1" applyBorder="1" applyAlignment="1">
      <alignment horizontal="center" vertical="center"/>
    </xf>
    <xf numFmtId="0" fontId="50" fillId="12" borderId="36" xfId="0" applyFont="1" applyFill="1" applyBorder="1" applyAlignment="1">
      <alignment horizontal="center" vertical="center"/>
    </xf>
    <xf numFmtId="2" fontId="51" fillId="4" borderId="21" xfId="0" applyNumberFormat="1" applyFont="1" applyFill="1" applyBorder="1" applyAlignment="1">
      <alignment horizontal="center" vertical="center"/>
    </xf>
    <xf numFmtId="2" fontId="51" fillId="4" borderId="28" xfId="0" applyNumberFormat="1" applyFont="1" applyFill="1" applyBorder="1" applyAlignment="1">
      <alignment horizontal="center" vertical="center"/>
    </xf>
    <xf numFmtId="0" fontId="18" fillId="0" borderId="2" xfId="0" applyFont="1" applyBorder="1" applyAlignment="1">
      <alignment horizontal="center" vertical="center"/>
    </xf>
    <xf numFmtId="0" fontId="32" fillId="0" borderId="65" xfId="0" applyFont="1" applyBorder="1" applyAlignment="1">
      <alignment horizontal="center" vertical="center"/>
    </xf>
    <xf numFmtId="0" fontId="32" fillId="0" borderId="78" xfId="0" applyFont="1" applyBorder="1" applyAlignment="1">
      <alignment horizontal="center" vertical="center"/>
    </xf>
    <xf numFmtId="0" fontId="32" fillId="0" borderId="79" xfId="0" applyFont="1" applyBorder="1" applyAlignment="1">
      <alignment horizontal="center" vertical="center"/>
    </xf>
    <xf numFmtId="0" fontId="32" fillId="0" borderId="76" xfId="0" applyFont="1" applyBorder="1" applyAlignment="1">
      <alignment horizontal="center" vertical="center"/>
    </xf>
    <xf numFmtId="0" fontId="32" fillId="0" borderId="0" xfId="0" applyFont="1" applyAlignment="1">
      <alignment horizontal="center" vertical="center"/>
    </xf>
    <xf numFmtId="0" fontId="32" fillId="0" borderId="77" xfId="0" applyFont="1" applyBorder="1" applyAlignment="1">
      <alignment horizontal="center" vertical="center"/>
    </xf>
    <xf numFmtId="0" fontId="32" fillId="0" borderId="67" xfId="0" applyFont="1" applyBorder="1" applyAlignment="1">
      <alignment horizontal="center" vertical="center"/>
    </xf>
    <xf numFmtId="0" fontId="32" fillId="0" borderId="80" xfId="0" applyFont="1" applyBorder="1" applyAlignment="1">
      <alignment horizontal="center" vertical="center"/>
    </xf>
    <xf numFmtId="0" fontId="32" fillId="0" borderId="74" xfId="0" applyFont="1" applyBorder="1" applyAlignment="1">
      <alignment horizontal="center" vertical="center"/>
    </xf>
    <xf numFmtId="0" fontId="18" fillId="0" borderId="32" xfId="0" applyFont="1" applyBorder="1" applyAlignment="1">
      <alignment horizontal="left" vertical="center"/>
    </xf>
    <xf numFmtId="0" fontId="18" fillId="0" borderId="16" xfId="0" applyFont="1" applyBorder="1" applyAlignment="1">
      <alignment horizontal="left" vertical="center"/>
    </xf>
    <xf numFmtId="0" fontId="18" fillId="0" borderId="31" xfId="2071" applyFont="1" applyBorder="1" applyAlignment="1">
      <alignment horizontal="center" vertical="center"/>
    </xf>
    <xf numFmtId="0" fontId="32" fillId="0" borderId="25" xfId="2071" applyFont="1" applyBorder="1" applyAlignment="1">
      <alignment horizontal="center" vertical="center"/>
    </xf>
    <xf numFmtId="0" fontId="32" fillId="0" borderId="75" xfId="2071" applyFont="1" applyBorder="1" applyAlignment="1">
      <alignment horizontal="center" vertical="center"/>
    </xf>
    <xf numFmtId="0" fontId="32" fillId="0" borderId="36" xfId="2071" applyFont="1" applyBorder="1" applyAlignment="1">
      <alignment horizontal="center" vertical="center"/>
    </xf>
    <xf numFmtId="0" fontId="32" fillId="0" borderId="26" xfId="2071" applyFont="1" applyBorder="1" applyAlignment="1">
      <alignment horizontal="center" vertical="center"/>
    </xf>
    <xf numFmtId="0" fontId="32" fillId="0" borderId="0" xfId="2071" applyFont="1" applyBorder="1" applyAlignment="1">
      <alignment horizontal="center" vertical="center"/>
    </xf>
    <xf numFmtId="0" fontId="32" fillId="0" borderId="58" xfId="2071" applyFont="1" applyBorder="1" applyAlignment="1">
      <alignment horizontal="center" vertical="center"/>
    </xf>
    <xf numFmtId="0" fontId="32" fillId="0" borderId="27" xfId="2071" applyFont="1" applyBorder="1" applyAlignment="1">
      <alignment horizontal="center" vertical="center"/>
    </xf>
    <xf numFmtId="0" fontId="32" fillId="0" borderId="51" xfId="2071" applyFont="1" applyBorder="1" applyAlignment="1">
      <alignment horizontal="center" vertical="center"/>
    </xf>
    <xf numFmtId="0" fontId="32" fillId="0" borderId="70" xfId="2071" applyFont="1" applyBorder="1" applyAlignment="1">
      <alignment horizontal="center" vertical="center"/>
    </xf>
    <xf numFmtId="0" fontId="18" fillId="0" borderId="86" xfId="2071" applyFont="1" applyBorder="1" applyAlignment="1">
      <alignment horizontal="left" vertical="center"/>
    </xf>
    <xf numFmtId="0" fontId="18" fillId="0" borderId="16" xfId="2071" applyFont="1" applyBorder="1" applyAlignment="1">
      <alignment horizontal="left" vertical="center"/>
    </xf>
    <xf numFmtId="0" fontId="44" fillId="9" borderId="21" xfId="0" applyFont="1" applyFill="1" applyBorder="1" applyAlignment="1">
      <alignment horizontal="center" vertical="center"/>
    </xf>
    <xf numFmtId="0" fontId="44" fillId="9" borderId="9" xfId="0" applyFont="1" applyFill="1" applyBorder="1" applyAlignment="1">
      <alignment horizontal="center" vertical="center"/>
    </xf>
    <xf numFmtId="0" fontId="44" fillId="9" borderId="28" xfId="0" applyFont="1" applyFill="1" applyBorder="1" applyAlignment="1">
      <alignment horizontal="center" vertical="center"/>
    </xf>
    <xf numFmtId="0" fontId="35" fillId="0" borderId="22" xfId="0" applyFont="1" applyBorder="1" applyAlignment="1">
      <alignment horizontal="center" vertical="center"/>
    </xf>
    <xf numFmtId="0" fontId="35" fillId="0" borderId="55" xfId="0" applyFont="1" applyBorder="1" applyAlignment="1">
      <alignment horizontal="center" vertical="center"/>
    </xf>
    <xf numFmtId="0" fontId="35" fillId="0" borderId="5" xfId="0" applyFont="1" applyBorder="1" applyAlignment="1">
      <alignment horizontal="center" vertical="center"/>
    </xf>
    <xf numFmtId="0" fontId="35" fillId="0" borderId="31" xfId="0" applyFont="1" applyBorder="1" applyAlignment="1">
      <alignment horizontal="center" vertical="center"/>
    </xf>
    <xf numFmtId="0" fontId="35" fillId="0" borderId="7" xfId="0" applyFont="1" applyBorder="1" applyAlignment="1">
      <alignment horizontal="center" vertical="center"/>
    </xf>
    <xf numFmtId="0" fontId="35" fillId="0" borderId="32" xfId="0" applyFont="1" applyBorder="1" applyAlignment="1">
      <alignment horizontal="center" vertical="center"/>
    </xf>
    <xf numFmtId="0" fontId="44" fillId="0" borderId="22" xfId="0" applyFont="1" applyBorder="1" applyAlignment="1">
      <alignment horizontal="center" vertical="center"/>
    </xf>
    <xf numFmtId="0" fontId="44" fillId="0" borderId="23" xfId="0" applyFont="1" applyBorder="1" applyAlignment="1">
      <alignment horizontal="center" vertical="center"/>
    </xf>
    <xf numFmtId="0" fontId="44" fillId="0" borderId="24" xfId="0" applyFont="1" applyBorder="1" applyAlignment="1">
      <alignment horizontal="center" vertical="center"/>
    </xf>
    <xf numFmtId="0" fontId="44" fillId="0" borderId="5" xfId="0" applyFont="1" applyBorder="1" applyAlignment="1">
      <alignment horizontal="center" vertical="center"/>
    </xf>
    <xf numFmtId="0" fontId="44" fillId="0" borderId="2" xfId="0" applyFont="1" applyBorder="1" applyAlignment="1">
      <alignment horizontal="center" vertical="center"/>
    </xf>
    <xf numFmtId="0" fontId="44" fillId="0" borderId="52" xfId="0" applyFont="1" applyBorder="1" applyAlignment="1">
      <alignment horizontal="center" vertical="center"/>
    </xf>
    <xf numFmtId="0" fontId="44" fillId="0" borderId="7" xfId="0" applyFont="1" applyBorder="1" applyAlignment="1">
      <alignment horizontal="center" vertical="center"/>
    </xf>
    <xf numFmtId="0" fontId="44" fillId="0" borderId="3" xfId="0" applyFont="1" applyBorder="1" applyAlignment="1">
      <alignment horizontal="center" vertical="center"/>
    </xf>
    <xf numFmtId="0" fontId="44" fillId="0" borderId="53" xfId="0" applyFont="1" applyBorder="1" applyAlignment="1">
      <alignment horizontal="center" vertical="center"/>
    </xf>
    <xf numFmtId="0" fontId="21" fillId="15" borderId="20" xfId="0" applyFont="1" applyFill="1" applyBorder="1" applyAlignment="1">
      <alignment horizontal="center" vertical="center"/>
    </xf>
    <xf numFmtId="0" fontId="21" fillId="15" borderId="11" xfId="0" applyFont="1" applyFill="1" applyBorder="1" applyAlignment="1">
      <alignment horizontal="center" vertical="center"/>
    </xf>
    <xf numFmtId="0" fontId="21" fillId="15" borderId="20" xfId="0" applyFont="1" applyFill="1" applyBorder="1" applyAlignment="1">
      <alignment horizontal="center" vertical="center" wrapText="1"/>
    </xf>
    <xf numFmtId="0" fontId="21" fillId="15" borderId="33" xfId="0" applyFont="1" applyFill="1" applyBorder="1" applyAlignment="1">
      <alignment horizontal="center" vertical="center"/>
    </xf>
    <xf numFmtId="0" fontId="18" fillId="0" borderId="22" xfId="0" applyFont="1" applyBorder="1" applyAlignment="1">
      <alignment horizontal="center" vertical="center"/>
    </xf>
    <xf numFmtId="0" fontId="18" fillId="0" borderId="55" xfId="0" applyFont="1" applyBorder="1" applyAlignment="1">
      <alignment horizontal="center" vertical="center"/>
    </xf>
    <xf numFmtId="0" fontId="18" fillId="0" borderId="5" xfId="0" applyFont="1" applyBorder="1" applyAlignment="1">
      <alignment horizontal="center" vertical="center"/>
    </xf>
    <xf numFmtId="0" fontId="18" fillId="0" borderId="31" xfId="0" applyFont="1" applyBorder="1" applyAlignment="1">
      <alignment horizontal="center" vertical="center"/>
    </xf>
    <xf numFmtId="0" fontId="18" fillId="0" borderId="7" xfId="0" applyFont="1" applyBorder="1" applyAlignment="1">
      <alignment horizontal="center" vertical="center"/>
    </xf>
    <xf numFmtId="0" fontId="18" fillId="0" borderId="32" xfId="0" applyFont="1" applyBorder="1" applyAlignment="1">
      <alignment horizontal="center" vertical="center"/>
    </xf>
    <xf numFmtId="0" fontId="21" fillId="15" borderId="25" xfId="0" applyFont="1" applyFill="1" applyBorder="1" applyAlignment="1">
      <alignment horizontal="center" vertical="center" wrapText="1"/>
    </xf>
    <xf numFmtId="0" fontId="0" fillId="15" borderId="27" xfId="0" applyFill="1" applyBorder="1" applyAlignment="1">
      <alignment vertical="center"/>
    </xf>
    <xf numFmtId="0" fontId="21" fillId="15" borderId="26" xfId="0" applyFont="1" applyFill="1" applyBorder="1" applyAlignment="1">
      <alignment horizontal="center" vertical="center" wrapText="1"/>
    </xf>
    <xf numFmtId="0" fontId="21" fillId="15" borderId="27" xfId="0" applyFont="1" applyFill="1" applyBorder="1" applyAlignment="1">
      <alignment horizontal="center" vertical="center" wrapText="1"/>
    </xf>
    <xf numFmtId="0" fontId="32" fillId="0" borderId="25" xfId="0" applyFont="1" applyBorder="1" applyAlignment="1">
      <alignment horizontal="center" vertical="center"/>
    </xf>
    <xf numFmtId="0" fontId="32" fillId="0" borderId="75" xfId="0" applyFont="1" applyBorder="1" applyAlignment="1">
      <alignment horizontal="center" vertical="center"/>
    </xf>
    <xf numFmtId="0" fontId="32" fillId="0" borderId="36" xfId="0" applyFont="1" applyBorder="1" applyAlignment="1">
      <alignment horizontal="center" vertical="center"/>
    </xf>
    <xf numFmtId="0" fontId="32" fillId="0" borderId="26" xfId="0" applyFont="1" applyBorder="1" applyAlignment="1">
      <alignment horizontal="center" vertical="center"/>
    </xf>
    <xf numFmtId="0" fontId="32" fillId="0" borderId="58" xfId="0" applyFont="1" applyBorder="1" applyAlignment="1">
      <alignment horizontal="center" vertical="center"/>
    </xf>
    <xf numFmtId="0" fontId="32" fillId="0" borderId="27" xfId="0" applyFont="1" applyBorder="1" applyAlignment="1">
      <alignment horizontal="center" vertical="center"/>
    </xf>
    <xf numFmtId="0" fontId="32" fillId="0" borderId="51" xfId="0" applyFont="1" applyBorder="1" applyAlignment="1">
      <alignment horizontal="center" vertical="center"/>
    </xf>
    <xf numFmtId="0" fontId="32" fillId="0" borderId="70" xfId="0" applyFont="1" applyBorder="1" applyAlignment="1">
      <alignment horizontal="center" vertical="center"/>
    </xf>
    <xf numFmtId="0" fontId="21" fillId="15" borderId="33" xfId="0" applyFont="1" applyFill="1" applyBorder="1" applyAlignment="1">
      <alignment horizontal="center" vertical="center" wrapText="1"/>
    </xf>
    <xf numFmtId="0" fontId="21" fillId="15" borderId="11" xfId="0" applyFont="1" applyFill="1" applyBorder="1" applyAlignment="1">
      <alignment horizontal="center" vertical="center" wrapText="1"/>
    </xf>
    <xf numFmtId="0" fontId="18" fillId="0" borderId="86" xfId="0" applyFont="1" applyBorder="1" applyAlignment="1">
      <alignment horizontal="left" vertical="center"/>
    </xf>
    <xf numFmtId="0" fontId="21" fillId="15" borderId="25" xfId="0" applyFont="1" applyFill="1" applyBorder="1" applyAlignment="1">
      <alignment horizontal="center" vertical="center"/>
    </xf>
    <xf numFmtId="0" fontId="21" fillId="15" borderId="26" xfId="0" applyFont="1" applyFill="1" applyBorder="1" applyAlignment="1">
      <alignment horizontal="center" vertical="center"/>
    </xf>
    <xf numFmtId="0" fontId="21" fillId="15" borderId="27" xfId="0" applyFont="1" applyFill="1" applyBorder="1" applyAlignment="1">
      <alignment horizontal="center" vertical="center"/>
    </xf>
    <xf numFmtId="0" fontId="18" fillId="15" borderId="7" xfId="0" applyFont="1" applyFill="1" applyBorder="1" applyAlignment="1">
      <alignment horizontal="left" vertical="center" wrapText="1"/>
    </xf>
    <xf numFmtId="0" fontId="18" fillId="15" borderId="3" xfId="0" applyFont="1" applyFill="1" applyBorder="1" applyAlignment="1">
      <alignment horizontal="left" vertical="center" wrapText="1"/>
    </xf>
    <xf numFmtId="0" fontId="18" fillId="0" borderId="23" xfId="0" applyFont="1" applyBorder="1" applyAlignment="1">
      <alignment horizontal="center" vertical="center"/>
    </xf>
    <xf numFmtId="0" fontId="18" fillId="0" borderId="3" xfId="0" applyFont="1" applyBorder="1" applyAlignment="1">
      <alignment horizontal="center" vertical="center"/>
    </xf>
    <xf numFmtId="0" fontId="32" fillId="0" borderId="22" xfId="0" applyFont="1" applyBorder="1" applyAlignment="1">
      <alignment horizontal="center" vertical="center"/>
    </xf>
    <xf numFmtId="0" fontId="32" fillId="0" borderId="23" xfId="0" applyFont="1" applyBorder="1" applyAlignment="1">
      <alignment horizontal="center" vertical="center"/>
    </xf>
    <xf numFmtId="0" fontId="32" fillId="0" borderId="24" xfId="0" applyFont="1" applyBorder="1" applyAlignment="1">
      <alignment horizontal="center" vertical="center"/>
    </xf>
    <xf numFmtId="0" fontId="32" fillId="0" borderId="5" xfId="0" applyFont="1" applyBorder="1" applyAlignment="1">
      <alignment horizontal="center" vertical="center"/>
    </xf>
    <xf numFmtId="0" fontId="32" fillId="0" borderId="2" xfId="0" applyFont="1" applyBorder="1" applyAlignment="1">
      <alignment horizontal="center" vertical="center"/>
    </xf>
    <xf numFmtId="0" fontId="32" fillId="0" borderId="52" xfId="0" applyFont="1" applyBorder="1" applyAlignment="1">
      <alignment horizontal="center" vertical="center"/>
    </xf>
    <xf numFmtId="0" fontId="32" fillId="0" borderId="7" xfId="0" applyFont="1" applyBorder="1" applyAlignment="1">
      <alignment horizontal="center" vertical="center"/>
    </xf>
    <xf numFmtId="0" fontId="32" fillId="0" borderId="3" xfId="0" applyFont="1" applyBorder="1" applyAlignment="1">
      <alignment horizontal="center" vertical="center"/>
    </xf>
    <xf numFmtId="0" fontId="32" fillId="0" borderId="53" xfId="0" applyFont="1" applyBorder="1" applyAlignment="1">
      <alignment horizontal="center" vertical="center"/>
    </xf>
    <xf numFmtId="0" fontId="21" fillId="9" borderId="21" xfId="0" applyFont="1" applyFill="1" applyBorder="1" applyAlignment="1">
      <alignment horizontal="center" vertical="center"/>
    </xf>
    <xf numFmtId="0" fontId="21" fillId="9" borderId="9" xfId="0" applyFont="1" applyFill="1" applyBorder="1" applyAlignment="1">
      <alignment horizontal="center" vertical="center"/>
    </xf>
    <xf numFmtId="0" fontId="21" fillId="9" borderId="71" xfId="0" applyFont="1" applyFill="1" applyBorder="1" applyAlignment="1">
      <alignment horizontal="center" vertical="center"/>
    </xf>
    <xf numFmtId="0" fontId="18" fillId="15" borderId="92" xfId="0" applyFont="1" applyFill="1" applyBorder="1" applyAlignment="1">
      <alignment horizontal="left" vertical="center" wrapText="1"/>
    </xf>
    <xf numFmtId="0" fontId="18" fillId="15" borderId="88" xfId="0" applyFont="1" applyFill="1" applyBorder="1" applyAlignment="1">
      <alignment horizontal="left" vertical="center" wrapText="1"/>
    </xf>
    <xf numFmtId="0" fontId="18" fillId="15" borderId="54" xfId="0" applyFont="1" applyFill="1" applyBorder="1" applyAlignment="1">
      <alignment horizontal="left" vertical="center" wrapText="1"/>
    </xf>
    <xf numFmtId="0" fontId="18" fillId="15" borderId="56" xfId="0" applyFont="1" applyFill="1" applyBorder="1" applyAlignment="1">
      <alignment horizontal="left" vertical="center" wrapText="1"/>
    </xf>
    <xf numFmtId="0" fontId="18" fillId="15" borderId="64" xfId="0" applyFont="1" applyFill="1" applyBorder="1" applyAlignment="1">
      <alignment horizontal="left" vertical="center" wrapText="1"/>
    </xf>
    <xf numFmtId="0" fontId="18" fillId="15" borderId="13" xfId="0" applyFont="1" applyFill="1" applyBorder="1" applyAlignment="1">
      <alignment horizontal="left" vertical="center" wrapText="1"/>
    </xf>
    <xf numFmtId="0" fontId="17" fillId="0" borderId="21" xfId="0" applyFont="1" applyBorder="1" applyAlignment="1">
      <alignment horizontal="center"/>
    </xf>
    <xf numFmtId="0" fontId="17" fillId="0" borderId="9" xfId="0" applyFont="1" applyBorder="1" applyAlignment="1">
      <alignment horizontal="center"/>
    </xf>
    <xf numFmtId="0" fontId="17" fillId="0" borderId="28" xfId="0" applyFont="1" applyBorder="1" applyAlignment="1">
      <alignment horizontal="center"/>
    </xf>
    <xf numFmtId="0" fontId="18" fillId="0" borderId="20" xfId="0" applyFont="1" applyBorder="1" applyAlignment="1">
      <alignment horizontal="center" vertical="center"/>
    </xf>
    <xf numFmtId="0" fontId="18" fillId="0" borderId="33" xfId="0" applyFont="1" applyBorder="1" applyAlignment="1">
      <alignment horizontal="center" vertical="center"/>
    </xf>
    <xf numFmtId="0" fontId="18" fillId="0" borderId="11" xfId="0" applyFont="1" applyBorder="1" applyAlignment="1">
      <alignment horizontal="center" vertical="center"/>
    </xf>
    <xf numFmtId="0" fontId="17" fillId="9" borderId="21" xfId="0" applyFont="1" applyFill="1" applyBorder="1" applyAlignment="1">
      <alignment horizontal="center" vertical="center"/>
    </xf>
    <xf numFmtId="0" fontId="17" fillId="9" borderId="28" xfId="0" applyFont="1" applyFill="1" applyBorder="1" applyAlignment="1">
      <alignment horizontal="center" vertical="center"/>
    </xf>
    <xf numFmtId="17" fontId="44" fillId="9" borderId="20" xfId="0" applyNumberFormat="1" applyFont="1" applyFill="1" applyBorder="1" applyAlignment="1">
      <alignment horizontal="center" vertical="center" wrapText="1"/>
    </xf>
    <xf numFmtId="17" fontId="44" fillId="9" borderId="11" xfId="0" applyNumberFormat="1" applyFont="1" applyFill="1" applyBorder="1" applyAlignment="1">
      <alignment horizontal="center" vertical="center" wrapText="1"/>
    </xf>
    <xf numFmtId="17" fontId="44" fillId="9" borderId="36" xfId="0" applyNumberFormat="1" applyFont="1" applyFill="1" applyBorder="1" applyAlignment="1">
      <alignment horizontal="center" vertical="center" wrapText="1"/>
    </xf>
    <xf numFmtId="17" fontId="44" fillId="9" borderId="70" xfId="0" applyNumberFormat="1" applyFont="1" applyFill="1" applyBorder="1" applyAlignment="1">
      <alignment horizontal="center" vertical="center" wrapText="1"/>
    </xf>
    <xf numFmtId="0" fontId="21" fillId="9" borderId="36" xfId="0" applyFont="1" applyFill="1" applyBorder="1" applyAlignment="1">
      <alignment horizontal="center" vertical="center"/>
    </xf>
    <xf numFmtId="0" fontId="21" fillId="9" borderId="70" xfId="0" applyFont="1" applyFill="1" applyBorder="1" applyAlignment="1">
      <alignment horizontal="center" vertical="center"/>
    </xf>
    <xf numFmtId="0" fontId="21" fillId="4" borderId="0" xfId="0" applyFont="1" applyFill="1" applyAlignment="1">
      <alignment horizontal="center" vertical="center"/>
    </xf>
    <xf numFmtId="0" fontId="45" fillId="0" borderId="0" xfId="0" applyFont="1" applyAlignment="1">
      <alignment horizontal="center" vertical="center"/>
    </xf>
    <xf numFmtId="0" fontId="31" fillId="7" borderId="21" xfId="0" applyFont="1" applyFill="1" applyBorder="1" applyAlignment="1" applyProtection="1">
      <alignment horizontal="center" vertical="center"/>
      <protection locked="0"/>
    </xf>
    <xf numFmtId="0" fontId="31" fillId="7" borderId="9" xfId="0" applyFont="1" applyFill="1" applyBorder="1" applyAlignment="1" applyProtection="1">
      <alignment horizontal="center" vertical="center"/>
      <protection locked="0"/>
    </xf>
    <xf numFmtId="0" fontId="31" fillId="7" borderId="28" xfId="0" applyFont="1" applyFill="1" applyBorder="1" applyAlignment="1" applyProtection="1">
      <alignment horizontal="center" vertical="center"/>
      <protection locked="0"/>
    </xf>
    <xf numFmtId="14" fontId="25" fillId="0" borderId="21" xfId="1" applyNumberFormat="1" applyFont="1" applyBorder="1" applyAlignment="1" applyProtection="1">
      <alignment horizontal="center" vertical="center"/>
      <protection locked="0"/>
    </xf>
    <xf numFmtId="14" fontId="25" fillId="0" borderId="9" xfId="1" applyNumberFormat="1" applyFont="1" applyBorder="1" applyAlignment="1" applyProtection="1">
      <alignment horizontal="center" vertical="center"/>
      <protection locked="0"/>
    </xf>
    <xf numFmtId="14" fontId="25" fillId="0" borderId="28" xfId="1" applyNumberFormat="1" applyFont="1" applyBorder="1" applyAlignment="1" applyProtection="1">
      <alignment horizontal="center" vertical="center"/>
      <protection locked="0"/>
    </xf>
    <xf numFmtId="0" fontId="33" fillId="0" borderId="21" xfId="0" applyFont="1" applyBorder="1" applyAlignment="1" applyProtection="1">
      <alignment horizontal="center" vertical="center"/>
      <protection locked="0"/>
    </xf>
    <xf numFmtId="0" fontId="33" fillId="0" borderId="9" xfId="0" applyFont="1" applyBorder="1" applyAlignment="1" applyProtection="1">
      <alignment horizontal="center" vertical="center"/>
      <protection locked="0"/>
    </xf>
    <xf numFmtId="0" fontId="33" fillId="0" borderId="28" xfId="0" applyFont="1" applyBorder="1" applyAlignment="1" applyProtection="1">
      <alignment horizontal="center" vertical="center"/>
      <protection locked="0"/>
    </xf>
    <xf numFmtId="0" fontId="31" fillId="7" borderId="81" xfId="0" applyFont="1" applyFill="1" applyBorder="1" applyAlignment="1" applyProtection="1">
      <alignment horizontal="center" vertical="center"/>
      <protection locked="0"/>
    </xf>
    <xf numFmtId="0" fontId="31" fillId="7" borderId="82" xfId="0" applyFont="1" applyFill="1" applyBorder="1" applyAlignment="1" applyProtection="1">
      <alignment horizontal="center" vertical="center"/>
      <protection locked="0"/>
    </xf>
    <xf numFmtId="3" fontId="26" fillId="0" borderId="57" xfId="2" applyNumberFormat="1" applyFont="1" applyBorder="1" applyAlignment="1" applyProtection="1">
      <alignment horizontal="right" vertical="center" wrapText="1"/>
      <protection locked="0"/>
    </xf>
    <xf numFmtId="3" fontId="26" fillId="0" borderId="19" xfId="2" applyNumberFormat="1" applyFont="1" applyBorder="1" applyAlignment="1" applyProtection="1">
      <alignment horizontal="right" vertical="center" wrapText="1"/>
      <protection locked="0"/>
    </xf>
    <xf numFmtId="3" fontId="26" fillId="0" borderId="48" xfId="2" applyNumberFormat="1" applyFont="1" applyBorder="1" applyAlignment="1" applyProtection="1">
      <alignment horizontal="right" vertical="center" wrapText="1"/>
      <protection locked="0"/>
    </xf>
    <xf numFmtId="0" fontId="23" fillId="7" borderId="21" xfId="1" applyFont="1" applyFill="1" applyBorder="1" applyAlignment="1" applyProtection="1">
      <alignment horizontal="center" vertical="center"/>
      <protection locked="0"/>
    </xf>
    <xf numFmtId="0" fontId="23" fillId="7" borderId="9" xfId="1" applyFont="1" applyFill="1" applyBorder="1" applyAlignment="1" applyProtection="1">
      <alignment horizontal="center" vertical="center"/>
      <protection locked="0"/>
    </xf>
    <xf numFmtId="0" fontId="23" fillId="7" borderId="28" xfId="1" applyFont="1" applyFill="1" applyBorder="1" applyAlignment="1" applyProtection="1">
      <alignment horizontal="center" vertical="center"/>
      <protection locked="0"/>
    </xf>
    <xf numFmtId="0" fontId="23" fillId="7" borderId="81" xfId="1" applyFont="1" applyFill="1" applyBorder="1" applyAlignment="1" applyProtection="1">
      <alignment horizontal="center" vertical="center"/>
      <protection locked="0"/>
    </xf>
    <xf numFmtId="2" fontId="23" fillId="7" borderId="82" xfId="1" applyNumberFormat="1" applyFont="1" applyFill="1" applyBorder="1" applyAlignment="1" applyProtection="1">
      <alignment horizontal="center" vertical="center" wrapText="1"/>
      <protection locked="0"/>
    </xf>
    <xf numFmtId="2" fontId="23" fillId="7" borderId="9" xfId="1" applyNumberFormat="1" applyFont="1" applyFill="1" applyBorder="1" applyAlignment="1" applyProtection="1">
      <alignment horizontal="center" vertical="center" wrapText="1"/>
      <protection locked="0"/>
    </xf>
    <xf numFmtId="2" fontId="23" fillId="7" borderId="28" xfId="1" applyNumberFormat="1" applyFont="1" applyFill="1" applyBorder="1" applyAlignment="1" applyProtection="1">
      <alignment horizontal="center" vertical="center" wrapText="1"/>
      <protection locked="0"/>
    </xf>
    <xf numFmtId="0" fontId="23" fillId="7" borderId="83" xfId="1" applyFont="1" applyFill="1" applyBorder="1" applyAlignment="1" applyProtection="1">
      <alignment horizontal="center" vertical="center"/>
      <protection locked="0"/>
    </xf>
    <xf numFmtId="0" fontId="23" fillId="7" borderId="84" xfId="1" applyFont="1" applyFill="1" applyBorder="1" applyAlignment="1" applyProtection="1">
      <alignment horizontal="center" vertical="center"/>
      <protection locked="0"/>
    </xf>
    <xf numFmtId="0" fontId="23" fillId="7" borderId="85" xfId="1" applyFont="1" applyFill="1" applyBorder="1" applyAlignment="1" applyProtection="1">
      <alignment horizontal="center" vertical="center"/>
      <protection locked="0"/>
    </xf>
    <xf numFmtId="0" fontId="34" fillId="0" borderId="21" xfId="0" applyFont="1" applyBorder="1" applyAlignment="1">
      <alignment horizontal="left" vertical="center"/>
    </xf>
    <xf numFmtId="0" fontId="34" fillId="0" borderId="71" xfId="0" applyFont="1" applyBorder="1" applyAlignment="1">
      <alignment horizontal="left" vertical="center"/>
    </xf>
    <xf numFmtId="0" fontId="24" fillId="0" borderId="31" xfId="0" applyFont="1" applyBorder="1" applyAlignment="1" applyProtection="1">
      <alignment horizontal="left" vertical="center"/>
      <protection locked="0"/>
    </xf>
    <xf numFmtId="0" fontId="24" fillId="0" borderId="64" xfId="0" applyFont="1" applyBorder="1" applyAlignment="1" applyProtection="1">
      <alignment horizontal="left" vertical="center"/>
      <protection locked="0"/>
    </xf>
    <xf numFmtId="0" fontId="24" fillId="0" borderId="15" xfId="0" applyFont="1" applyBorder="1" applyAlignment="1" applyProtection="1">
      <alignment horizontal="left" vertical="center"/>
      <protection locked="0"/>
    </xf>
    <xf numFmtId="0" fontId="24" fillId="0" borderId="32" xfId="0" applyFont="1" applyBorder="1" applyAlignment="1">
      <alignment horizontal="left"/>
    </xf>
    <xf numFmtId="0" fontId="24" fillId="0" borderId="86" xfId="0" applyFont="1" applyBorder="1" applyAlignment="1">
      <alignment horizontal="left"/>
    </xf>
    <xf numFmtId="0" fontId="24" fillId="0" borderId="16" xfId="0" applyFont="1" applyBorder="1" applyAlignment="1">
      <alignment horizontal="left"/>
    </xf>
    <xf numFmtId="0" fontId="6" fillId="0" borderId="0" xfId="0" applyFont="1" applyAlignment="1">
      <alignment horizontal="center"/>
    </xf>
    <xf numFmtId="0" fontId="11" fillId="0" borderId="78" xfId="0" applyFont="1" applyBorder="1" applyAlignment="1">
      <alignment horizontal="center" shrinkToFit="1"/>
    </xf>
    <xf numFmtId="0" fontId="4" fillId="0" borderId="2" xfId="0" applyFont="1" applyBorder="1" applyAlignment="1">
      <alignment horizontal="left" vertical="center"/>
    </xf>
    <xf numFmtId="0" fontId="6" fillId="0" borderId="78" xfId="0" applyFont="1" applyBorder="1" applyAlignment="1">
      <alignment horizontal="center"/>
    </xf>
    <xf numFmtId="0" fontId="10" fillId="0" borderId="80" xfId="0" applyFont="1" applyBorder="1" applyAlignment="1">
      <alignment horizontal="center"/>
    </xf>
    <xf numFmtId="0" fontId="4" fillId="0" borderId="65" xfId="0" applyFont="1" applyBorder="1" applyAlignment="1">
      <alignment horizontal="center"/>
    </xf>
    <xf numFmtId="0" fontId="4" fillId="0" borderId="79" xfId="0" applyFont="1" applyBorder="1" applyAlignment="1">
      <alignment horizontal="center"/>
    </xf>
    <xf numFmtId="0" fontId="4" fillId="0" borderId="67" xfId="0" applyFont="1" applyBorder="1" applyAlignment="1">
      <alignment horizontal="center"/>
    </xf>
    <xf numFmtId="0" fontId="4" fillId="0" borderId="74" xfId="0" applyFont="1" applyBorder="1" applyAlignment="1">
      <alignment horizontal="center"/>
    </xf>
    <xf numFmtId="0" fontId="8" fillId="0" borderId="65" xfId="0" applyFont="1" applyBorder="1" applyAlignment="1">
      <alignment horizontal="center" vertical="center"/>
    </xf>
    <xf numFmtId="0" fontId="8" fillId="0" borderId="78" xfId="0" applyFont="1" applyBorder="1" applyAlignment="1">
      <alignment horizontal="center" vertical="center"/>
    </xf>
    <xf numFmtId="0" fontId="8" fillId="0" borderId="79" xfId="0" applyFont="1" applyBorder="1" applyAlignment="1">
      <alignment horizontal="center" vertical="center"/>
    </xf>
    <xf numFmtId="0" fontId="8" fillId="0" borderId="67" xfId="0" applyFont="1" applyBorder="1" applyAlignment="1">
      <alignment horizontal="center" vertical="center"/>
    </xf>
    <xf numFmtId="0" fontId="8" fillId="0" borderId="80" xfId="0" applyFont="1" applyBorder="1" applyAlignment="1">
      <alignment horizontal="center" vertical="center"/>
    </xf>
    <xf numFmtId="0" fontId="8" fillId="0" borderId="74" xfId="0" applyFont="1" applyBorder="1" applyAlignment="1">
      <alignment horizontal="center" vertical="center"/>
    </xf>
    <xf numFmtId="0" fontId="4" fillId="0" borderId="2" xfId="0" applyFont="1" applyBorder="1" applyAlignment="1">
      <alignment horizontal="center" vertical="center"/>
    </xf>
    <xf numFmtId="0" fontId="4" fillId="0" borderId="48" xfId="0" applyFont="1" applyBorder="1" applyAlignment="1">
      <alignment horizontal="center" vertical="center"/>
    </xf>
    <xf numFmtId="0" fontId="8" fillId="2" borderId="31" xfId="0" applyFont="1" applyFill="1" applyBorder="1" applyAlignment="1">
      <alignment horizontal="center"/>
    </xf>
    <xf numFmtId="0" fontId="8" fillId="2" borderId="64" xfId="0" applyFont="1" applyFill="1" applyBorder="1" applyAlignment="1">
      <alignment horizontal="center"/>
    </xf>
    <xf numFmtId="0" fontId="8" fillId="2" borderId="13" xfId="0" applyFont="1" applyFill="1" applyBorder="1" applyAlignment="1">
      <alignment horizontal="center"/>
    </xf>
    <xf numFmtId="0" fontId="5" fillId="0" borderId="31" xfId="0" applyFont="1" applyBorder="1" applyAlignment="1">
      <alignment horizontal="center" vertical="center"/>
    </xf>
    <xf numFmtId="0" fontId="5" fillId="0" borderId="64" xfId="0" applyFont="1" applyBorder="1" applyAlignment="1">
      <alignment horizontal="center" vertical="center"/>
    </xf>
    <xf numFmtId="0" fontId="5" fillId="0" borderId="13" xfId="0" applyFont="1" applyBorder="1" applyAlignment="1">
      <alignment horizontal="center" vertical="center"/>
    </xf>
    <xf numFmtId="0" fontId="8" fillId="3" borderId="67" xfId="0" applyFont="1" applyFill="1" applyBorder="1" applyAlignment="1">
      <alignment horizontal="center" vertical="center"/>
    </xf>
    <xf numFmtId="0" fontId="7" fillId="3" borderId="80" xfId="0" applyFont="1" applyFill="1" applyBorder="1" applyAlignment="1">
      <alignment horizontal="center" vertical="center"/>
    </xf>
    <xf numFmtId="0" fontId="7" fillId="3" borderId="74" xfId="0" applyFont="1" applyFill="1" applyBorder="1" applyAlignment="1">
      <alignment horizontal="center" vertical="center"/>
    </xf>
    <xf numFmtId="0" fontId="8" fillId="0" borderId="31" xfId="0" applyFont="1" applyBorder="1" applyAlignment="1">
      <alignment horizontal="center" vertical="center"/>
    </xf>
    <xf numFmtId="0" fontId="8" fillId="0" borderId="13" xfId="0" applyFont="1" applyBorder="1" applyAlignment="1">
      <alignment horizontal="center" vertical="center"/>
    </xf>
    <xf numFmtId="0" fontId="5" fillId="0" borderId="31" xfId="0" applyFont="1" applyBorder="1" applyAlignment="1">
      <alignment horizontal="center"/>
    </xf>
    <xf numFmtId="0" fontId="5" fillId="0" borderId="13" xfId="0" applyFont="1" applyBorder="1" applyAlignment="1">
      <alignment horizontal="center"/>
    </xf>
    <xf numFmtId="0" fontId="4" fillId="0" borderId="31" xfId="0" applyFont="1" applyBorder="1" applyAlignment="1">
      <alignment horizontal="center" vertical="center"/>
    </xf>
    <xf numFmtId="0" fontId="4" fillId="0" borderId="13" xfId="0" applyFont="1" applyBorder="1" applyAlignment="1">
      <alignment horizontal="center" vertical="center"/>
    </xf>
    <xf numFmtId="0" fontId="8" fillId="3" borderId="31" xfId="0" applyFont="1" applyFill="1" applyBorder="1" applyAlignment="1">
      <alignment horizontal="center" vertical="center"/>
    </xf>
    <xf numFmtId="0" fontId="7" fillId="3" borderId="64" xfId="0" applyFont="1" applyFill="1" applyBorder="1" applyAlignment="1">
      <alignment horizontal="center" vertical="center"/>
    </xf>
    <xf numFmtId="0" fontId="7" fillId="3" borderId="13" xfId="0" applyFont="1" applyFill="1" applyBorder="1" applyAlignment="1">
      <alignment horizontal="center" vertical="center"/>
    </xf>
    <xf numFmtId="0" fontId="4" fillId="0" borderId="31" xfId="0" applyFont="1" applyBorder="1" applyAlignment="1">
      <alignment horizontal="left" vertical="center"/>
    </xf>
    <xf numFmtId="0" fontId="4" fillId="0" borderId="64" xfId="0" applyFont="1" applyBorder="1" applyAlignment="1">
      <alignment horizontal="left" vertical="center"/>
    </xf>
    <xf numFmtId="0" fontId="4" fillId="0" borderId="13" xfId="0" applyFont="1" applyBorder="1" applyAlignment="1">
      <alignment horizontal="left" vertical="center"/>
    </xf>
    <xf numFmtId="0" fontId="5" fillId="0" borderId="65" xfId="0" applyFont="1" applyBorder="1" applyAlignment="1">
      <alignment horizontal="center" vertical="center"/>
    </xf>
    <xf numFmtId="0" fontId="5" fillId="0" borderId="78" xfId="0" applyFont="1" applyBorder="1" applyAlignment="1">
      <alignment horizontal="center" vertical="center"/>
    </xf>
    <xf numFmtId="0" fontId="5" fillId="0" borderId="79" xfId="0" applyFont="1" applyBorder="1" applyAlignment="1">
      <alignment horizontal="center" vertical="center"/>
    </xf>
    <xf numFmtId="0" fontId="5" fillId="0" borderId="67" xfId="0" applyFont="1" applyBorder="1" applyAlignment="1">
      <alignment horizontal="center" vertical="center"/>
    </xf>
    <xf numFmtId="0" fontId="5" fillId="0" borderId="80" xfId="0" applyFont="1" applyBorder="1" applyAlignment="1">
      <alignment horizontal="center" vertical="center"/>
    </xf>
    <xf numFmtId="0" fontId="5" fillId="0" borderId="74" xfId="0" applyFont="1" applyBorder="1" applyAlignment="1">
      <alignment horizontal="center" vertical="center"/>
    </xf>
    <xf numFmtId="0" fontId="58" fillId="0" borderId="24" xfId="0" applyFont="1" applyFill="1" applyBorder="1" applyAlignment="1">
      <alignment vertical="top" wrapText="1"/>
    </xf>
    <xf numFmtId="0" fontId="59" fillId="0" borderId="52" xfId="0" applyFont="1" applyFill="1" applyBorder="1" applyAlignment="1">
      <alignment horizontal="left" vertical="top" wrapText="1"/>
    </xf>
    <xf numFmtId="0" fontId="58" fillId="0" borderId="52" xfId="0" applyFont="1" applyFill="1" applyBorder="1" applyAlignment="1">
      <alignment horizontal="left" vertical="top" wrapText="1"/>
    </xf>
    <xf numFmtId="2" fontId="20" fillId="5" borderId="55" xfId="0" applyNumberFormat="1" applyFont="1" applyFill="1" applyBorder="1" applyAlignment="1">
      <alignment horizontal="right" vertical="center"/>
    </xf>
    <xf numFmtId="2" fontId="20" fillId="5" borderId="31" xfId="0" applyNumberFormat="1" applyFont="1" applyFill="1" applyBorder="1" applyAlignment="1">
      <alignment horizontal="right" vertical="center"/>
    </xf>
    <xf numFmtId="2" fontId="20" fillId="5" borderId="32" xfId="0" applyNumberFormat="1" applyFont="1" applyFill="1" applyBorder="1" applyAlignment="1">
      <alignment horizontal="right" vertical="center"/>
    </xf>
    <xf numFmtId="2" fontId="20" fillId="5" borderId="67" xfId="0" applyNumberFormat="1" applyFont="1" applyFill="1" applyBorder="1" applyAlignment="1">
      <alignment horizontal="right" vertical="center"/>
    </xf>
  </cellXfs>
  <cellStyles count="2074">
    <cellStyle name="Excel Built-in Normal" xfId="1" xr:uid="{00000000-0005-0000-0000-000000000000}"/>
    <cellStyle name="Excel Built-in Normal 10" xfId="4" xr:uid="{00000000-0005-0000-0000-000001000000}"/>
    <cellStyle name="Excel Built-in Normal 11" xfId="5" xr:uid="{00000000-0005-0000-0000-000002000000}"/>
    <cellStyle name="Excel Built-in Normal 12" xfId="6" xr:uid="{00000000-0005-0000-0000-000003000000}"/>
    <cellStyle name="Excel Built-in Normal 13" xfId="7" xr:uid="{00000000-0005-0000-0000-000004000000}"/>
    <cellStyle name="Excel Built-in Normal 14" xfId="8" xr:uid="{00000000-0005-0000-0000-000005000000}"/>
    <cellStyle name="Excel Built-in Normal 15" xfId="9" xr:uid="{00000000-0005-0000-0000-000006000000}"/>
    <cellStyle name="Excel Built-in Normal 16" xfId="10" xr:uid="{00000000-0005-0000-0000-000007000000}"/>
    <cellStyle name="Excel Built-in Normal 17" xfId="11" xr:uid="{00000000-0005-0000-0000-000008000000}"/>
    <cellStyle name="Excel Built-in Normal 18" xfId="12" xr:uid="{00000000-0005-0000-0000-000009000000}"/>
    <cellStyle name="Excel Built-in Normal 19" xfId="13" xr:uid="{00000000-0005-0000-0000-00000A000000}"/>
    <cellStyle name="Excel Built-in Normal 2" xfId="14" xr:uid="{00000000-0005-0000-0000-00000B000000}"/>
    <cellStyle name="Excel Built-in Normal 20" xfId="15" xr:uid="{00000000-0005-0000-0000-00000C000000}"/>
    <cellStyle name="Excel Built-in Normal 21" xfId="16" xr:uid="{00000000-0005-0000-0000-00000D000000}"/>
    <cellStyle name="Excel Built-in Normal 22" xfId="17" xr:uid="{00000000-0005-0000-0000-00000E000000}"/>
    <cellStyle name="Excel Built-in Normal 23" xfId="18" xr:uid="{00000000-0005-0000-0000-00000F000000}"/>
    <cellStyle name="Excel Built-in Normal 24" xfId="19" xr:uid="{00000000-0005-0000-0000-000010000000}"/>
    <cellStyle name="Excel Built-in Normal 25" xfId="20" xr:uid="{00000000-0005-0000-0000-000011000000}"/>
    <cellStyle name="Excel Built-in Normal 26" xfId="21" xr:uid="{00000000-0005-0000-0000-000012000000}"/>
    <cellStyle name="Excel Built-in Normal 27" xfId="22" xr:uid="{00000000-0005-0000-0000-000013000000}"/>
    <cellStyle name="Excel Built-in Normal 28" xfId="23" xr:uid="{00000000-0005-0000-0000-000014000000}"/>
    <cellStyle name="Excel Built-in Normal 29" xfId="24" xr:uid="{00000000-0005-0000-0000-000015000000}"/>
    <cellStyle name="Excel Built-in Normal 3" xfId="25" xr:uid="{00000000-0005-0000-0000-000016000000}"/>
    <cellStyle name="Excel Built-in Normal 30" xfId="26" xr:uid="{00000000-0005-0000-0000-000017000000}"/>
    <cellStyle name="Excel Built-in Normal 31" xfId="27" xr:uid="{00000000-0005-0000-0000-000018000000}"/>
    <cellStyle name="Excel Built-in Normal 32" xfId="28" xr:uid="{00000000-0005-0000-0000-000019000000}"/>
    <cellStyle name="Excel Built-in Normal 33" xfId="29" xr:uid="{00000000-0005-0000-0000-00001A000000}"/>
    <cellStyle name="Excel Built-in Normal 34" xfId="30" xr:uid="{00000000-0005-0000-0000-00001B000000}"/>
    <cellStyle name="Excel Built-in Normal 35" xfId="31" xr:uid="{00000000-0005-0000-0000-00001C000000}"/>
    <cellStyle name="Excel Built-in Normal 36" xfId="32" xr:uid="{00000000-0005-0000-0000-00001D000000}"/>
    <cellStyle name="Excel Built-in Normal 37" xfId="33" xr:uid="{00000000-0005-0000-0000-00001E000000}"/>
    <cellStyle name="Excel Built-in Normal 38" xfId="34" xr:uid="{00000000-0005-0000-0000-00001F000000}"/>
    <cellStyle name="Excel Built-in Normal 4" xfId="35" xr:uid="{00000000-0005-0000-0000-000020000000}"/>
    <cellStyle name="Excel Built-in Normal 5" xfId="36" xr:uid="{00000000-0005-0000-0000-000021000000}"/>
    <cellStyle name="Excel Built-in Normal 6" xfId="37" xr:uid="{00000000-0005-0000-0000-000022000000}"/>
    <cellStyle name="Excel Built-in Normal 7" xfId="38" xr:uid="{00000000-0005-0000-0000-000023000000}"/>
    <cellStyle name="Excel Built-in Normal 8" xfId="39" xr:uid="{00000000-0005-0000-0000-000024000000}"/>
    <cellStyle name="Excel Built-in Normal 9" xfId="40" xr:uid="{00000000-0005-0000-0000-000025000000}"/>
    <cellStyle name="Hipervínculo 2" xfId="41" xr:uid="{00000000-0005-0000-0000-000026000000}"/>
    <cellStyle name="Millares" xfId="2" builtinId="3"/>
    <cellStyle name="Millares 2" xfId="42" xr:uid="{00000000-0005-0000-0000-000028000000}"/>
    <cellStyle name="Millares 2 2" xfId="43" xr:uid="{00000000-0005-0000-0000-000029000000}"/>
    <cellStyle name="Millares 2 2 2" xfId="2057" xr:uid="{00000000-0005-0000-0000-00002A000000}"/>
    <cellStyle name="Millares 2 3" xfId="44" xr:uid="{00000000-0005-0000-0000-00002B000000}"/>
    <cellStyle name="Millares 2 3 2" xfId="2058" xr:uid="{00000000-0005-0000-0000-00002C000000}"/>
    <cellStyle name="Millares 2 4" xfId="2056" xr:uid="{00000000-0005-0000-0000-00002D000000}"/>
    <cellStyle name="Millares 3" xfId="45" xr:uid="{00000000-0005-0000-0000-00002E000000}"/>
    <cellStyle name="Millares 3 2" xfId="46" xr:uid="{00000000-0005-0000-0000-00002F000000}"/>
    <cellStyle name="Millares 3 2 2" xfId="2060" xr:uid="{00000000-0005-0000-0000-000030000000}"/>
    <cellStyle name="Millares 3 3" xfId="47" xr:uid="{00000000-0005-0000-0000-000031000000}"/>
    <cellStyle name="Millares 3 3 2" xfId="2061" xr:uid="{00000000-0005-0000-0000-000032000000}"/>
    <cellStyle name="Millares 3 4" xfId="2059" xr:uid="{00000000-0005-0000-0000-000033000000}"/>
    <cellStyle name="Millares 4" xfId="48" xr:uid="{00000000-0005-0000-0000-000034000000}"/>
    <cellStyle name="Millares 4 2" xfId="2062" xr:uid="{00000000-0005-0000-0000-000035000000}"/>
    <cellStyle name="Millares 5" xfId="49" xr:uid="{00000000-0005-0000-0000-000036000000}"/>
    <cellStyle name="Millares 5 2" xfId="2063" xr:uid="{00000000-0005-0000-0000-000037000000}"/>
    <cellStyle name="Millares 6" xfId="50" xr:uid="{00000000-0005-0000-0000-000038000000}"/>
    <cellStyle name="Millares 6 2" xfId="2064" xr:uid="{00000000-0005-0000-0000-000039000000}"/>
    <cellStyle name="Millares 7" xfId="51" xr:uid="{00000000-0005-0000-0000-00003A000000}"/>
    <cellStyle name="Millares 7 2" xfId="2065" xr:uid="{00000000-0005-0000-0000-00003B000000}"/>
    <cellStyle name="Millares 8" xfId="2055" xr:uid="{00000000-0005-0000-0000-00003C000000}"/>
    <cellStyle name="Millares 9" xfId="2072" xr:uid="{00000000-0005-0000-0000-00003D000000}"/>
    <cellStyle name="Moneda 2" xfId="52" xr:uid="{00000000-0005-0000-0000-00003E000000}"/>
    <cellStyle name="Moneda 2 2" xfId="2050" xr:uid="{00000000-0005-0000-0000-00003F000000}"/>
    <cellStyle name="Moneda 2 2 2" xfId="2068" xr:uid="{00000000-0005-0000-0000-000040000000}"/>
    <cellStyle name="Moneda 2 3" xfId="2066" xr:uid="{00000000-0005-0000-0000-000041000000}"/>
    <cellStyle name="Moneda 3" xfId="53" xr:uid="{00000000-0005-0000-0000-000042000000}"/>
    <cellStyle name="Moneda 3 2" xfId="2051" xr:uid="{00000000-0005-0000-0000-000043000000}"/>
    <cellStyle name="Moneda 3 2 2" xfId="2069" xr:uid="{00000000-0005-0000-0000-000044000000}"/>
    <cellStyle name="Moneda 3 3" xfId="2067" xr:uid="{00000000-0005-0000-0000-000045000000}"/>
    <cellStyle name="Normal" xfId="0" builtinId="0"/>
    <cellStyle name="Normal 10" xfId="54" xr:uid="{00000000-0005-0000-0000-000047000000}"/>
    <cellStyle name="Normal 10 2" xfId="55" xr:uid="{00000000-0005-0000-0000-000048000000}"/>
    <cellStyle name="Normal 10 3" xfId="56" xr:uid="{00000000-0005-0000-0000-000049000000}"/>
    <cellStyle name="Normal 11" xfId="57" xr:uid="{00000000-0005-0000-0000-00004A000000}"/>
    <cellStyle name="Normal 11 2" xfId="58" xr:uid="{00000000-0005-0000-0000-00004B000000}"/>
    <cellStyle name="Normal 12" xfId="59" xr:uid="{00000000-0005-0000-0000-00004C000000}"/>
    <cellStyle name="Normal 13" xfId="60" xr:uid="{00000000-0005-0000-0000-00004D000000}"/>
    <cellStyle name="Normal 14" xfId="61" xr:uid="{00000000-0005-0000-0000-00004E000000}"/>
    <cellStyle name="Normal 15" xfId="62" xr:uid="{00000000-0005-0000-0000-00004F000000}"/>
    <cellStyle name="Normal 15 10" xfId="63" xr:uid="{00000000-0005-0000-0000-000050000000}"/>
    <cellStyle name="Normal 15 10 2" xfId="64" xr:uid="{00000000-0005-0000-0000-000051000000}"/>
    <cellStyle name="Normal 15 10 3" xfId="65" xr:uid="{00000000-0005-0000-0000-000052000000}"/>
    <cellStyle name="Normal 15 10 4" xfId="66" xr:uid="{00000000-0005-0000-0000-000053000000}"/>
    <cellStyle name="Normal 15 10 5" xfId="67" xr:uid="{00000000-0005-0000-0000-000054000000}"/>
    <cellStyle name="Normal 15 10 6" xfId="68" xr:uid="{00000000-0005-0000-0000-000055000000}"/>
    <cellStyle name="Normal 15 10 7" xfId="69" xr:uid="{00000000-0005-0000-0000-000056000000}"/>
    <cellStyle name="Normal 15 11" xfId="70" xr:uid="{00000000-0005-0000-0000-000057000000}"/>
    <cellStyle name="Normal 15 11 2" xfId="71" xr:uid="{00000000-0005-0000-0000-000058000000}"/>
    <cellStyle name="Normal 15 11 3" xfId="72" xr:uid="{00000000-0005-0000-0000-000059000000}"/>
    <cellStyle name="Normal 15 11 4" xfId="73" xr:uid="{00000000-0005-0000-0000-00005A000000}"/>
    <cellStyle name="Normal 15 11 5" xfId="74" xr:uid="{00000000-0005-0000-0000-00005B000000}"/>
    <cellStyle name="Normal 15 11 6" xfId="75" xr:uid="{00000000-0005-0000-0000-00005C000000}"/>
    <cellStyle name="Normal 15 11 7" xfId="76" xr:uid="{00000000-0005-0000-0000-00005D000000}"/>
    <cellStyle name="Normal 15 12" xfId="77" xr:uid="{00000000-0005-0000-0000-00005E000000}"/>
    <cellStyle name="Normal 15 12 2" xfId="78" xr:uid="{00000000-0005-0000-0000-00005F000000}"/>
    <cellStyle name="Normal 15 12 3" xfId="79" xr:uid="{00000000-0005-0000-0000-000060000000}"/>
    <cellStyle name="Normal 15 12 4" xfId="80" xr:uid="{00000000-0005-0000-0000-000061000000}"/>
    <cellStyle name="Normal 15 12 5" xfId="81" xr:uid="{00000000-0005-0000-0000-000062000000}"/>
    <cellStyle name="Normal 15 12 6" xfId="82" xr:uid="{00000000-0005-0000-0000-000063000000}"/>
    <cellStyle name="Normal 15 12 7" xfId="83" xr:uid="{00000000-0005-0000-0000-000064000000}"/>
    <cellStyle name="Normal 15 13" xfId="84" xr:uid="{00000000-0005-0000-0000-000065000000}"/>
    <cellStyle name="Normal 15 13 2" xfId="85" xr:uid="{00000000-0005-0000-0000-000066000000}"/>
    <cellStyle name="Normal 15 13 3" xfId="86" xr:uid="{00000000-0005-0000-0000-000067000000}"/>
    <cellStyle name="Normal 15 13 4" xfId="87" xr:uid="{00000000-0005-0000-0000-000068000000}"/>
    <cellStyle name="Normal 15 13 5" xfId="88" xr:uid="{00000000-0005-0000-0000-000069000000}"/>
    <cellStyle name="Normal 15 13 6" xfId="89" xr:uid="{00000000-0005-0000-0000-00006A000000}"/>
    <cellStyle name="Normal 15 13 7" xfId="90" xr:uid="{00000000-0005-0000-0000-00006B000000}"/>
    <cellStyle name="Normal 15 14" xfId="91" xr:uid="{00000000-0005-0000-0000-00006C000000}"/>
    <cellStyle name="Normal 15 14 2" xfId="92" xr:uid="{00000000-0005-0000-0000-00006D000000}"/>
    <cellStyle name="Normal 15 14 3" xfId="93" xr:uid="{00000000-0005-0000-0000-00006E000000}"/>
    <cellStyle name="Normal 15 14 4" xfId="94" xr:uid="{00000000-0005-0000-0000-00006F000000}"/>
    <cellStyle name="Normal 15 14 5" xfId="95" xr:uid="{00000000-0005-0000-0000-000070000000}"/>
    <cellStyle name="Normal 15 14 6" xfId="96" xr:uid="{00000000-0005-0000-0000-000071000000}"/>
    <cellStyle name="Normal 15 14 7" xfId="97" xr:uid="{00000000-0005-0000-0000-000072000000}"/>
    <cellStyle name="Normal 15 15" xfId="98" xr:uid="{00000000-0005-0000-0000-000073000000}"/>
    <cellStyle name="Normal 15 15 2" xfId="99" xr:uid="{00000000-0005-0000-0000-000074000000}"/>
    <cellStyle name="Normal 15 15 3" xfId="100" xr:uid="{00000000-0005-0000-0000-000075000000}"/>
    <cellStyle name="Normal 15 15 4" xfId="101" xr:uid="{00000000-0005-0000-0000-000076000000}"/>
    <cellStyle name="Normal 15 15 5" xfId="102" xr:uid="{00000000-0005-0000-0000-000077000000}"/>
    <cellStyle name="Normal 15 15 6" xfId="103" xr:uid="{00000000-0005-0000-0000-000078000000}"/>
    <cellStyle name="Normal 15 15 7" xfId="104" xr:uid="{00000000-0005-0000-0000-000079000000}"/>
    <cellStyle name="Normal 15 16" xfId="105" xr:uid="{00000000-0005-0000-0000-00007A000000}"/>
    <cellStyle name="Normal 15 16 2" xfId="106" xr:uid="{00000000-0005-0000-0000-00007B000000}"/>
    <cellStyle name="Normal 15 16 3" xfId="107" xr:uid="{00000000-0005-0000-0000-00007C000000}"/>
    <cellStyle name="Normal 15 16 4" xfId="108" xr:uid="{00000000-0005-0000-0000-00007D000000}"/>
    <cellStyle name="Normal 15 16 5" xfId="109" xr:uid="{00000000-0005-0000-0000-00007E000000}"/>
    <cellStyle name="Normal 15 16 6" xfId="110" xr:uid="{00000000-0005-0000-0000-00007F000000}"/>
    <cellStyle name="Normal 15 16 7" xfId="111" xr:uid="{00000000-0005-0000-0000-000080000000}"/>
    <cellStyle name="Normal 15 17" xfId="112" xr:uid="{00000000-0005-0000-0000-000081000000}"/>
    <cellStyle name="Normal 15 17 2" xfId="113" xr:uid="{00000000-0005-0000-0000-000082000000}"/>
    <cellStyle name="Normal 15 17 3" xfId="114" xr:uid="{00000000-0005-0000-0000-000083000000}"/>
    <cellStyle name="Normal 15 17 4" xfId="115" xr:uid="{00000000-0005-0000-0000-000084000000}"/>
    <cellStyle name="Normal 15 17 5" xfId="116" xr:uid="{00000000-0005-0000-0000-000085000000}"/>
    <cellStyle name="Normal 15 17 6" xfId="117" xr:uid="{00000000-0005-0000-0000-000086000000}"/>
    <cellStyle name="Normal 15 17 7" xfId="118" xr:uid="{00000000-0005-0000-0000-000087000000}"/>
    <cellStyle name="Normal 15 18" xfId="119" xr:uid="{00000000-0005-0000-0000-000088000000}"/>
    <cellStyle name="Normal 15 18 2" xfId="120" xr:uid="{00000000-0005-0000-0000-000089000000}"/>
    <cellStyle name="Normal 15 18 3" xfId="121" xr:uid="{00000000-0005-0000-0000-00008A000000}"/>
    <cellStyle name="Normal 15 18 4" xfId="122" xr:uid="{00000000-0005-0000-0000-00008B000000}"/>
    <cellStyle name="Normal 15 18 5" xfId="123" xr:uid="{00000000-0005-0000-0000-00008C000000}"/>
    <cellStyle name="Normal 15 18 6" xfId="124" xr:uid="{00000000-0005-0000-0000-00008D000000}"/>
    <cellStyle name="Normal 15 18 7" xfId="125" xr:uid="{00000000-0005-0000-0000-00008E000000}"/>
    <cellStyle name="Normal 15 19" xfId="126" xr:uid="{00000000-0005-0000-0000-00008F000000}"/>
    <cellStyle name="Normal 15 19 2" xfId="127" xr:uid="{00000000-0005-0000-0000-000090000000}"/>
    <cellStyle name="Normal 15 19 3" xfId="128" xr:uid="{00000000-0005-0000-0000-000091000000}"/>
    <cellStyle name="Normal 15 19 4" xfId="129" xr:uid="{00000000-0005-0000-0000-000092000000}"/>
    <cellStyle name="Normal 15 19 5" xfId="130" xr:uid="{00000000-0005-0000-0000-000093000000}"/>
    <cellStyle name="Normal 15 19 6" xfId="131" xr:uid="{00000000-0005-0000-0000-000094000000}"/>
    <cellStyle name="Normal 15 19 7" xfId="132" xr:uid="{00000000-0005-0000-0000-000095000000}"/>
    <cellStyle name="Normal 15 2" xfId="133" xr:uid="{00000000-0005-0000-0000-000096000000}"/>
    <cellStyle name="Normal 15 2 2" xfId="134" xr:uid="{00000000-0005-0000-0000-000097000000}"/>
    <cellStyle name="Normal 15 2 3" xfId="135" xr:uid="{00000000-0005-0000-0000-000098000000}"/>
    <cellStyle name="Normal 15 2 4" xfId="136" xr:uid="{00000000-0005-0000-0000-000099000000}"/>
    <cellStyle name="Normal 15 2 5" xfId="137" xr:uid="{00000000-0005-0000-0000-00009A000000}"/>
    <cellStyle name="Normal 15 2 6" xfId="138" xr:uid="{00000000-0005-0000-0000-00009B000000}"/>
    <cellStyle name="Normal 15 2 7" xfId="139" xr:uid="{00000000-0005-0000-0000-00009C000000}"/>
    <cellStyle name="Normal 15 20" xfId="140" xr:uid="{00000000-0005-0000-0000-00009D000000}"/>
    <cellStyle name="Normal 15 20 2" xfId="141" xr:uid="{00000000-0005-0000-0000-00009E000000}"/>
    <cellStyle name="Normal 15 20 3" xfId="142" xr:uid="{00000000-0005-0000-0000-00009F000000}"/>
    <cellStyle name="Normal 15 20 4" xfId="143" xr:uid="{00000000-0005-0000-0000-0000A0000000}"/>
    <cellStyle name="Normal 15 20 5" xfId="144" xr:uid="{00000000-0005-0000-0000-0000A1000000}"/>
    <cellStyle name="Normal 15 20 6" xfId="145" xr:uid="{00000000-0005-0000-0000-0000A2000000}"/>
    <cellStyle name="Normal 15 20 7" xfId="146" xr:uid="{00000000-0005-0000-0000-0000A3000000}"/>
    <cellStyle name="Normal 15 21" xfId="147" xr:uid="{00000000-0005-0000-0000-0000A4000000}"/>
    <cellStyle name="Normal 15 21 2" xfId="148" xr:uid="{00000000-0005-0000-0000-0000A5000000}"/>
    <cellStyle name="Normal 15 21 3" xfId="149" xr:uid="{00000000-0005-0000-0000-0000A6000000}"/>
    <cellStyle name="Normal 15 21 4" xfId="150" xr:uid="{00000000-0005-0000-0000-0000A7000000}"/>
    <cellStyle name="Normal 15 21 5" xfId="151" xr:uid="{00000000-0005-0000-0000-0000A8000000}"/>
    <cellStyle name="Normal 15 21 6" xfId="152" xr:uid="{00000000-0005-0000-0000-0000A9000000}"/>
    <cellStyle name="Normal 15 21 7" xfId="153" xr:uid="{00000000-0005-0000-0000-0000AA000000}"/>
    <cellStyle name="Normal 15 22" xfId="154" xr:uid="{00000000-0005-0000-0000-0000AB000000}"/>
    <cellStyle name="Normal 15 22 2" xfId="155" xr:uid="{00000000-0005-0000-0000-0000AC000000}"/>
    <cellStyle name="Normal 15 22 3" xfId="156" xr:uid="{00000000-0005-0000-0000-0000AD000000}"/>
    <cellStyle name="Normal 15 22 4" xfId="157" xr:uid="{00000000-0005-0000-0000-0000AE000000}"/>
    <cellStyle name="Normal 15 22 5" xfId="158" xr:uid="{00000000-0005-0000-0000-0000AF000000}"/>
    <cellStyle name="Normal 15 22 6" xfId="159" xr:uid="{00000000-0005-0000-0000-0000B0000000}"/>
    <cellStyle name="Normal 15 22 7" xfId="160" xr:uid="{00000000-0005-0000-0000-0000B1000000}"/>
    <cellStyle name="Normal 15 23" xfId="161" xr:uid="{00000000-0005-0000-0000-0000B2000000}"/>
    <cellStyle name="Normal 15 23 2" xfId="162" xr:uid="{00000000-0005-0000-0000-0000B3000000}"/>
    <cellStyle name="Normal 15 23 3" xfId="163" xr:uid="{00000000-0005-0000-0000-0000B4000000}"/>
    <cellStyle name="Normal 15 23 4" xfId="164" xr:uid="{00000000-0005-0000-0000-0000B5000000}"/>
    <cellStyle name="Normal 15 23 5" xfId="165" xr:uid="{00000000-0005-0000-0000-0000B6000000}"/>
    <cellStyle name="Normal 15 23 6" xfId="166" xr:uid="{00000000-0005-0000-0000-0000B7000000}"/>
    <cellStyle name="Normal 15 23 7" xfId="167" xr:uid="{00000000-0005-0000-0000-0000B8000000}"/>
    <cellStyle name="Normal 15 24" xfId="168" xr:uid="{00000000-0005-0000-0000-0000B9000000}"/>
    <cellStyle name="Normal 15 24 2" xfId="169" xr:uid="{00000000-0005-0000-0000-0000BA000000}"/>
    <cellStyle name="Normal 15 24 3" xfId="170" xr:uid="{00000000-0005-0000-0000-0000BB000000}"/>
    <cellStyle name="Normal 15 24 4" xfId="171" xr:uid="{00000000-0005-0000-0000-0000BC000000}"/>
    <cellStyle name="Normal 15 24 5" xfId="172" xr:uid="{00000000-0005-0000-0000-0000BD000000}"/>
    <cellStyle name="Normal 15 24 6" xfId="173" xr:uid="{00000000-0005-0000-0000-0000BE000000}"/>
    <cellStyle name="Normal 15 24 7" xfId="174" xr:uid="{00000000-0005-0000-0000-0000BF000000}"/>
    <cellStyle name="Normal 15 25" xfId="175" xr:uid="{00000000-0005-0000-0000-0000C0000000}"/>
    <cellStyle name="Normal 15 25 2" xfId="176" xr:uid="{00000000-0005-0000-0000-0000C1000000}"/>
    <cellStyle name="Normal 15 25 3" xfId="177" xr:uid="{00000000-0005-0000-0000-0000C2000000}"/>
    <cellStyle name="Normal 15 25 4" xfId="178" xr:uid="{00000000-0005-0000-0000-0000C3000000}"/>
    <cellStyle name="Normal 15 25 5" xfId="179" xr:uid="{00000000-0005-0000-0000-0000C4000000}"/>
    <cellStyle name="Normal 15 25 6" xfId="180" xr:uid="{00000000-0005-0000-0000-0000C5000000}"/>
    <cellStyle name="Normal 15 25 7" xfId="181" xr:uid="{00000000-0005-0000-0000-0000C6000000}"/>
    <cellStyle name="Normal 15 26" xfId="182" xr:uid="{00000000-0005-0000-0000-0000C7000000}"/>
    <cellStyle name="Normal 15 26 2" xfId="183" xr:uid="{00000000-0005-0000-0000-0000C8000000}"/>
    <cellStyle name="Normal 15 26 3" xfId="184" xr:uid="{00000000-0005-0000-0000-0000C9000000}"/>
    <cellStyle name="Normal 15 26 4" xfId="185" xr:uid="{00000000-0005-0000-0000-0000CA000000}"/>
    <cellStyle name="Normal 15 26 5" xfId="186" xr:uid="{00000000-0005-0000-0000-0000CB000000}"/>
    <cellStyle name="Normal 15 26 6" xfId="187" xr:uid="{00000000-0005-0000-0000-0000CC000000}"/>
    <cellStyle name="Normal 15 26 7" xfId="188" xr:uid="{00000000-0005-0000-0000-0000CD000000}"/>
    <cellStyle name="Normal 15 27" xfId="189" xr:uid="{00000000-0005-0000-0000-0000CE000000}"/>
    <cellStyle name="Normal 15 27 2" xfId="190" xr:uid="{00000000-0005-0000-0000-0000CF000000}"/>
    <cellStyle name="Normal 15 27 3" xfId="191" xr:uid="{00000000-0005-0000-0000-0000D0000000}"/>
    <cellStyle name="Normal 15 27 4" xfId="192" xr:uid="{00000000-0005-0000-0000-0000D1000000}"/>
    <cellStyle name="Normal 15 27 5" xfId="193" xr:uid="{00000000-0005-0000-0000-0000D2000000}"/>
    <cellStyle name="Normal 15 27 6" xfId="194" xr:uid="{00000000-0005-0000-0000-0000D3000000}"/>
    <cellStyle name="Normal 15 27 7" xfId="195" xr:uid="{00000000-0005-0000-0000-0000D4000000}"/>
    <cellStyle name="Normal 15 28" xfId="196" xr:uid="{00000000-0005-0000-0000-0000D5000000}"/>
    <cellStyle name="Normal 15 28 2" xfId="197" xr:uid="{00000000-0005-0000-0000-0000D6000000}"/>
    <cellStyle name="Normal 15 28 3" xfId="198" xr:uid="{00000000-0005-0000-0000-0000D7000000}"/>
    <cellStyle name="Normal 15 28 4" xfId="199" xr:uid="{00000000-0005-0000-0000-0000D8000000}"/>
    <cellStyle name="Normal 15 28 5" xfId="200" xr:uid="{00000000-0005-0000-0000-0000D9000000}"/>
    <cellStyle name="Normal 15 28 6" xfId="201" xr:uid="{00000000-0005-0000-0000-0000DA000000}"/>
    <cellStyle name="Normal 15 28 7" xfId="202" xr:uid="{00000000-0005-0000-0000-0000DB000000}"/>
    <cellStyle name="Normal 15 29" xfId="203" xr:uid="{00000000-0005-0000-0000-0000DC000000}"/>
    <cellStyle name="Normal 15 29 2" xfId="204" xr:uid="{00000000-0005-0000-0000-0000DD000000}"/>
    <cellStyle name="Normal 15 29 3" xfId="205" xr:uid="{00000000-0005-0000-0000-0000DE000000}"/>
    <cellStyle name="Normal 15 29 4" xfId="206" xr:uid="{00000000-0005-0000-0000-0000DF000000}"/>
    <cellStyle name="Normal 15 29 5" xfId="207" xr:uid="{00000000-0005-0000-0000-0000E0000000}"/>
    <cellStyle name="Normal 15 29 6" xfId="208" xr:uid="{00000000-0005-0000-0000-0000E1000000}"/>
    <cellStyle name="Normal 15 29 7" xfId="209" xr:uid="{00000000-0005-0000-0000-0000E2000000}"/>
    <cellStyle name="Normal 15 3" xfId="210" xr:uid="{00000000-0005-0000-0000-0000E3000000}"/>
    <cellStyle name="Normal 15 3 2" xfId="211" xr:uid="{00000000-0005-0000-0000-0000E4000000}"/>
    <cellStyle name="Normal 15 3 3" xfId="212" xr:uid="{00000000-0005-0000-0000-0000E5000000}"/>
    <cellStyle name="Normal 15 3 4" xfId="213" xr:uid="{00000000-0005-0000-0000-0000E6000000}"/>
    <cellStyle name="Normal 15 3 5" xfId="214" xr:uid="{00000000-0005-0000-0000-0000E7000000}"/>
    <cellStyle name="Normal 15 3 6" xfId="215" xr:uid="{00000000-0005-0000-0000-0000E8000000}"/>
    <cellStyle name="Normal 15 3 7" xfId="216" xr:uid="{00000000-0005-0000-0000-0000E9000000}"/>
    <cellStyle name="Normal 15 30" xfId="217" xr:uid="{00000000-0005-0000-0000-0000EA000000}"/>
    <cellStyle name="Normal 15 31" xfId="218" xr:uid="{00000000-0005-0000-0000-0000EB000000}"/>
    <cellStyle name="Normal 15 32" xfId="219" xr:uid="{00000000-0005-0000-0000-0000EC000000}"/>
    <cellStyle name="Normal 15 33" xfId="220" xr:uid="{00000000-0005-0000-0000-0000ED000000}"/>
    <cellStyle name="Normal 15 34" xfId="221" xr:uid="{00000000-0005-0000-0000-0000EE000000}"/>
    <cellStyle name="Normal 15 35" xfId="222" xr:uid="{00000000-0005-0000-0000-0000EF000000}"/>
    <cellStyle name="Normal 15 4" xfId="223" xr:uid="{00000000-0005-0000-0000-0000F0000000}"/>
    <cellStyle name="Normal 15 4 2" xfId="224" xr:uid="{00000000-0005-0000-0000-0000F1000000}"/>
    <cellStyle name="Normal 15 4 3" xfId="225" xr:uid="{00000000-0005-0000-0000-0000F2000000}"/>
    <cellStyle name="Normal 15 4 4" xfId="226" xr:uid="{00000000-0005-0000-0000-0000F3000000}"/>
    <cellStyle name="Normal 15 4 5" xfId="227" xr:uid="{00000000-0005-0000-0000-0000F4000000}"/>
    <cellStyle name="Normal 15 4 6" xfId="228" xr:uid="{00000000-0005-0000-0000-0000F5000000}"/>
    <cellStyle name="Normal 15 4 7" xfId="229" xr:uid="{00000000-0005-0000-0000-0000F6000000}"/>
    <cellStyle name="Normal 15 5" xfId="230" xr:uid="{00000000-0005-0000-0000-0000F7000000}"/>
    <cellStyle name="Normal 15 5 2" xfId="231" xr:uid="{00000000-0005-0000-0000-0000F8000000}"/>
    <cellStyle name="Normal 15 5 3" xfId="232" xr:uid="{00000000-0005-0000-0000-0000F9000000}"/>
    <cellStyle name="Normal 15 5 4" xfId="233" xr:uid="{00000000-0005-0000-0000-0000FA000000}"/>
    <cellStyle name="Normal 15 5 5" xfId="234" xr:uid="{00000000-0005-0000-0000-0000FB000000}"/>
    <cellStyle name="Normal 15 5 6" xfId="235" xr:uid="{00000000-0005-0000-0000-0000FC000000}"/>
    <cellStyle name="Normal 15 5 7" xfId="236" xr:uid="{00000000-0005-0000-0000-0000FD000000}"/>
    <cellStyle name="Normal 15 6" xfId="237" xr:uid="{00000000-0005-0000-0000-0000FE000000}"/>
    <cellStyle name="Normal 15 6 2" xfId="238" xr:uid="{00000000-0005-0000-0000-0000FF000000}"/>
    <cellStyle name="Normal 15 6 3" xfId="239" xr:uid="{00000000-0005-0000-0000-000000010000}"/>
    <cellStyle name="Normal 15 6 4" xfId="240" xr:uid="{00000000-0005-0000-0000-000001010000}"/>
    <cellStyle name="Normal 15 6 5" xfId="241" xr:uid="{00000000-0005-0000-0000-000002010000}"/>
    <cellStyle name="Normal 15 6 6" xfId="242" xr:uid="{00000000-0005-0000-0000-000003010000}"/>
    <cellStyle name="Normal 15 6 7" xfId="243" xr:uid="{00000000-0005-0000-0000-000004010000}"/>
    <cellStyle name="Normal 15 7" xfId="244" xr:uid="{00000000-0005-0000-0000-000005010000}"/>
    <cellStyle name="Normal 15 7 2" xfId="245" xr:uid="{00000000-0005-0000-0000-000006010000}"/>
    <cellStyle name="Normal 15 7 3" xfId="246" xr:uid="{00000000-0005-0000-0000-000007010000}"/>
    <cellStyle name="Normal 15 7 4" xfId="247" xr:uid="{00000000-0005-0000-0000-000008010000}"/>
    <cellStyle name="Normal 15 7 5" xfId="248" xr:uid="{00000000-0005-0000-0000-000009010000}"/>
    <cellStyle name="Normal 15 7 6" xfId="249" xr:uid="{00000000-0005-0000-0000-00000A010000}"/>
    <cellStyle name="Normal 15 7 7" xfId="250" xr:uid="{00000000-0005-0000-0000-00000B010000}"/>
    <cellStyle name="Normal 15 8" xfId="251" xr:uid="{00000000-0005-0000-0000-00000C010000}"/>
    <cellStyle name="Normal 15 8 2" xfId="252" xr:uid="{00000000-0005-0000-0000-00000D010000}"/>
    <cellStyle name="Normal 15 8 3" xfId="253" xr:uid="{00000000-0005-0000-0000-00000E010000}"/>
    <cellStyle name="Normal 15 8 4" xfId="254" xr:uid="{00000000-0005-0000-0000-00000F010000}"/>
    <cellStyle name="Normal 15 8 5" xfId="255" xr:uid="{00000000-0005-0000-0000-000010010000}"/>
    <cellStyle name="Normal 15 8 6" xfId="256" xr:uid="{00000000-0005-0000-0000-000011010000}"/>
    <cellStyle name="Normal 15 8 7" xfId="257" xr:uid="{00000000-0005-0000-0000-000012010000}"/>
    <cellStyle name="Normal 15 9" xfId="258" xr:uid="{00000000-0005-0000-0000-000013010000}"/>
    <cellStyle name="Normal 15 9 2" xfId="259" xr:uid="{00000000-0005-0000-0000-000014010000}"/>
    <cellStyle name="Normal 15 9 3" xfId="260" xr:uid="{00000000-0005-0000-0000-000015010000}"/>
    <cellStyle name="Normal 15 9 4" xfId="261" xr:uid="{00000000-0005-0000-0000-000016010000}"/>
    <cellStyle name="Normal 15 9 5" xfId="262" xr:uid="{00000000-0005-0000-0000-000017010000}"/>
    <cellStyle name="Normal 15 9 6" xfId="263" xr:uid="{00000000-0005-0000-0000-000018010000}"/>
    <cellStyle name="Normal 15 9 7" xfId="264" xr:uid="{00000000-0005-0000-0000-000019010000}"/>
    <cellStyle name="Normal 16" xfId="265" xr:uid="{00000000-0005-0000-0000-00001A010000}"/>
    <cellStyle name="Normal 16 10" xfId="266" xr:uid="{00000000-0005-0000-0000-00001B010000}"/>
    <cellStyle name="Normal 16 10 2" xfId="267" xr:uid="{00000000-0005-0000-0000-00001C010000}"/>
    <cellStyle name="Normal 16 10 3" xfId="268" xr:uid="{00000000-0005-0000-0000-00001D010000}"/>
    <cellStyle name="Normal 16 10 4" xfId="269" xr:uid="{00000000-0005-0000-0000-00001E010000}"/>
    <cellStyle name="Normal 16 10 5" xfId="270" xr:uid="{00000000-0005-0000-0000-00001F010000}"/>
    <cellStyle name="Normal 16 10 6" xfId="271" xr:uid="{00000000-0005-0000-0000-000020010000}"/>
    <cellStyle name="Normal 16 10 7" xfId="272" xr:uid="{00000000-0005-0000-0000-000021010000}"/>
    <cellStyle name="Normal 16 11" xfId="273" xr:uid="{00000000-0005-0000-0000-000022010000}"/>
    <cellStyle name="Normal 16 11 2" xfId="274" xr:uid="{00000000-0005-0000-0000-000023010000}"/>
    <cellStyle name="Normal 16 11 3" xfId="275" xr:uid="{00000000-0005-0000-0000-000024010000}"/>
    <cellStyle name="Normal 16 11 4" xfId="276" xr:uid="{00000000-0005-0000-0000-000025010000}"/>
    <cellStyle name="Normal 16 11 5" xfId="277" xr:uid="{00000000-0005-0000-0000-000026010000}"/>
    <cellStyle name="Normal 16 11 6" xfId="278" xr:uid="{00000000-0005-0000-0000-000027010000}"/>
    <cellStyle name="Normal 16 11 7" xfId="279" xr:uid="{00000000-0005-0000-0000-000028010000}"/>
    <cellStyle name="Normal 16 12" xfId="280" xr:uid="{00000000-0005-0000-0000-000029010000}"/>
    <cellStyle name="Normal 16 12 2" xfId="281" xr:uid="{00000000-0005-0000-0000-00002A010000}"/>
    <cellStyle name="Normal 16 12 3" xfId="282" xr:uid="{00000000-0005-0000-0000-00002B010000}"/>
    <cellStyle name="Normal 16 12 4" xfId="283" xr:uid="{00000000-0005-0000-0000-00002C010000}"/>
    <cellStyle name="Normal 16 12 5" xfId="284" xr:uid="{00000000-0005-0000-0000-00002D010000}"/>
    <cellStyle name="Normal 16 12 6" xfId="285" xr:uid="{00000000-0005-0000-0000-00002E010000}"/>
    <cellStyle name="Normal 16 12 7" xfId="286" xr:uid="{00000000-0005-0000-0000-00002F010000}"/>
    <cellStyle name="Normal 16 13" xfId="287" xr:uid="{00000000-0005-0000-0000-000030010000}"/>
    <cellStyle name="Normal 16 13 2" xfId="288" xr:uid="{00000000-0005-0000-0000-000031010000}"/>
    <cellStyle name="Normal 16 13 3" xfId="289" xr:uid="{00000000-0005-0000-0000-000032010000}"/>
    <cellStyle name="Normal 16 13 4" xfId="290" xr:uid="{00000000-0005-0000-0000-000033010000}"/>
    <cellStyle name="Normal 16 13 5" xfId="291" xr:uid="{00000000-0005-0000-0000-000034010000}"/>
    <cellStyle name="Normal 16 13 6" xfId="292" xr:uid="{00000000-0005-0000-0000-000035010000}"/>
    <cellStyle name="Normal 16 13 7" xfId="293" xr:uid="{00000000-0005-0000-0000-000036010000}"/>
    <cellStyle name="Normal 16 14" xfId="294" xr:uid="{00000000-0005-0000-0000-000037010000}"/>
    <cellStyle name="Normal 16 14 2" xfId="295" xr:uid="{00000000-0005-0000-0000-000038010000}"/>
    <cellStyle name="Normal 16 14 3" xfId="296" xr:uid="{00000000-0005-0000-0000-000039010000}"/>
    <cellStyle name="Normal 16 14 4" xfId="297" xr:uid="{00000000-0005-0000-0000-00003A010000}"/>
    <cellStyle name="Normal 16 14 5" xfId="298" xr:uid="{00000000-0005-0000-0000-00003B010000}"/>
    <cellStyle name="Normal 16 14 6" xfId="299" xr:uid="{00000000-0005-0000-0000-00003C010000}"/>
    <cellStyle name="Normal 16 14 7" xfId="300" xr:uid="{00000000-0005-0000-0000-00003D010000}"/>
    <cellStyle name="Normal 16 15" xfId="301" xr:uid="{00000000-0005-0000-0000-00003E010000}"/>
    <cellStyle name="Normal 16 15 2" xfId="302" xr:uid="{00000000-0005-0000-0000-00003F010000}"/>
    <cellStyle name="Normal 16 15 3" xfId="303" xr:uid="{00000000-0005-0000-0000-000040010000}"/>
    <cellStyle name="Normal 16 15 4" xfId="304" xr:uid="{00000000-0005-0000-0000-000041010000}"/>
    <cellStyle name="Normal 16 15 5" xfId="305" xr:uid="{00000000-0005-0000-0000-000042010000}"/>
    <cellStyle name="Normal 16 15 6" xfId="306" xr:uid="{00000000-0005-0000-0000-000043010000}"/>
    <cellStyle name="Normal 16 15 7" xfId="307" xr:uid="{00000000-0005-0000-0000-000044010000}"/>
    <cellStyle name="Normal 16 16" xfId="308" xr:uid="{00000000-0005-0000-0000-000045010000}"/>
    <cellStyle name="Normal 16 16 2" xfId="309" xr:uid="{00000000-0005-0000-0000-000046010000}"/>
    <cellStyle name="Normal 16 16 3" xfId="310" xr:uid="{00000000-0005-0000-0000-000047010000}"/>
    <cellStyle name="Normal 16 16 4" xfId="311" xr:uid="{00000000-0005-0000-0000-000048010000}"/>
    <cellStyle name="Normal 16 16 5" xfId="312" xr:uid="{00000000-0005-0000-0000-000049010000}"/>
    <cellStyle name="Normal 16 16 6" xfId="313" xr:uid="{00000000-0005-0000-0000-00004A010000}"/>
    <cellStyle name="Normal 16 16 7" xfId="314" xr:uid="{00000000-0005-0000-0000-00004B010000}"/>
    <cellStyle name="Normal 16 17" xfId="315" xr:uid="{00000000-0005-0000-0000-00004C010000}"/>
    <cellStyle name="Normal 16 17 2" xfId="316" xr:uid="{00000000-0005-0000-0000-00004D010000}"/>
    <cellStyle name="Normal 16 17 3" xfId="317" xr:uid="{00000000-0005-0000-0000-00004E010000}"/>
    <cellStyle name="Normal 16 17 4" xfId="318" xr:uid="{00000000-0005-0000-0000-00004F010000}"/>
    <cellStyle name="Normal 16 17 5" xfId="319" xr:uid="{00000000-0005-0000-0000-000050010000}"/>
    <cellStyle name="Normal 16 17 6" xfId="320" xr:uid="{00000000-0005-0000-0000-000051010000}"/>
    <cellStyle name="Normal 16 17 7" xfId="321" xr:uid="{00000000-0005-0000-0000-000052010000}"/>
    <cellStyle name="Normal 16 18" xfId="322" xr:uid="{00000000-0005-0000-0000-000053010000}"/>
    <cellStyle name="Normal 16 18 2" xfId="323" xr:uid="{00000000-0005-0000-0000-000054010000}"/>
    <cellStyle name="Normal 16 18 3" xfId="324" xr:uid="{00000000-0005-0000-0000-000055010000}"/>
    <cellStyle name="Normal 16 18 4" xfId="325" xr:uid="{00000000-0005-0000-0000-000056010000}"/>
    <cellStyle name="Normal 16 18 5" xfId="326" xr:uid="{00000000-0005-0000-0000-000057010000}"/>
    <cellStyle name="Normal 16 18 6" xfId="327" xr:uid="{00000000-0005-0000-0000-000058010000}"/>
    <cellStyle name="Normal 16 18 7" xfId="328" xr:uid="{00000000-0005-0000-0000-000059010000}"/>
    <cellStyle name="Normal 16 19" xfId="329" xr:uid="{00000000-0005-0000-0000-00005A010000}"/>
    <cellStyle name="Normal 16 19 2" xfId="330" xr:uid="{00000000-0005-0000-0000-00005B010000}"/>
    <cellStyle name="Normal 16 19 3" xfId="331" xr:uid="{00000000-0005-0000-0000-00005C010000}"/>
    <cellStyle name="Normal 16 19 4" xfId="332" xr:uid="{00000000-0005-0000-0000-00005D010000}"/>
    <cellStyle name="Normal 16 19 5" xfId="333" xr:uid="{00000000-0005-0000-0000-00005E010000}"/>
    <cellStyle name="Normal 16 19 6" xfId="334" xr:uid="{00000000-0005-0000-0000-00005F010000}"/>
    <cellStyle name="Normal 16 19 7" xfId="335" xr:uid="{00000000-0005-0000-0000-000060010000}"/>
    <cellStyle name="Normal 16 2" xfId="336" xr:uid="{00000000-0005-0000-0000-000061010000}"/>
    <cellStyle name="Normal 16 2 2" xfId="337" xr:uid="{00000000-0005-0000-0000-000062010000}"/>
    <cellStyle name="Normal 16 2 3" xfId="338" xr:uid="{00000000-0005-0000-0000-000063010000}"/>
    <cellStyle name="Normal 16 2 4" xfId="339" xr:uid="{00000000-0005-0000-0000-000064010000}"/>
    <cellStyle name="Normal 16 2 5" xfId="340" xr:uid="{00000000-0005-0000-0000-000065010000}"/>
    <cellStyle name="Normal 16 2 6" xfId="341" xr:uid="{00000000-0005-0000-0000-000066010000}"/>
    <cellStyle name="Normal 16 2 7" xfId="342" xr:uid="{00000000-0005-0000-0000-000067010000}"/>
    <cellStyle name="Normal 16 20" xfId="343" xr:uid="{00000000-0005-0000-0000-000068010000}"/>
    <cellStyle name="Normal 16 20 2" xfId="344" xr:uid="{00000000-0005-0000-0000-000069010000}"/>
    <cellStyle name="Normal 16 20 3" xfId="345" xr:uid="{00000000-0005-0000-0000-00006A010000}"/>
    <cellStyle name="Normal 16 20 4" xfId="346" xr:uid="{00000000-0005-0000-0000-00006B010000}"/>
    <cellStyle name="Normal 16 20 5" xfId="347" xr:uid="{00000000-0005-0000-0000-00006C010000}"/>
    <cellStyle name="Normal 16 20 6" xfId="348" xr:uid="{00000000-0005-0000-0000-00006D010000}"/>
    <cellStyle name="Normal 16 20 7" xfId="349" xr:uid="{00000000-0005-0000-0000-00006E010000}"/>
    <cellStyle name="Normal 16 21" xfId="350" xr:uid="{00000000-0005-0000-0000-00006F010000}"/>
    <cellStyle name="Normal 16 21 2" xfId="351" xr:uid="{00000000-0005-0000-0000-000070010000}"/>
    <cellStyle name="Normal 16 21 3" xfId="352" xr:uid="{00000000-0005-0000-0000-000071010000}"/>
    <cellStyle name="Normal 16 21 4" xfId="353" xr:uid="{00000000-0005-0000-0000-000072010000}"/>
    <cellStyle name="Normal 16 21 5" xfId="354" xr:uid="{00000000-0005-0000-0000-000073010000}"/>
    <cellStyle name="Normal 16 21 6" xfId="355" xr:uid="{00000000-0005-0000-0000-000074010000}"/>
    <cellStyle name="Normal 16 21 7" xfId="356" xr:uid="{00000000-0005-0000-0000-000075010000}"/>
    <cellStyle name="Normal 16 22" xfId="357" xr:uid="{00000000-0005-0000-0000-000076010000}"/>
    <cellStyle name="Normal 16 22 2" xfId="358" xr:uid="{00000000-0005-0000-0000-000077010000}"/>
    <cellStyle name="Normal 16 22 3" xfId="359" xr:uid="{00000000-0005-0000-0000-000078010000}"/>
    <cellStyle name="Normal 16 22 4" xfId="360" xr:uid="{00000000-0005-0000-0000-000079010000}"/>
    <cellStyle name="Normal 16 22 5" xfId="361" xr:uid="{00000000-0005-0000-0000-00007A010000}"/>
    <cellStyle name="Normal 16 22 6" xfId="362" xr:uid="{00000000-0005-0000-0000-00007B010000}"/>
    <cellStyle name="Normal 16 22 7" xfId="363" xr:uid="{00000000-0005-0000-0000-00007C010000}"/>
    <cellStyle name="Normal 16 23" xfId="364" xr:uid="{00000000-0005-0000-0000-00007D010000}"/>
    <cellStyle name="Normal 16 23 2" xfId="365" xr:uid="{00000000-0005-0000-0000-00007E010000}"/>
    <cellStyle name="Normal 16 23 3" xfId="366" xr:uid="{00000000-0005-0000-0000-00007F010000}"/>
    <cellStyle name="Normal 16 23 4" xfId="367" xr:uid="{00000000-0005-0000-0000-000080010000}"/>
    <cellStyle name="Normal 16 23 5" xfId="368" xr:uid="{00000000-0005-0000-0000-000081010000}"/>
    <cellStyle name="Normal 16 23 6" xfId="369" xr:uid="{00000000-0005-0000-0000-000082010000}"/>
    <cellStyle name="Normal 16 23 7" xfId="370" xr:uid="{00000000-0005-0000-0000-000083010000}"/>
    <cellStyle name="Normal 16 24" xfId="371" xr:uid="{00000000-0005-0000-0000-000084010000}"/>
    <cellStyle name="Normal 16 24 2" xfId="372" xr:uid="{00000000-0005-0000-0000-000085010000}"/>
    <cellStyle name="Normal 16 24 3" xfId="373" xr:uid="{00000000-0005-0000-0000-000086010000}"/>
    <cellStyle name="Normal 16 24 4" xfId="374" xr:uid="{00000000-0005-0000-0000-000087010000}"/>
    <cellStyle name="Normal 16 24 5" xfId="375" xr:uid="{00000000-0005-0000-0000-000088010000}"/>
    <cellStyle name="Normal 16 24 6" xfId="376" xr:uid="{00000000-0005-0000-0000-000089010000}"/>
    <cellStyle name="Normal 16 24 7" xfId="377" xr:uid="{00000000-0005-0000-0000-00008A010000}"/>
    <cellStyle name="Normal 16 25" xfId="378" xr:uid="{00000000-0005-0000-0000-00008B010000}"/>
    <cellStyle name="Normal 16 25 2" xfId="379" xr:uid="{00000000-0005-0000-0000-00008C010000}"/>
    <cellStyle name="Normal 16 25 3" xfId="380" xr:uid="{00000000-0005-0000-0000-00008D010000}"/>
    <cellStyle name="Normal 16 25 4" xfId="381" xr:uid="{00000000-0005-0000-0000-00008E010000}"/>
    <cellStyle name="Normal 16 25 5" xfId="382" xr:uid="{00000000-0005-0000-0000-00008F010000}"/>
    <cellStyle name="Normal 16 25 6" xfId="383" xr:uid="{00000000-0005-0000-0000-000090010000}"/>
    <cellStyle name="Normal 16 25 7" xfId="384" xr:uid="{00000000-0005-0000-0000-000091010000}"/>
    <cellStyle name="Normal 16 26" xfId="385" xr:uid="{00000000-0005-0000-0000-000092010000}"/>
    <cellStyle name="Normal 16 26 2" xfId="386" xr:uid="{00000000-0005-0000-0000-000093010000}"/>
    <cellStyle name="Normal 16 26 3" xfId="387" xr:uid="{00000000-0005-0000-0000-000094010000}"/>
    <cellStyle name="Normal 16 26 4" xfId="388" xr:uid="{00000000-0005-0000-0000-000095010000}"/>
    <cellStyle name="Normal 16 26 5" xfId="389" xr:uid="{00000000-0005-0000-0000-000096010000}"/>
    <cellStyle name="Normal 16 26 6" xfId="390" xr:uid="{00000000-0005-0000-0000-000097010000}"/>
    <cellStyle name="Normal 16 26 7" xfId="391" xr:uid="{00000000-0005-0000-0000-000098010000}"/>
    <cellStyle name="Normal 16 27" xfId="392" xr:uid="{00000000-0005-0000-0000-000099010000}"/>
    <cellStyle name="Normal 16 27 2" xfId="393" xr:uid="{00000000-0005-0000-0000-00009A010000}"/>
    <cellStyle name="Normal 16 27 3" xfId="394" xr:uid="{00000000-0005-0000-0000-00009B010000}"/>
    <cellStyle name="Normal 16 27 4" xfId="395" xr:uid="{00000000-0005-0000-0000-00009C010000}"/>
    <cellStyle name="Normal 16 27 5" xfId="396" xr:uid="{00000000-0005-0000-0000-00009D010000}"/>
    <cellStyle name="Normal 16 27 6" xfId="397" xr:uid="{00000000-0005-0000-0000-00009E010000}"/>
    <cellStyle name="Normal 16 27 7" xfId="398" xr:uid="{00000000-0005-0000-0000-00009F010000}"/>
    <cellStyle name="Normal 16 28" xfId="399" xr:uid="{00000000-0005-0000-0000-0000A0010000}"/>
    <cellStyle name="Normal 16 28 2" xfId="400" xr:uid="{00000000-0005-0000-0000-0000A1010000}"/>
    <cellStyle name="Normal 16 28 3" xfId="401" xr:uid="{00000000-0005-0000-0000-0000A2010000}"/>
    <cellStyle name="Normal 16 28 4" xfId="402" xr:uid="{00000000-0005-0000-0000-0000A3010000}"/>
    <cellStyle name="Normal 16 28 5" xfId="403" xr:uid="{00000000-0005-0000-0000-0000A4010000}"/>
    <cellStyle name="Normal 16 28 6" xfId="404" xr:uid="{00000000-0005-0000-0000-0000A5010000}"/>
    <cellStyle name="Normal 16 28 7" xfId="405" xr:uid="{00000000-0005-0000-0000-0000A6010000}"/>
    <cellStyle name="Normal 16 29" xfId="406" xr:uid="{00000000-0005-0000-0000-0000A7010000}"/>
    <cellStyle name="Normal 16 29 2" xfId="407" xr:uid="{00000000-0005-0000-0000-0000A8010000}"/>
    <cellStyle name="Normal 16 29 3" xfId="408" xr:uid="{00000000-0005-0000-0000-0000A9010000}"/>
    <cellStyle name="Normal 16 29 4" xfId="409" xr:uid="{00000000-0005-0000-0000-0000AA010000}"/>
    <cellStyle name="Normal 16 29 5" xfId="410" xr:uid="{00000000-0005-0000-0000-0000AB010000}"/>
    <cellStyle name="Normal 16 29 6" xfId="411" xr:uid="{00000000-0005-0000-0000-0000AC010000}"/>
    <cellStyle name="Normal 16 29 7" xfId="412" xr:uid="{00000000-0005-0000-0000-0000AD010000}"/>
    <cellStyle name="Normal 16 3" xfId="413" xr:uid="{00000000-0005-0000-0000-0000AE010000}"/>
    <cellStyle name="Normal 16 3 2" xfId="414" xr:uid="{00000000-0005-0000-0000-0000AF010000}"/>
    <cellStyle name="Normal 16 3 3" xfId="415" xr:uid="{00000000-0005-0000-0000-0000B0010000}"/>
    <cellStyle name="Normal 16 3 4" xfId="416" xr:uid="{00000000-0005-0000-0000-0000B1010000}"/>
    <cellStyle name="Normal 16 3 5" xfId="417" xr:uid="{00000000-0005-0000-0000-0000B2010000}"/>
    <cellStyle name="Normal 16 3 6" xfId="418" xr:uid="{00000000-0005-0000-0000-0000B3010000}"/>
    <cellStyle name="Normal 16 3 7" xfId="419" xr:uid="{00000000-0005-0000-0000-0000B4010000}"/>
    <cellStyle name="Normal 16 30" xfId="420" xr:uid="{00000000-0005-0000-0000-0000B5010000}"/>
    <cellStyle name="Normal 16 31" xfId="421" xr:uid="{00000000-0005-0000-0000-0000B6010000}"/>
    <cellStyle name="Normal 16 32" xfId="422" xr:uid="{00000000-0005-0000-0000-0000B7010000}"/>
    <cellStyle name="Normal 16 33" xfId="423" xr:uid="{00000000-0005-0000-0000-0000B8010000}"/>
    <cellStyle name="Normal 16 34" xfId="424" xr:uid="{00000000-0005-0000-0000-0000B9010000}"/>
    <cellStyle name="Normal 16 35" xfId="425" xr:uid="{00000000-0005-0000-0000-0000BA010000}"/>
    <cellStyle name="Normal 16 4" xfId="426" xr:uid="{00000000-0005-0000-0000-0000BB010000}"/>
    <cellStyle name="Normal 16 4 2" xfId="427" xr:uid="{00000000-0005-0000-0000-0000BC010000}"/>
    <cellStyle name="Normal 16 4 3" xfId="428" xr:uid="{00000000-0005-0000-0000-0000BD010000}"/>
    <cellStyle name="Normal 16 4 4" xfId="429" xr:uid="{00000000-0005-0000-0000-0000BE010000}"/>
    <cellStyle name="Normal 16 4 5" xfId="430" xr:uid="{00000000-0005-0000-0000-0000BF010000}"/>
    <cellStyle name="Normal 16 4 6" xfId="431" xr:uid="{00000000-0005-0000-0000-0000C0010000}"/>
    <cellStyle name="Normal 16 4 7" xfId="432" xr:uid="{00000000-0005-0000-0000-0000C1010000}"/>
    <cellStyle name="Normal 16 5" xfId="433" xr:uid="{00000000-0005-0000-0000-0000C2010000}"/>
    <cellStyle name="Normal 16 5 2" xfId="434" xr:uid="{00000000-0005-0000-0000-0000C3010000}"/>
    <cellStyle name="Normal 16 5 3" xfId="435" xr:uid="{00000000-0005-0000-0000-0000C4010000}"/>
    <cellStyle name="Normal 16 5 4" xfId="436" xr:uid="{00000000-0005-0000-0000-0000C5010000}"/>
    <cellStyle name="Normal 16 5 5" xfId="437" xr:uid="{00000000-0005-0000-0000-0000C6010000}"/>
    <cellStyle name="Normal 16 5 6" xfId="438" xr:uid="{00000000-0005-0000-0000-0000C7010000}"/>
    <cellStyle name="Normal 16 5 7" xfId="439" xr:uid="{00000000-0005-0000-0000-0000C8010000}"/>
    <cellStyle name="Normal 16 6" xfId="440" xr:uid="{00000000-0005-0000-0000-0000C9010000}"/>
    <cellStyle name="Normal 16 6 2" xfId="441" xr:uid="{00000000-0005-0000-0000-0000CA010000}"/>
    <cellStyle name="Normal 16 6 3" xfId="442" xr:uid="{00000000-0005-0000-0000-0000CB010000}"/>
    <cellStyle name="Normal 16 6 4" xfId="443" xr:uid="{00000000-0005-0000-0000-0000CC010000}"/>
    <cellStyle name="Normal 16 6 5" xfId="444" xr:uid="{00000000-0005-0000-0000-0000CD010000}"/>
    <cellStyle name="Normal 16 6 6" xfId="445" xr:uid="{00000000-0005-0000-0000-0000CE010000}"/>
    <cellStyle name="Normal 16 6 7" xfId="446" xr:uid="{00000000-0005-0000-0000-0000CF010000}"/>
    <cellStyle name="Normal 16 7" xfId="447" xr:uid="{00000000-0005-0000-0000-0000D0010000}"/>
    <cellStyle name="Normal 16 7 2" xfId="448" xr:uid="{00000000-0005-0000-0000-0000D1010000}"/>
    <cellStyle name="Normal 16 7 3" xfId="449" xr:uid="{00000000-0005-0000-0000-0000D2010000}"/>
    <cellStyle name="Normal 16 7 4" xfId="450" xr:uid="{00000000-0005-0000-0000-0000D3010000}"/>
    <cellStyle name="Normal 16 7 5" xfId="451" xr:uid="{00000000-0005-0000-0000-0000D4010000}"/>
    <cellStyle name="Normal 16 7 6" xfId="452" xr:uid="{00000000-0005-0000-0000-0000D5010000}"/>
    <cellStyle name="Normal 16 7 7" xfId="453" xr:uid="{00000000-0005-0000-0000-0000D6010000}"/>
    <cellStyle name="Normal 16 8" xfId="454" xr:uid="{00000000-0005-0000-0000-0000D7010000}"/>
    <cellStyle name="Normal 16 8 2" xfId="455" xr:uid="{00000000-0005-0000-0000-0000D8010000}"/>
    <cellStyle name="Normal 16 8 3" xfId="456" xr:uid="{00000000-0005-0000-0000-0000D9010000}"/>
    <cellStyle name="Normal 16 8 4" xfId="457" xr:uid="{00000000-0005-0000-0000-0000DA010000}"/>
    <cellStyle name="Normal 16 8 5" xfId="458" xr:uid="{00000000-0005-0000-0000-0000DB010000}"/>
    <cellStyle name="Normal 16 8 6" xfId="459" xr:uid="{00000000-0005-0000-0000-0000DC010000}"/>
    <cellStyle name="Normal 16 8 7" xfId="460" xr:uid="{00000000-0005-0000-0000-0000DD010000}"/>
    <cellStyle name="Normal 16 9" xfId="461" xr:uid="{00000000-0005-0000-0000-0000DE010000}"/>
    <cellStyle name="Normal 16 9 2" xfId="462" xr:uid="{00000000-0005-0000-0000-0000DF010000}"/>
    <cellStyle name="Normal 16 9 3" xfId="463" xr:uid="{00000000-0005-0000-0000-0000E0010000}"/>
    <cellStyle name="Normal 16 9 4" xfId="464" xr:uid="{00000000-0005-0000-0000-0000E1010000}"/>
    <cellStyle name="Normal 16 9 5" xfId="465" xr:uid="{00000000-0005-0000-0000-0000E2010000}"/>
    <cellStyle name="Normal 16 9 6" xfId="466" xr:uid="{00000000-0005-0000-0000-0000E3010000}"/>
    <cellStyle name="Normal 16 9 7" xfId="467" xr:uid="{00000000-0005-0000-0000-0000E4010000}"/>
    <cellStyle name="Normal 17" xfId="468" xr:uid="{00000000-0005-0000-0000-0000E5010000}"/>
    <cellStyle name="Normal 17 10" xfId="469" xr:uid="{00000000-0005-0000-0000-0000E6010000}"/>
    <cellStyle name="Normal 17 10 2" xfId="470" xr:uid="{00000000-0005-0000-0000-0000E7010000}"/>
    <cellStyle name="Normal 17 10 3" xfId="471" xr:uid="{00000000-0005-0000-0000-0000E8010000}"/>
    <cellStyle name="Normal 17 10 4" xfId="472" xr:uid="{00000000-0005-0000-0000-0000E9010000}"/>
    <cellStyle name="Normal 17 10 5" xfId="473" xr:uid="{00000000-0005-0000-0000-0000EA010000}"/>
    <cellStyle name="Normal 17 10 6" xfId="474" xr:uid="{00000000-0005-0000-0000-0000EB010000}"/>
    <cellStyle name="Normal 17 10 7" xfId="475" xr:uid="{00000000-0005-0000-0000-0000EC010000}"/>
    <cellStyle name="Normal 17 11" xfId="476" xr:uid="{00000000-0005-0000-0000-0000ED010000}"/>
    <cellStyle name="Normal 17 11 2" xfId="477" xr:uid="{00000000-0005-0000-0000-0000EE010000}"/>
    <cellStyle name="Normal 17 11 3" xfId="478" xr:uid="{00000000-0005-0000-0000-0000EF010000}"/>
    <cellStyle name="Normal 17 11 4" xfId="479" xr:uid="{00000000-0005-0000-0000-0000F0010000}"/>
    <cellStyle name="Normal 17 11 5" xfId="480" xr:uid="{00000000-0005-0000-0000-0000F1010000}"/>
    <cellStyle name="Normal 17 11 6" xfId="481" xr:uid="{00000000-0005-0000-0000-0000F2010000}"/>
    <cellStyle name="Normal 17 11 7" xfId="482" xr:uid="{00000000-0005-0000-0000-0000F3010000}"/>
    <cellStyle name="Normal 17 12" xfId="483" xr:uid="{00000000-0005-0000-0000-0000F4010000}"/>
    <cellStyle name="Normal 17 12 2" xfId="484" xr:uid="{00000000-0005-0000-0000-0000F5010000}"/>
    <cellStyle name="Normal 17 12 3" xfId="485" xr:uid="{00000000-0005-0000-0000-0000F6010000}"/>
    <cellStyle name="Normal 17 12 4" xfId="486" xr:uid="{00000000-0005-0000-0000-0000F7010000}"/>
    <cellStyle name="Normal 17 12 5" xfId="487" xr:uid="{00000000-0005-0000-0000-0000F8010000}"/>
    <cellStyle name="Normal 17 12 6" xfId="488" xr:uid="{00000000-0005-0000-0000-0000F9010000}"/>
    <cellStyle name="Normal 17 12 7" xfId="489" xr:uid="{00000000-0005-0000-0000-0000FA010000}"/>
    <cellStyle name="Normal 17 13" xfId="490" xr:uid="{00000000-0005-0000-0000-0000FB010000}"/>
    <cellStyle name="Normal 17 13 2" xfId="491" xr:uid="{00000000-0005-0000-0000-0000FC010000}"/>
    <cellStyle name="Normal 17 13 3" xfId="492" xr:uid="{00000000-0005-0000-0000-0000FD010000}"/>
    <cellStyle name="Normal 17 13 4" xfId="493" xr:uid="{00000000-0005-0000-0000-0000FE010000}"/>
    <cellStyle name="Normal 17 13 5" xfId="494" xr:uid="{00000000-0005-0000-0000-0000FF010000}"/>
    <cellStyle name="Normal 17 13 6" xfId="495" xr:uid="{00000000-0005-0000-0000-000000020000}"/>
    <cellStyle name="Normal 17 13 7" xfId="496" xr:uid="{00000000-0005-0000-0000-000001020000}"/>
    <cellStyle name="Normal 17 14" xfId="497" xr:uid="{00000000-0005-0000-0000-000002020000}"/>
    <cellStyle name="Normal 17 14 2" xfId="498" xr:uid="{00000000-0005-0000-0000-000003020000}"/>
    <cellStyle name="Normal 17 14 3" xfId="499" xr:uid="{00000000-0005-0000-0000-000004020000}"/>
    <cellStyle name="Normal 17 14 4" xfId="500" xr:uid="{00000000-0005-0000-0000-000005020000}"/>
    <cellStyle name="Normal 17 14 5" xfId="501" xr:uid="{00000000-0005-0000-0000-000006020000}"/>
    <cellStyle name="Normal 17 14 6" xfId="502" xr:uid="{00000000-0005-0000-0000-000007020000}"/>
    <cellStyle name="Normal 17 14 7" xfId="503" xr:uid="{00000000-0005-0000-0000-000008020000}"/>
    <cellStyle name="Normal 17 15" xfId="504" xr:uid="{00000000-0005-0000-0000-000009020000}"/>
    <cellStyle name="Normal 17 15 2" xfId="505" xr:uid="{00000000-0005-0000-0000-00000A020000}"/>
    <cellStyle name="Normal 17 15 3" xfId="506" xr:uid="{00000000-0005-0000-0000-00000B020000}"/>
    <cellStyle name="Normal 17 15 4" xfId="507" xr:uid="{00000000-0005-0000-0000-00000C020000}"/>
    <cellStyle name="Normal 17 15 5" xfId="508" xr:uid="{00000000-0005-0000-0000-00000D020000}"/>
    <cellStyle name="Normal 17 15 6" xfId="509" xr:uid="{00000000-0005-0000-0000-00000E020000}"/>
    <cellStyle name="Normal 17 15 7" xfId="510" xr:uid="{00000000-0005-0000-0000-00000F020000}"/>
    <cellStyle name="Normal 17 16" xfId="511" xr:uid="{00000000-0005-0000-0000-000010020000}"/>
    <cellStyle name="Normal 17 16 2" xfId="512" xr:uid="{00000000-0005-0000-0000-000011020000}"/>
    <cellStyle name="Normal 17 16 3" xfId="513" xr:uid="{00000000-0005-0000-0000-000012020000}"/>
    <cellStyle name="Normal 17 16 4" xfId="514" xr:uid="{00000000-0005-0000-0000-000013020000}"/>
    <cellStyle name="Normal 17 16 5" xfId="515" xr:uid="{00000000-0005-0000-0000-000014020000}"/>
    <cellStyle name="Normal 17 16 6" xfId="516" xr:uid="{00000000-0005-0000-0000-000015020000}"/>
    <cellStyle name="Normal 17 16 7" xfId="517" xr:uid="{00000000-0005-0000-0000-000016020000}"/>
    <cellStyle name="Normal 17 17" xfId="518" xr:uid="{00000000-0005-0000-0000-000017020000}"/>
    <cellStyle name="Normal 17 17 2" xfId="519" xr:uid="{00000000-0005-0000-0000-000018020000}"/>
    <cellStyle name="Normal 17 17 3" xfId="520" xr:uid="{00000000-0005-0000-0000-000019020000}"/>
    <cellStyle name="Normal 17 17 4" xfId="521" xr:uid="{00000000-0005-0000-0000-00001A020000}"/>
    <cellStyle name="Normal 17 17 5" xfId="522" xr:uid="{00000000-0005-0000-0000-00001B020000}"/>
    <cellStyle name="Normal 17 17 6" xfId="523" xr:uid="{00000000-0005-0000-0000-00001C020000}"/>
    <cellStyle name="Normal 17 17 7" xfId="524" xr:uid="{00000000-0005-0000-0000-00001D020000}"/>
    <cellStyle name="Normal 17 18" xfId="525" xr:uid="{00000000-0005-0000-0000-00001E020000}"/>
    <cellStyle name="Normal 17 18 2" xfId="526" xr:uid="{00000000-0005-0000-0000-00001F020000}"/>
    <cellStyle name="Normal 17 18 3" xfId="527" xr:uid="{00000000-0005-0000-0000-000020020000}"/>
    <cellStyle name="Normal 17 18 4" xfId="528" xr:uid="{00000000-0005-0000-0000-000021020000}"/>
    <cellStyle name="Normal 17 18 5" xfId="529" xr:uid="{00000000-0005-0000-0000-000022020000}"/>
    <cellStyle name="Normal 17 18 6" xfId="530" xr:uid="{00000000-0005-0000-0000-000023020000}"/>
    <cellStyle name="Normal 17 18 7" xfId="531" xr:uid="{00000000-0005-0000-0000-000024020000}"/>
    <cellStyle name="Normal 17 19" xfId="532" xr:uid="{00000000-0005-0000-0000-000025020000}"/>
    <cellStyle name="Normal 17 19 2" xfId="533" xr:uid="{00000000-0005-0000-0000-000026020000}"/>
    <cellStyle name="Normal 17 19 3" xfId="534" xr:uid="{00000000-0005-0000-0000-000027020000}"/>
    <cellStyle name="Normal 17 19 4" xfId="535" xr:uid="{00000000-0005-0000-0000-000028020000}"/>
    <cellStyle name="Normal 17 19 5" xfId="536" xr:uid="{00000000-0005-0000-0000-000029020000}"/>
    <cellStyle name="Normal 17 19 6" xfId="537" xr:uid="{00000000-0005-0000-0000-00002A020000}"/>
    <cellStyle name="Normal 17 19 7" xfId="538" xr:uid="{00000000-0005-0000-0000-00002B020000}"/>
    <cellStyle name="Normal 17 2" xfId="539" xr:uid="{00000000-0005-0000-0000-00002C020000}"/>
    <cellStyle name="Normal 17 2 2" xfId="540" xr:uid="{00000000-0005-0000-0000-00002D020000}"/>
    <cellStyle name="Normal 17 2 3" xfId="541" xr:uid="{00000000-0005-0000-0000-00002E020000}"/>
    <cellStyle name="Normal 17 2 4" xfId="542" xr:uid="{00000000-0005-0000-0000-00002F020000}"/>
    <cellStyle name="Normal 17 2 5" xfId="543" xr:uid="{00000000-0005-0000-0000-000030020000}"/>
    <cellStyle name="Normal 17 2 6" xfId="544" xr:uid="{00000000-0005-0000-0000-000031020000}"/>
    <cellStyle name="Normal 17 2 7" xfId="545" xr:uid="{00000000-0005-0000-0000-000032020000}"/>
    <cellStyle name="Normal 17 20" xfId="546" xr:uid="{00000000-0005-0000-0000-000033020000}"/>
    <cellStyle name="Normal 17 20 2" xfId="547" xr:uid="{00000000-0005-0000-0000-000034020000}"/>
    <cellStyle name="Normal 17 20 3" xfId="548" xr:uid="{00000000-0005-0000-0000-000035020000}"/>
    <cellStyle name="Normal 17 20 4" xfId="549" xr:uid="{00000000-0005-0000-0000-000036020000}"/>
    <cellStyle name="Normal 17 20 5" xfId="550" xr:uid="{00000000-0005-0000-0000-000037020000}"/>
    <cellStyle name="Normal 17 20 6" xfId="551" xr:uid="{00000000-0005-0000-0000-000038020000}"/>
    <cellStyle name="Normal 17 20 7" xfId="552" xr:uid="{00000000-0005-0000-0000-000039020000}"/>
    <cellStyle name="Normal 17 21" xfId="553" xr:uid="{00000000-0005-0000-0000-00003A020000}"/>
    <cellStyle name="Normal 17 21 2" xfId="554" xr:uid="{00000000-0005-0000-0000-00003B020000}"/>
    <cellStyle name="Normal 17 21 3" xfId="555" xr:uid="{00000000-0005-0000-0000-00003C020000}"/>
    <cellStyle name="Normal 17 21 4" xfId="556" xr:uid="{00000000-0005-0000-0000-00003D020000}"/>
    <cellStyle name="Normal 17 21 5" xfId="557" xr:uid="{00000000-0005-0000-0000-00003E020000}"/>
    <cellStyle name="Normal 17 21 6" xfId="558" xr:uid="{00000000-0005-0000-0000-00003F020000}"/>
    <cellStyle name="Normal 17 21 7" xfId="559" xr:uid="{00000000-0005-0000-0000-000040020000}"/>
    <cellStyle name="Normal 17 22" xfId="560" xr:uid="{00000000-0005-0000-0000-000041020000}"/>
    <cellStyle name="Normal 17 22 2" xfId="561" xr:uid="{00000000-0005-0000-0000-000042020000}"/>
    <cellStyle name="Normal 17 22 3" xfId="562" xr:uid="{00000000-0005-0000-0000-000043020000}"/>
    <cellStyle name="Normal 17 22 4" xfId="563" xr:uid="{00000000-0005-0000-0000-000044020000}"/>
    <cellStyle name="Normal 17 22 5" xfId="564" xr:uid="{00000000-0005-0000-0000-000045020000}"/>
    <cellStyle name="Normal 17 22 6" xfId="565" xr:uid="{00000000-0005-0000-0000-000046020000}"/>
    <cellStyle name="Normal 17 22 7" xfId="566" xr:uid="{00000000-0005-0000-0000-000047020000}"/>
    <cellStyle name="Normal 17 23" xfId="567" xr:uid="{00000000-0005-0000-0000-000048020000}"/>
    <cellStyle name="Normal 17 23 2" xfId="568" xr:uid="{00000000-0005-0000-0000-000049020000}"/>
    <cellStyle name="Normal 17 23 3" xfId="569" xr:uid="{00000000-0005-0000-0000-00004A020000}"/>
    <cellStyle name="Normal 17 23 4" xfId="570" xr:uid="{00000000-0005-0000-0000-00004B020000}"/>
    <cellStyle name="Normal 17 23 5" xfId="571" xr:uid="{00000000-0005-0000-0000-00004C020000}"/>
    <cellStyle name="Normal 17 23 6" xfId="572" xr:uid="{00000000-0005-0000-0000-00004D020000}"/>
    <cellStyle name="Normal 17 23 7" xfId="573" xr:uid="{00000000-0005-0000-0000-00004E020000}"/>
    <cellStyle name="Normal 17 24" xfId="574" xr:uid="{00000000-0005-0000-0000-00004F020000}"/>
    <cellStyle name="Normal 17 24 2" xfId="575" xr:uid="{00000000-0005-0000-0000-000050020000}"/>
    <cellStyle name="Normal 17 24 3" xfId="576" xr:uid="{00000000-0005-0000-0000-000051020000}"/>
    <cellStyle name="Normal 17 24 4" xfId="577" xr:uid="{00000000-0005-0000-0000-000052020000}"/>
    <cellStyle name="Normal 17 24 5" xfId="578" xr:uid="{00000000-0005-0000-0000-000053020000}"/>
    <cellStyle name="Normal 17 24 6" xfId="579" xr:uid="{00000000-0005-0000-0000-000054020000}"/>
    <cellStyle name="Normal 17 24 7" xfId="580" xr:uid="{00000000-0005-0000-0000-000055020000}"/>
    <cellStyle name="Normal 17 25" xfId="581" xr:uid="{00000000-0005-0000-0000-000056020000}"/>
    <cellStyle name="Normal 17 25 2" xfId="582" xr:uid="{00000000-0005-0000-0000-000057020000}"/>
    <cellStyle name="Normal 17 25 3" xfId="583" xr:uid="{00000000-0005-0000-0000-000058020000}"/>
    <cellStyle name="Normal 17 25 4" xfId="584" xr:uid="{00000000-0005-0000-0000-000059020000}"/>
    <cellStyle name="Normal 17 25 5" xfId="585" xr:uid="{00000000-0005-0000-0000-00005A020000}"/>
    <cellStyle name="Normal 17 25 6" xfId="586" xr:uid="{00000000-0005-0000-0000-00005B020000}"/>
    <cellStyle name="Normal 17 25 7" xfId="587" xr:uid="{00000000-0005-0000-0000-00005C020000}"/>
    <cellStyle name="Normal 17 26" xfId="588" xr:uid="{00000000-0005-0000-0000-00005D020000}"/>
    <cellStyle name="Normal 17 26 2" xfId="589" xr:uid="{00000000-0005-0000-0000-00005E020000}"/>
    <cellStyle name="Normal 17 26 3" xfId="590" xr:uid="{00000000-0005-0000-0000-00005F020000}"/>
    <cellStyle name="Normal 17 26 4" xfId="591" xr:uid="{00000000-0005-0000-0000-000060020000}"/>
    <cellStyle name="Normal 17 26 5" xfId="592" xr:uid="{00000000-0005-0000-0000-000061020000}"/>
    <cellStyle name="Normal 17 26 6" xfId="593" xr:uid="{00000000-0005-0000-0000-000062020000}"/>
    <cellStyle name="Normal 17 26 7" xfId="594" xr:uid="{00000000-0005-0000-0000-000063020000}"/>
    <cellStyle name="Normal 17 27" xfId="595" xr:uid="{00000000-0005-0000-0000-000064020000}"/>
    <cellStyle name="Normal 17 27 2" xfId="596" xr:uid="{00000000-0005-0000-0000-000065020000}"/>
    <cellStyle name="Normal 17 27 3" xfId="597" xr:uid="{00000000-0005-0000-0000-000066020000}"/>
    <cellStyle name="Normal 17 27 4" xfId="598" xr:uid="{00000000-0005-0000-0000-000067020000}"/>
    <cellStyle name="Normal 17 27 5" xfId="599" xr:uid="{00000000-0005-0000-0000-000068020000}"/>
    <cellStyle name="Normal 17 27 6" xfId="600" xr:uid="{00000000-0005-0000-0000-000069020000}"/>
    <cellStyle name="Normal 17 27 7" xfId="601" xr:uid="{00000000-0005-0000-0000-00006A020000}"/>
    <cellStyle name="Normal 17 28" xfId="602" xr:uid="{00000000-0005-0000-0000-00006B020000}"/>
    <cellStyle name="Normal 17 28 2" xfId="603" xr:uid="{00000000-0005-0000-0000-00006C020000}"/>
    <cellStyle name="Normal 17 28 3" xfId="604" xr:uid="{00000000-0005-0000-0000-00006D020000}"/>
    <cellStyle name="Normal 17 28 4" xfId="605" xr:uid="{00000000-0005-0000-0000-00006E020000}"/>
    <cellStyle name="Normal 17 28 5" xfId="606" xr:uid="{00000000-0005-0000-0000-00006F020000}"/>
    <cellStyle name="Normal 17 28 6" xfId="607" xr:uid="{00000000-0005-0000-0000-000070020000}"/>
    <cellStyle name="Normal 17 28 7" xfId="608" xr:uid="{00000000-0005-0000-0000-000071020000}"/>
    <cellStyle name="Normal 17 29" xfId="609" xr:uid="{00000000-0005-0000-0000-000072020000}"/>
    <cellStyle name="Normal 17 29 2" xfId="610" xr:uid="{00000000-0005-0000-0000-000073020000}"/>
    <cellStyle name="Normal 17 29 3" xfId="611" xr:uid="{00000000-0005-0000-0000-000074020000}"/>
    <cellStyle name="Normal 17 29 4" xfId="612" xr:uid="{00000000-0005-0000-0000-000075020000}"/>
    <cellStyle name="Normal 17 29 5" xfId="613" xr:uid="{00000000-0005-0000-0000-000076020000}"/>
    <cellStyle name="Normal 17 29 6" xfId="614" xr:uid="{00000000-0005-0000-0000-000077020000}"/>
    <cellStyle name="Normal 17 29 7" xfId="615" xr:uid="{00000000-0005-0000-0000-000078020000}"/>
    <cellStyle name="Normal 17 3" xfId="616" xr:uid="{00000000-0005-0000-0000-000079020000}"/>
    <cellStyle name="Normal 17 3 2" xfId="617" xr:uid="{00000000-0005-0000-0000-00007A020000}"/>
    <cellStyle name="Normal 17 3 3" xfId="618" xr:uid="{00000000-0005-0000-0000-00007B020000}"/>
    <cellStyle name="Normal 17 3 4" xfId="619" xr:uid="{00000000-0005-0000-0000-00007C020000}"/>
    <cellStyle name="Normal 17 3 5" xfId="620" xr:uid="{00000000-0005-0000-0000-00007D020000}"/>
    <cellStyle name="Normal 17 3 6" xfId="621" xr:uid="{00000000-0005-0000-0000-00007E020000}"/>
    <cellStyle name="Normal 17 3 7" xfId="622" xr:uid="{00000000-0005-0000-0000-00007F020000}"/>
    <cellStyle name="Normal 17 30" xfId="623" xr:uid="{00000000-0005-0000-0000-000080020000}"/>
    <cellStyle name="Normal 17 31" xfId="624" xr:uid="{00000000-0005-0000-0000-000081020000}"/>
    <cellStyle name="Normal 17 32" xfId="625" xr:uid="{00000000-0005-0000-0000-000082020000}"/>
    <cellStyle name="Normal 17 33" xfId="626" xr:uid="{00000000-0005-0000-0000-000083020000}"/>
    <cellStyle name="Normal 17 34" xfId="627" xr:uid="{00000000-0005-0000-0000-000084020000}"/>
    <cellStyle name="Normal 17 35" xfId="628" xr:uid="{00000000-0005-0000-0000-000085020000}"/>
    <cellStyle name="Normal 17 4" xfId="629" xr:uid="{00000000-0005-0000-0000-000086020000}"/>
    <cellStyle name="Normal 17 4 2" xfId="630" xr:uid="{00000000-0005-0000-0000-000087020000}"/>
    <cellStyle name="Normal 17 4 3" xfId="631" xr:uid="{00000000-0005-0000-0000-000088020000}"/>
    <cellStyle name="Normal 17 4 4" xfId="632" xr:uid="{00000000-0005-0000-0000-000089020000}"/>
    <cellStyle name="Normal 17 4 5" xfId="633" xr:uid="{00000000-0005-0000-0000-00008A020000}"/>
    <cellStyle name="Normal 17 4 6" xfId="634" xr:uid="{00000000-0005-0000-0000-00008B020000}"/>
    <cellStyle name="Normal 17 4 7" xfId="635" xr:uid="{00000000-0005-0000-0000-00008C020000}"/>
    <cellStyle name="Normal 17 5" xfId="636" xr:uid="{00000000-0005-0000-0000-00008D020000}"/>
    <cellStyle name="Normal 17 5 2" xfId="637" xr:uid="{00000000-0005-0000-0000-00008E020000}"/>
    <cellStyle name="Normal 17 5 3" xfId="638" xr:uid="{00000000-0005-0000-0000-00008F020000}"/>
    <cellStyle name="Normal 17 5 4" xfId="639" xr:uid="{00000000-0005-0000-0000-000090020000}"/>
    <cellStyle name="Normal 17 5 5" xfId="640" xr:uid="{00000000-0005-0000-0000-000091020000}"/>
    <cellStyle name="Normal 17 5 6" xfId="641" xr:uid="{00000000-0005-0000-0000-000092020000}"/>
    <cellStyle name="Normal 17 5 7" xfId="642" xr:uid="{00000000-0005-0000-0000-000093020000}"/>
    <cellStyle name="Normal 17 6" xfId="643" xr:uid="{00000000-0005-0000-0000-000094020000}"/>
    <cellStyle name="Normal 17 6 2" xfId="644" xr:uid="{00000000-0005-0000-0000-000095020000}"/>
    <cellStyle name="Normal 17 6 3" xfId="645" xr:uid="{00000000-0005-0000-0000-000096020000}"/>
    <cellStyle name="Normal 17 6 4" xfId="646" xr:uid="{00000000-0005-0000-0000-000097020000}"/>
    <cellStyle name="Normal 17 6 5" xfId="647" xr:uid="{00000000-0005-0000-0000-000098020000}"/>
    <cellStyle name="Normal 17 6 6" xfId="648" xr:uid="{00000000-0005-0000-0000-000099020000}"/>
    <cellStyle name="Normal 17 6 7" xfId="649" xr:uid="{00000000-0005-0000-0000-00009A020000}"/>
    <cellStyle name="Normal 17 7" xfId="650" xr:uid="{00000000-0005-0000-0000-00009B020000}"/>
    <cellStyle name="Normal 17 7 2" xfId="651" xr:uid="{00000000-0005-0000-0000-00009C020000}"/>
    <cellStyle name="Normal 17 7 3" xfId="652" xr:uid="{00000000-0005-0000-0000-00009D020000}"/>
    <cellStyle name="Normal 17 7 4" xfId="653" xr:uid="{00000000-0005-0000-0000-00009E020000}"/>
    <cellStyle name="Normal 17 7 5" xfId="654" xr:uid="{00000000-0005-0000-0000-00009F020000}"/>
    <cellStyle name="Normal 17 7 6" xfId="655" xr:uid="{00000000-0005-0000-0000-0000A0020000}"/>
    <cellStyle name="Normal 17 7 7" xfId="656" xr:uid="{00000000-0005-0000-0000-0000A1020000}"/>
    <cellStyle name="Normal 17 8" xfId="657" xr:uid="{00000000-0005-0000-0000-0000A2020000}"/>
    <cellStyle name="Normal 17 8 2" xfId="658" xr:uid="{00000000-0005-0000-0000-0000A3020000}"/>
    <cellStyle name="Normal 17 8 3" xfId="659" xr:uid="{00000000-0005-0000-0000-0000A4020000}"/>
    <cellStyle name="Normal 17 8 4" xfId="660" xr:uid="{00000000-0005-0000-0000-0000A5020000}"/>
    <cellStyle name="Normal 17 8 5" xfId="661" xr:uid="{00000000-0005-0000-0000-0000A6020000}"/>
    <cellStyle name="Normal 17 8 6" xfId="662" xr:uid="{00000000-0005-0000-0000-0000A7020000}"/>
    <cellStyle name="Normal 17 8 7" xfId="663" xr:uid="{00000000-0005-0000-0000-0000A8020000}"/>
    <cellStyle name="Normal 17 9" xfId="664" xr:uid="{00000000-0005-0000-0000-0000A9020000}"/>
    <cellStyle name="Normal 17 9 2" xfId="665" xr:uid="{00000000-0005-0000-0000-0000AA020000}"/>
    <cellStyle name="Normal 17 9 3" xfId="666" xr:uid="{00000000-0005-0000-0000-0000AB020000}"/>
    <cellStyle name="Normal 17 9 4" xfId="667" xr:uid="{00000000-0005-0000-0000-0000AC020000}"/>
    <cellStyle name="Normal 17 9 5" xfId="668" xr:uid="{00000000-0005-0000-0000-0000AD020000}"/>
    <cellStyle name="Normal 17 9 6" xfId="669" xr:uid="{00000000-0005-0000-0000-0000AE020000}"/>
    <cellStyle name="Normal 17 9 7" xfId="670" xr:uid="{00000000-0005-0000-0000-0000AF020000}"/>
    <cellStyle name="Normal 18" xfId="671" xr:uid="{00000000-0005-0000-0000-0000B0020000}"/>
    <cellStyle name="Normal 18 10" xfId="672" xr:uid="{00000000-0005-0000-0000-0000B1020000}"/>
    <cellStyle name="Normal 18 10 2" xfId="673" xr:uid="{00000000-0005-0000-0000-0000B2020000}"/>
    <cellStyle name="Normal 18 10 3" xfId="674" xr:uid="{00000000-0005-0000-0000-0000B3020000}"/>
    <cellStyle name="Normal 18 10 4" xfId="675" xr:uid="{00000000-0005-0000-0000-0000B4020000}"/>
    <cellStyle name="Normal 18 10 5" xfId="676" xr:uid="{00000000-0005-0000-0000-0000B5020000}"/>
    <cellStyle name="Normal 18 10 6" xfId="677" xr:uid="{00000000-0005-0000-0000-0000B6020000}"/>
    <cellStyle name="Normal 18 10 7" xfId="678" xr:uid="{00000000-0005-0000-0000-0000B7020000}"/>
    <cellStyle name="Normal 18 11" xfId="679" xr:uid="{00000000-0005-0000-0000-0000B8020000}"/>
    <cellStyle name="Normal 18 11 2" xfId="680" xr:uid="{00000000-0005-0000-0000-0000B9020000}"/>
    <cellStyle name="Normal 18 11 3" xfId="681" xr:uid="{00000000-0005-0000-0000-0000BA020000}"/>
    <cellStyle name="Normal 18 11 4" xfId="682" xr:uid="{00000000-0005-0000-0000-0000BB020000}"/>
    <cellStyle name="Normal 18 11 5" xfId="683" xr:uid="{00000000-0005-0000-0000-0000BC020000}"/>
    <cellStyle name="Normal 18 11 6" xfId="684" xr:uid="{00000000-0005-0000-0000-0000BD020000}"/>
    <cellStyle name="Normal 18 11 7" xfId="685" xr:uid="{00000000-0005-0000-0000-0000BE020000}"/>
    <cellStyle name="Normal 18 12" xfId="686" xr:uid="{00000000-0005-0000-0000-0000BF020000}"/>
    <cellStyle name="Normal 18 12 2" xfId="687" xr:uid="{00000000-0005-0000-0000-0000C0020000}"/>
    <cellStyle name="Normal 18 12 3" xfId="688" xr:uid="{00000000-0005-0000-0000-0000C1020000}"/>
    <cellStyle name="Normal 18 12 4" xfId="689" xr:uid="{00000000-0005-0000-0000-0000C2020000}"/>
    <cellStyle name="Normal 18 12 5" xfId="690" xr:uid="{00000000-0005-0000-0000-0000C3020000}"/>
    <cellStyle name="Normal 18 12 6" xfId="691" xr:uid="{00000000-0005-0000-0000-0000C4020000}"/>
    <cellStyle name="Normal 18 12 7" xfId="692" xr:uid="{00000000-0005-0000-0000-0000C5020000}"/>
    <cellStyle name="Normal 18 13" xfId="693" xr:uid="{00000000-0005-0000-0000-0000C6020000}"/>
    <cellStyle name="Normal 18 13 2" xfId="694" xr:uid="{00000000-0005-0000-0000-0000C7020000}"/>
    <cellStyle name="Normal 18 13 3" xfId="695" xr:uid="{00000000-0005-0000-0000-0000C8020000}"/>
    <cellStyle name="Normal 18 13 4" xfId="696" xr:uid="{00000000-0005-0000-0000-0000C9020000}"/>
    <cellStyle name="Normal 18 13 5" xfId="697" xr:uid="{00000000-0005-0000-0000-0000CA020000}"/>
    <cellStyle name="Normal 18 13 6" xfId="698" xr:uid="{00000000-0005-0000-0000-0000CB020000}"/>
    <cellStyle name="Normal 18 13 7" xfId="699" xr:uid="{00000000-0005-0000-0000-0000CC020000}"/>
    <cellStyle name="Normal 18 14" xfId="700" xr:uid="{00000000-0005-0000-0000-0000CD020000}"/>
    <cellStyle name="Normal 18 14 2" xfId="701" xr:uid="{00000000-0005-0000-0000-0000CE020000}"/>
    <cellStyle name="Normal 18 14 3" xfId="702" xr:uid="{00000000-0005-0000-0000-0000CF020000}"/>
    <cellStyle name="Normal 18 14 4" xfId="703" xr:uid="{00000000-0005-0000-0000-0000D0020000}"/>
    <cellStyle name="Normal 18 14 5" xfId="704" xr:uid="{00000000-0005-0000-0000-0000D1020000}"/>
    <cellStyle name="Normal 18 14 6" xfId="705" xr:uid="{00000000-0005-0000-0000-0000D2020000}"/>
    <cellStyle name="Normal 18 14 7" xfId="706" xr:uid="{00000000-0005-0000-0000-0000D3020000}"/>
    <cellStyle name="Normal 18 15" xfId="707" xr:uid="{00000000-0005-0000-0000-0000D4020000}"/>
    <cellStyle name="Normal 18 15 2" xfId="708" xr:uid="{00000000-0005-0000-0000-0000D5020000}"/>
    <cellStyle name="Normal 18 15 3" xfId="709" xr:uid="{00000000-0005-0000-0000-0000D6020000}"/>
    <cellStyle name="Normal 18 15 4" xfId="710" xr:uid="{00000000-0005-0000-0000-0000D7020000}"/>
    <cellStyle name="Normal 18 15 5" xfId="711" xr:uid="{00000000-0005-0000-0000-0000D8020000}"/>
    <cellStyle name="Normal 18 15 6" xfId="712" xr:uid="{00000000-0005-0000-0000-0000D9020000}"/>
    <cellStyle name="Normal 18 15 7" xfId="713" xr:uid="{00000000-0005-0000-0000-0000DA020000}"/>
    <cellStyle name="Normal 18 16" xfId="714" xr:uid="{00000000-0005-0000-0000-0000DB020000}"/>
    <cellStyle name="Normal 18 16 2" xfId="715" xr:uid="{00000000-0005-0000-0000-0000DC020000}"/>
    <cellStyle name="Normal 18 16 3" xfId="716" xr:uid="{00000000-0005-0000-0000-0000DD020000}"/>
    <cellStyle name="Normal 18 16 4" xfId="717" xr:uid="{00000000-0005-0000-0000-0000DE020000}"/>
    <cellStyle name="Normal 18 16 5" xfId="718" xr:uid="{00000000-0005-0000-0000-0000DF020000}"/>
    <cellStyle name="Normal 18 16 6" xfId="719" xr:uid="{00000000-0005-0000-0000-0000E0020000}"/>
    <cellStyle name="Normal 18 16 7" xfId="720" xr:uid="{00000000-0005-0000-0000-0000E1020000}"/>
    <cellStyle name="Normal 18 17" xfId="721" xr:uid="{00000000-0005-0000-0000-0000E2020000}"/>
    <cellStyle name="Normal 18 17 2" xfId="722" xr:uid="{00000000-0005-0000-0000-0000E3020000}"/>
    <cellStyle name="Normal 18 17 3" xfId="723" xr:uid="{00000000-0005-0000-0000-0000E4020000}"/>
    <cellStyle name="Normal 18 17 4" xfId="724" xr:uid="{00000000-0005-0000-0000-0000E5020000}"/>
    <cellStyle name="Normal 18 17 5" xfId="725" xr:uid="{00000000-0005-0000-0000-0000E6020000}"/>
    <cellStyle name="Normal 18 17 6" xfId="726" xr:uid="{00000000-0005-0000-0000-0000E7020000}"/>
    <cellStyle name="Normal 18 17 7" xfId="727" xr:uid="{00000000-0005-0000-0000-0000E8020000}"/>
    <cellStyle name="Normal 18 18" xfId="728" xr:uid="{00000000-0005-0000-0000-0000E9020000}"/>
    <cellStyle name="Normal 18 18 2" xfId="729" xr:uid="{00000000-0005-0000-0000-0000EA020000}"/>
    <cellStyle name="Normal 18 18 3" xfId="730" xr:uid="{00000000-0005-0000-0000-0000EB020000}"/>
    <cellStyle name="Normal 18 18 4" xfId="731" xr:uid="{00000000-0005-0000-0000-0000EC020000}"/>
    <cellStyle name="Normal 18 18 5" xfId="732" xr:uid="{00000000-0005-0000-0000-0000ED020000}"/>
    <cellStyle name="Normal 18 18 6" xfId="733" xr:uid="{00000000-0005-0000-0000-0000EE020000}"/>
    <cellStyle name="Normal 18 18 7" xfId="734" xr:uid="{00000000-0005-0000-0000-0000EF020000}"/>
    <cellStyle name="Normal 18 19" xfId="735" xr:uid="{00000000-0005-0000-0000-0000F0020000}"/>
    <cellStyle name="Normal 18 19 2" xfId="736" xr:uid="{00000000-0005-0000-0000-0000F1020000}"/>
    <cellStyle name="Normal 18 19 3" xfId="737" xr:uid="{00000000-0005-0000-0000-0000F2020000}"/>
    <cellStyle name="Normal 18 19 4" xfId="738" xr:uid="{00000000-0005-0000-0000-0000F3020000}"/>
    <cellStyle name="Normal 18 19 5" xfId="739" xr:uid="{00000000-0005-0000-0000-0000F4020000}"/>
    <cellStyle name="Normal 18 19 6" xfId="740" xr:uid="{00000000-0005-0000-0000-0000F5020000}"/>
    <cellStyle name="Normal 18 19 7" xfId="741" xr:uid="{00000000-0005-0000-0000-0000F6020000}"/>
    <cellStyle name="Normal 18 2" xfId="742" xr:uid="{00000000-0005-0000-0000-0000F7020000}"/>
    <cellStyle name="Normal 18 2 2" xfId="743" xr:uid="{00000000-0005-0000-0000-0000F8020000}"/>
    <cellStyle name="Normal 18 2 3" xfId="744" xr:uid="{00000000-0005-0000-0000-0000F9020000}"/>
    <cellStyle name="Normal 18 2 4" xfId="745" xr:uid="{00000000-0005-0000-0000-0000FA020000}"/>
    <cellStyle name="Normal 18 2 5" xfId="746" xr:uid="{00000000-0005-0000-0000-0000FB020000}"/>
    <cellStyle name="Normal 18 2 6" xfId="747" xr:uid="{00000000-0005-0000-0000-0000FC020000}"/>
    <cellStyle name="Normal 18 2 7" xfId="748" xr:uid="{00000000-0005-0000-0000-0000FD020000}"/>
    <cellStyle name="Normal 18 20" xfId="749" xr:uid="{00000000-0005-0000-0000-0000FE020000}"/>
    <cellStyle name="Normal 18 20 2" xfId="750" xr:uid="{00000000-0005-0000-0000-0000FF020000}"/>
    <cellStyle name="Normal 18 20 3" xfId="751" xr:uid="{00000000-0005-0000-0000-000000030000}"/>
    <cellStyle name="Normal 18 20 4" xfId="752" xr:uid="{00000000-0005-0000-0000-000001030000}"/>
    <cellStyle name="Normal 18 20 5" xfId="753" xr:uid="{00000000-0005-0000-0000-000002030000}"/>
    <cellStyle name="Normal 18 20 6" xfId="754" xr:uid="{00000000-0005-0000-0000-000003030000}"/>
    <cellStyle name="Normal 18 20 7" xfId="755" xr:uid="{00000000-0005-0000-0000-000004030000}"/>
    <cellStyle name="Normal 18 21" xfId="756" xr:uid="{00000000-0005-0000-0000-000005030000}"/>
    <cellStyle name="Normal 18 21 2" xfId="757" xr:uid="{00000000-0005-0000-0000-000006030000}"/>
    <cellStyle name="Normal 18 21 3" xfId="758" xr:uid="{00000000-0005-0000-0000-000007030000}"/>
    <cellStyle name="Normal 18 21 4" xfId="759" xr:uid="{00000000-0005-0000-0000-000008030000}"/>
    <cellStyle name="Normal 18 21 5" xfId="760" xr:uid="{00000000-0005-0000-0000-000009030000}"/>
    <cellStyle name="Normal 18 21 6" xfId="761" xr:uid="{00000000-0005-0000-0000-00000A030000}"/>
    <cellStyle name="Normal 18 21 7" xfId="762" xr:uid="{00000000-0005-0000-0000-00000B030000}"/>
    <cellStyle name="Normal 18 22" xfId="763" xr:uid="{00000000-0005-0000-0000-00000C030000}"/>
    <cellStyle name="Normal 18 22 2" xfId="764" xr:uid="{00000000-0005-0000-0000-00000D030000}"/>
    <cellStyle name="Normal 18 22 3" xfId="765" xr:uid="{00000000-0005-0000-0000-00000E030000}"/>
    <cellStyle name="Normal 18 22 4" xfId="766" xr:uid="{00000000-0005-0000-0000-00000F030000}"/>
    <cellStyle name="Normal 18 22 5" xfId="767" xr:uid="{00000000-0005-0000-0000-000010030000}"/>
    <cellStyle name="Normal 18 22 6" xfId="768" xr:uid="{00000000-0005-0000-0000-000011030000}"/>
    <cellStyle name="Normal 18 22 7" xfId="769" xr:uid="{00000000-0005-0000-0000-000012030000}"/>
    <cellStyle name="Normal 18 23" xfId="770" xr:uid="{00000000-0005-0000-0000-000013030000}"/>
    <cellStyle name="Normal 18 23 2" xfId="771" xr:uid="{00000000-0005-0000-0000-000014030000}"/>
    <cellStyle name="Normal 18 23 3" xfId="772" xr:uid="{00000000-0005-0000-0000-000015030000}"/>
    <cellStyle name="Normal 18 23 4" xfId="773" xr:uid="{00000000-0005-0000-0000-000016030000}"/>
    <cellStyle name="Normal 18 23 5" xfId="774" xr:uid="{00000000-0005-0000-0000-000017030000}"/>
    <cellStyle name="Normal 18 23 6" xfId="775" xr:uid="{00000000-0005-0000-0000-000018030000}"/>
    <cellStyle name="Normal 18 23 7" xfId="776" xr:uid="{00000000-0005-0000-0000-000019030000}"/>
    <cellStyle name="Normal 18 24" xfId="777" xr:uid="{00000000-0005-0000-0000-00001A030000}"/>
    <cellStyle name="Normal 18 24 2" xfId="778" xr:uid="{00000000-0005-0000-0000-00001B030000}"/>
    <cellStyle name="Normal 18 24 3" xfId="779" xr:uid="{00000000-0005-0000-0000-00001C030000}"/>
    <cellStyle name="Normal 18 24 4" xfId="780" xr:uid="{00000000-0005-0000-0000-00001D030000}"/>
    <cellStyle name="Normal 18 24 5" xfId="781" xr:uid="{00000000-0005-0000-0000-00001E030000}"/>
    <cellStyle name="Normal 18 24 6" xfId="782" xr:uid="{00000000-0005-0000-0000-00001F030000}"/>
    <cellStyle name="Normal 18 24 7" xfId="783" xr:uid="{00000000-0005-0000-0000-000020030000}"/>
    <cellStyle name="Normal 18 25" xfId="784" xr:uid="{00000000-0005-0000-0000-000021030000}"/>
    <cellStyle name="Normal 18 25 2" xfId="785" xr:uid="{00000000-0005-0000-0000-000022030000}"/>
    <cellStyle name="Normal 18 25 3" xfId="786" xr:uid="{00000000-0005-0000-0000-000023030000}"/>
    <cellStyle name="Normal 18 25 4" xfId="787" xr:uid="{00000000-0005-0000-0000-000024030000}"/>
    <cellStyle name="Normal 18 25 5" xfId="788" xr:uid="{00000000-0005-0000-0000-000025030000}"/>
    <cellStyle name="Normal 18 25 6" xfId="789" xr:uid="{00000000-0005-0000-0000-000026030000}"/>
    <cellStyle name="Normal 18 25 7" xfId="790" xr:uid="{00000000-0005-0000-0000-000027030000}"/>
    <cellStyle name="Normal 18 26" xfId="791" xr:uid="{00000000-0005-0000-0000-000028030000}"/>
    <cellStyle name="Normal 18 26 2" xfId="792" xr:uid="{00000000-0005-0000-0000-000029030000}"/>
    <cellStyle name="Normal 18 26 3" xfId="793" xr:uid="{00000000-0005-0000-0000-00002A030000}"/>
    <cellStyle name="Normal 18 26 4" xfId="794" xr:uid="{00000000-0005-0000-0000-00002B030000}"/>
    <cellStyle name="Normal 18 26 5" xfId="795" xr:uid="{00000000-0005-0000-0000-00002C030000}"/>
    <cellStyle name="Normal 18 26 6" xfId="796" xr:uid="{00000000-0005-0000-0000-00002D030000}"/>
    <cellStyle name="Normal 18 26 7" xfId="797" xr:uid="{00000000-0005-0000-0000-00002E030000}"/>
    <cellStyle name="Normal 18 27" xfId="798" xr:uid="{00000000-0005-0000-0000-00002F030000}"/>
    <cellStyle name="Normal 18 27 2" xfId="799" xr:uid="{00000000-0005-0000-0000-000030030000}"/>
    <cellStyle name="Normal 18 27 3" xfId="800" xr:uid="{00000000-0005-0000-0000-000031030000}"/>
    <cellStyle name="Normal 18 27 4" xfId="801" xr:uid="{00000000-0005-0000-0000-000032030000}"/>
    <cellStyle name="Normal 18 27 5" xfId="802" xr:uid="{00000000-0005-0000-0000-000033030000}"/>
    <cellStyle name="Normal 18 27 6" xfId="803" xr:uid="{00000000-0005-0000-0000-000034030000}"/>
    <cellStyle name="Normal 18 27 7" xfId="804" xr:uid="{00000000-0005-0000-0000-000035030000}"/>
    <cellStyle name="Normal 18 28" xfId="805" xr:uid="{00000000-0005-0000-0000-000036030000}"/>
    <cellStyle name="Normal 18 28 2" xfId="806" xr:uid="{00000000-0005-0000-0000-000037030000}"/>
    <cellStyle name="Normal 18 28 3" xfId="807" xr:uid="{00000000-0005-0000-0000-000038030000}"/>
    <cellStyle name="Normal 18 28 4" xfId="808" xr:uid="{00000000-0005-0000-0000-000039030000}"/>
    <cellStyle name="Normal 18 28 5" xfId="809" xr:uid="{00000000-0005-0000-0000-00003A030000}"/>
    <cellStyle name="Normal 18 28 6" xfId="810" xr:uid="{00000000-0005-0000-0000-00003B030000}"/>
    <cellStyle name="Normal 18 28 7" xfId="811" xr:uid="{00000000-0005-0000-0000-00003C030000}"/>
    <cellStyle name="Normal 18 29" xfId="812" xr:uid="{00000000-0005-0000-0000-00003D030000}"/>
    <cellStyle name="Normal 18 29 2" xfId="813" xr:uid="{00000000-0005-0000-0000-00003E030000}"/>
    <cellStyle name="Normal 18 29 3" xfId="814" xr:uid="{00000000-0005-0000-0000-00003F030000}"/>
    <cellStyle name="Normal 18 29 4" xfId="815" xr:uid="{00000000-0005-0000-0000-000040030000}"/>
    <cellStyle name="Normal 18 29 5" xfId="816" xr:uid="{00000000-0005-0000-0000-000041030000}"/>
    <cellStyle name="Normal 18 29 6" xfId="817" xr:uid="{00000000-0005-0000-0000-000042030000}"/>
    <cellStyle name="Normal 18 29 7" xfId="818" xr:uid="{00000000-0005-0000-0000-000043030000}"/>
    <cellStyle name="Normal 18 3" xfId="819" xr:uid="{00000000-0005-0000-0000-000044030000}"/>
    <cellStyle name="Normal 18 3 2" xfId="820" xr:uid="{00000000-0005-0000-0000-000045030000}"/>
    <cellStyle name="Normal 18 3 3" xfId="821" xr:uid="{00000000-0005-0000-0000-000046030000}"/>
    <cellStyle name="Normal 18 3 4" xfId="822" xr:uid="{00000000-0005-0000-0000-000047030000}"/>
    <cellStyle name="Normal 18 3 5" xfId="823" xr:uid="{00000000-0005-0000-0000-000048030000}"/>
    <cellStyle name="Normal 18 3 6" xfId="824" xr:uid="{00000000-0005-0000-0000-000049030000}"/>
    <cellStyle name="Normal 18 3 7" xfId="825" xr:uid="{00000000-0005-0000-0000-00004A030000}"/>
    <cellStyle name="Normal 18 30" xfId="826" xr:uid="{00000000-0005-0000-0000-00004B030000}"/>
    <cellStyle name="Normal 18 31" xfId="827" xr:uid="{00000000-0005-0000-0000-00004C030000}"/>
    <cellStyle name="Normal 18 32" xfId="828" xr:uid="{00000000-0005-0000-0000-00004D030000}"/>
    <cellStyle name="Normal 18 33" xfId="829" xr:uid="{00000000-0005-0000-0000-00004E030000}"/>
    <cellStyle name="Normal 18 34" xfId="830" xr:uid="{00000000-0005-0000-0000-00004F030000}"/>
    <cellStyle name="Normal 18 35" xfId="831" xr:uid="{00000000-0005-0000-0000-000050030000}"/>
    <cellStyle name="Normal 18 4" xfId="832" xr:uid="{00000000-0005-0000-0000-000051030000}"/>
    <cellStyle name="Normal 18 4 2" xfId="833" xr:uid="{00000000-0005-0000-0000-000052030000}"/>
    <cellStyle name="Normal 18 4 3" xfId="834" xr:uid="{00000000-0005-0000-0000-000053030000}"/>
    <cellStyle name="Normal 18 4 4" xfId="835" xr:uid="{00000000-0005-0000-0000-000054030000}"/>
    <cellStyle name="Normal 18 4 5" xfId="836" xr:uid="{00000000-0005-0000-0000-000055030000}"/>
    <cellStyle name="Normal 18 4 6" xfId="837" xr:uid="{00000000-0005-0000-0000-000056030000}"/>
    <cellStyle name="Normal 18 4 7" xfId="838" xr:uid="{00000000-0005-0000-0000-000057030000}"/>
    <cellStyle name="Normal 18 5" xfId="839" xr:uid="{00000000-0005-0000-0000-000058030000}"/>
    <cellStyle name="Normal 18 5 2" xfId="840" xr:uid="{00000000-0005-0000-0000-000059030000}"/>
    <cellStyle name="Normal 18 5 3" xfId="841" xr:uid="{00000000-0005-0000-0000-00005A030000}"/>
    <cellStyle name="Normal 18 5 4" xfId="842" xr:uid="{00000000-0005-0000-0000-00005B030000}"/>
    <cellStyle name="Normal 18 5 5" xfId="843" xr:uid="{00000000-0005-0000-0000-00005C030000}"/>
    <cellStyle name="Normal 18 5 6" xfId="844" xr:uid="{00000000-0005-0000-0000-00005D030000}"/>
    <cellStyle name="Normal 18 5 7" xfId="845" xr:uid="{00000000-0005-0000-0000-00005E030000}"/>
    <cellStyle name="Normal 18 6" xfId="846" xr:uid="{00000000-0005-0000-0000-00005F030000}"/>
    <cellStyle name="Normal 18 6 2" xfId="847" xr:uid="{00000000-0005-0000-0000-000060030000}"/>
    <cellStyle name="Normal 18 6 3" xfId="848" xr:uid="{00000000-0005-0000-0000-000061030000}"/>
    <cellStyle name="Normal 18 6 4" xfId="849" xr:uid="{00000000-0005-0000-0000-000062030000}"/>
    <cellStyle name="Normal 18 6 5" xfId="850" xr:uid="{00000000-0005-0000-0000-000063030000}"/>
    <cellStyle name="Normal 18 6 6" xfId="851" xr:uid="{00000000-0005-0000-0000-000064030000}"/>
    <cellStyle name="Normal 18 6 7" xfId="852" xr:uid="{00000000-0005-0000-0000-000065030000}"/>
    <cellStyle name="Normal 18 7" xfId="853" xr:uid="{00000000-0005-0000-0000-000066030000}"/>
    <cellStyle name="Normal 18 7 2" xfId="854" xr:uid="{00000000-0005-0000-0000-000067030000}"/>
    <cellStyle name="Normal 18 7 3" xfId="855" xr:uid="{00000000-0005-0000-0000-000068030000}"/>
    <cellStyle name="Normal 18 7 4" xfId="856" xr:uid="{00000000-0005-0000-0000-000069030000}"/>
    <cellStyle name="Normal 18 7 5" xfId="857" xr:uid="{00000000-0005-0000-0000-00006A030000}"/>
    <cellStyle name="Normal 18 7 6" xfId="858" xr:uid="{00000000-0005-0000-0000-00006B030000}"/>
    <cellStyle name="Normal 18 7 7" xfId="859" xr:uid="{00000000-0005-0000-0000-00006C030000}"/>
    <cellStyle name="Normal 18 8" xfId="860" xr:uid="{00000000-0005-0000-0000-00006D030000}"/>
    <cellStyle name="Normal 18 8 2" xfId="861" xr:uid="{00000000-0005-0000-0000-00006E030000}"/>
    <cellStyle name="Normal 18 8 3" xfId="862" xr:uid="{00000000-0005-0000-0000-00006F030000}"/>
    <cellStyle name="Normal 18 8 4" xfId="863" xr:uid="{00000000-0005-0000-0000-000070030000}"/>
    <cellStyle name="Normal 18 8 5" xfId="864" xr:uid="{00000000-0005-0000-0000-000071030000}"/>
    <cellStyle name="Normal 18 8 6" xfId="865" xr:uid="{00000000-0005-0000-0000-000072030000}"/>
    <cellStyle name="Normal 18 8 7" xfId="866" xr:uid="{00000000-0005-0000-0000-000073030000}"/>
    <cellStyle name="Normal 18 9" xfId="867" xr:uid="{00000000-0005-0000-0000-000074030000}"/>
    <cellStyle name="Normal 18 9 2" xfId="868" xr:uid="{00000000-0005-0000-0000-000075030000}"/>
    <cellStyle name="Normal 18 9 3" xfId="869" xr:uid="{00000000-0005-0000-0000-000076030000}"/>
    <cellStyle name="Normal 18 9 4" xfId="870" xr:uid="{00000000-0005-0000-0000-000077030000}"/>
    <cellStyle name="Normal 18 9 5" xfId="871" xr:uid="{00000000-0005-0000-0000-000078030000}"/>
    <cellStyle name="Normal 18 9 6" xfId="872" xr:uid="{00000000-0005-0000-0000-000079030000}"/>
    <cellStyle name="Normal 18 9 7" xfId="873" xr:uid="{00000000-0005-0000-0000-00007A030000}"/>
    <cellStyle name="Normal 19" xfId="874" xr:uid="{00000000-0005-0000-0000-00007B030000}"/>
    <cellStyle name="Normal 19 10" xfId="875" xr:uid="{00000000-0005-0000-0000-00007C030000}"/>
    <cellStyle name="Normal 19 11" xfId="876" xr:uid="{00000000-0005-0000-0000-00007D030000}"/>
    <cellStyle name="Normal 19 2" xfId="877" xr:uid="{00000000-0005-0000-0000-00007E030000}"/>
    <cellStyle name="Normal 19 2 2" xfId="878" xr:uid="{00000000-0005-0000-0000-00007F030000}"/>
    <cellStyle name="Normal 19 2 3" xfId="879" xr:uid="{00000000-0005-0000-0000-000080030000}"/>
    <cellStyle name="Normal 19 2 4" xfId="880" xr:uid="{00000000-0005-0000-0000-000081030000}"/>
    <cellStyle name="Normal 19 2 5" xfId="881" xr:uid="{00000000-0005-0000-0000-000082030000}"/>
    <cellStyle name="Normal 19 2 6" xfId="882" xr:uid="{00000000-0005-0000-0000-000083030000}"/>
    <cellStyle name="Normal 19 2 7" xfId="883" xr:uid="{00000000-0005-0000-0000-000084030000}"/>
    <cellStyle name="Normal 19 3" xfId="884" xr:uid="{00000000-0005-0000-0000-000085030000}"/>
    <cellStyle name="Normal 19 3 2" xfId="885" xr:uid="{00000000-0005-0000-0000-000086030000}"/>
    <cellStyle name="Normal 19 3 3" xfId="886" xr:uid="{00000000-0005-0000-0000-000087030000}"/>
    <cellStyle name="Normal 19 3 4" xfId="887" xr:uid="{00000000-0005-0000-0000-000088030000}"/>
    <cellStyle name="Normal 19 3 5" xfId="888" xr:uid="{00000000-0005-0000-0000-000089030000}"/>
    <cellStyle name="Normal 19 3 6" xfId="889" xr:uid="{00000000-0005-0000-0000-00008A030000}"/>
    <cellStyle name="Normal 19 3 7" xfId="890" xr:uid="{00000000-0005-0000-0000-00008B030000}"/>
    <cellStyle name="Normal 19 4" xfId="891" xr:uid="{00000000-0005-0000-0000-00008C030000}"/>
    <cellStyle name="Normal 19 4 2" xfId="892" xr:uid="{00000000-0005-0000-0000-00008D030000}"/>
    <cellStyle name="Normal 19 4 3" xfId="893" xr:uid="{00000000-0005-0000-0000-00008E030000}"/>
    <cellStyle name="Normal 19 4 4" xfId="894" xr:uid="{00000000-0005-0000-0000-00008F030000}"/>
    <cellStyle name="Normal 19 4 5" xfId="895" xr:uid="{00000000-0005-0000-0000-000090030000}"/>
    <cellStyle name="Normal 19 4 6" xfId="896" xr:uid="{00000000-0005-0000-0000-000091030000}"/>
    <cellStyle name="Normal 19 4 7" xfId="897" xr:uid="{00000000-0005-0000-0000-000092030000}"/>
    <cellStyle name="Normal 19 5" xfId="898" xr:uid="{00000000-0005-0000-0000-000093030000}"/>
    <cellStyle name="Normal 19 5 2" xfId="899" xr:uid="{00000000-0005-0000-0000-000094030000}"/>
    <cellStyle name="Normal 19 5 3" xfId="900" xr:uid="{00000000-0005-0000-0000-000095030000}"/>
    <cellStyle name="Normal 19 5 4" xfId="901" xr:uid="{00000000-0005-0000-0000-000096030000}"/>
    <cellStyle name="Normal 19 5 5" xfId="902" xr:uid="{00000000-0005-0000-0000-000097030000}"/>
    <cellStyle name="Normal 19 5 6" xfId="903" xr:uid="{00000000-0005-0000-0000-000098030000}"/>
    <cellStyle name="Normal 19 5 7" xfId="904" xr:uid="{00000000-0005-0000-0000-000099030000}"/>
    <cellStyle name="Normal 19 6" xfId="905" xr:uid="{00000000-0005-0000-0000-00009A030000}"/>
    <cellStyle name="Normal 19 7" xfId="906" xr:uid="{00000000-0005-0000-0000-00009B030000}"/>
    <cellStyle name="Normal 19 8" xfId="907" xr:uid="{00000000-0005-0000-0000-00009C030000}"/>
    <cellStyle name="Normal 19 9" xfId="908" xr:uid="{00000000-0005-0000-0000-00009D030000}"/>
    <cellStyle name="Normal 2" xfId="909" xr:uid="{00000000-0005-0000-0000-00009E030000}"/>
    <cellStyle name="Normal 2 10" xfId="910" xr:uid="{00000000-0005-0000-0000-00009F030000}"/>
    <cellStyle name="Normal 2 11" xfId="911" xr:uid="{00000000-0005-0000-0000-0000A0030000}"/>
    <cellStyle name="Normal 2 12" xfId="912" xr:uid="{00000000-0005-0000-0000-0000A1030000}"/>
    <cellStyle name="Normal 2 12 2" xfId="2047" xr:uid="{00000000-0005-0000-0000-0000A2030000}"/>
    <cellStyle name="Normal 2 13" xfId="2048" xr:uid="{00000000-0005-0000-0000-0000A3030000}"/>
    <cellStyle name="Normal 2 14" xfId="2054" xr:uid="{00000000-0005-0000-0000-0000A4030000}"/>
    <cellStyle name="Normal 2 2" xfId="913" xr:uid="{00000000-0005-0000-0000-0000A5030000}"/>
    <cellStyle name="Normal 2 2 2" xfId="914" xr:uid="{00000000-0005-0000-0000-0000A6030000}"/>
    <cellStyle name="Normal 2 2 3" xfId="915" xr:uid="{00000000-0005-0000-0000-0000A7030000}"/>
    <cellStyle name="Normal 2 2 4" xfId="916" xr:uid="{00000000-0005-0000-0000-0000A8030000}"/>
    <cellStyle name="Normal 2 2 5" xfId="917" xr:uid="{00000000-0005-0000-0000-0000A9030000}"/>
    <cellStyle name="Normal 2 2 6" xfId="918" xr:uid="{00000000-0005-0000-0000-0000AA030000}"/>
    <cellStyle name="Normal 2 2 7" xfId="919" xr:uid="{00000000-0005-0000-0000-0000AB030000}"/>
    <cellStyle name="Normal 2 3" xfId="920" xr:uid="{00000000-0005-0000-0000-0000AC030000}"/>
    <cellStyle name="Normal 2 3 2" xfId="921" xr:uid="{00000000-0005-0000-0000-0000AD030000}"/>
    <cellStyle name="Normal 2 3 3" xfId="922" xr:uid="{00000000-0005-0000-0000-0000AE030000}"/>
    <cellStyle name="Normal 2 3 4" xfId="923" xr:uid="{00000000-0005-0000-0000-0000AF030000}"/>
    <cellStyle name="Normal 2 3 5" xfId="924" xr:uid="{00000000-0005-0000-0000-0000B0030000}"/>
    <cellStyle name="Normal 2 3 6" xfId="925" xr:uid="{00000000-0005-0000-0000-0000B1030000}"/>
    <cellStyle name="Normal 2 3 7" xfId="926" xr:uid="{00000000-0005-0000-0000-0000B2030000}"/>
    <cellStyle name="Normal 2 4" xfId="927" xr:uid="{00000000-0005-0000-0000-0000B3030000}"/>
    <cellStyle name="Normal 2 4 2" xfId="928" xr:uid="{00000000-0005-0000-0000-0000B4030000}"/>
    <cellStyle name="Normal 2 4 3" xfId="929" xr:uid="{00000000-0005-0000-0000-0000B5030000}"/>
    <cellStyle name="Normal 2 4 4" xfId="930" xr:uid="{00000000-0005-0000-0000-0000B6030000}"/>
    <cellStyle name="Normal 2 4 5" xfId="931" xr:uid="{00000000-0005-0000-0000-0000B7030000}"/>
    <cellStyle name="Normal 2 4 6" xfId="932" xr:uid="{00000000-0005-0000-0000-0000B8030000}"/>
    <cellStyle name="Normal 2 4 7" xfId="933" xr:uid="{00000000-0005-0000-0000-0000B9030000}"/>
    <cellStyle name="Normal 2 5" xfId="934" xr:uid="{00000000-0005-0000-0000-0000BA030000}"/>
    <cellStyle name="Normal 2 5 2" xfId="935" xr:uid="{00000000-0005-0000-0000-0000BB030000}"/>
    <cellStyle name="Normal 2 5 3" xfId="936" xr:uid="{00000000-0005-0000-0000-0000BC030000}"/>
    <cellStyle name="Normal 2 5 4" xfId="937" xr:uid="{00000000-0005-0000-0000-0000BD030000}"/>
    <cellStyle name="Normal 2 5 5" xfId="938" xr:uid="{00000000-0005-0000-0000-0000BE030000}"/>
    <cellStyle name="Normal 2 5 6" xfId="939" xr:uid="{00000000-0005-0000-0000-0000BF030000}"/>
    <cellStyle name="Normal 2 5 7" xfId="940" xr:uid="{00000000-0005-0000-0000-0000C0030000}"/>
    <cellStyle name="Normal 2 6" xfId="941" xr:uid="{00000000-0005-0000-0000-0000C1030000}"/>
    <cellStyle name="Normal 2 6 2" xfId="942" xr:uid="{00000000-0005-0000-0000-0000C2030000}"/>
    <cellStyle name="Normal 2 6 3" xfId="943" xr:uid="{00000000-0005-0000-0000-0000C3030000}"/>
    <cellStyle name="Normal 2 6 4" xfId="944" xr:uid="{00000000-0005-0000-0000-0000C4030000}"/>
    <cellStyle name="Normal 2 6 5" xfId="945" xr:uid="{00000000-0005-0000-0000-0000C5030000}"/>
    <cellStyle name="Normal 2 6 6" xfId="946" xr:uid="{00000000-0005-0000-0000-0000C6030000}"/>
    <cellStyle name="Normal 2 6 7" xfId="947" xr:uid="{00000000-0005-0000-0000-0000C7030000}"/>
    <cellStyle name="Normal 2 7" xfId="948" xr:uid="{00000000-0005-0000-0000-0000C8030000}"/>
    <cellStyle name="Normal 2 8" xfId="949" xr:uid="{00000000-0005-0000-0000-0000C9030000}"/>
    <cellStyle name="Normal 2 9" xfId="950" xr:uid="{00000000-0005-0000-0000-0000CA030000}"/>
    <cellStyle name="Normal 20" xfId="951" xr:uid="{00000000-0005-0000-0000-0000CB030000}"/>
    <cellStyle name="Normal 20 10" xfId="952" xr:uid="{00000000-0005-0000-0000-0000CC030000}"/>
    <cellStyle name="Normal 20 11" xfId="953" xr:uid="{00000000-0005-0000-0000-0000CD030000}"/>
    <cellStyle name="Normal 20 2" xfId="954" xr:uid="{00000000-0005-0000-0000-0000CE030000}"/>
    <cellStyle name="Normal 20 2 2" xfId="955" xr:uid="{00000000-0005-0000-0000-0000CF030000}"/>
    <cellStyle name="Normal 20 2 3" xfId="956" xr:uid="{00000000-0005-0000-0000-0000D0030000}"/>
    <cellStyle name="Normal 20 2 4" xfId="957" xr:uid="{00000000-0005-0000-0000-0000D1030000}"/>
    <cellStyle name="Normal 20 2 5" xfId="958" xr:uid="{00000000-0005-0000-0000-0000D2030000}"/>
    <cellStyle name="Normal 20 2 6" xfId="959" xr:uid="{00000000-0005-0000-0000-0000D3030000}"/>
    <cellStyle name="Normal 20 2 7" xfId="960" xr:uid="{00000000-0005-0000-0000-0000D4030000}"/>
    <cellStyle name="Normal 20 3" xfId="961" xr:uid="{00000000-0005-0000-0000-0000D5030000}"/>
    <cellStyle name="Normal 20 3 2" xfId="962" xr:uid="{00000000-0005-0000-0000-0000D6030000}"/>
    <cellStyle name="Normal 20 3 3" xfId="963" xr:uid="{00000000-0005-0000-0000-0000D7030000}"/>
    <cellStyle name="Normal 20 3 4" xfId="964" xr:uid="{00000000-0005-0000-0000-0000D8030000}"/>
    <cellStyle name="Normal 20 3 5" xfId="965" xr:uid="{00000000-0005-0000-0000-0000D9030000}"/>
    <cellStyle name="Normal 20 3 6" xfId="966" xr:uid="{00000000-0005-0000-0000-0000DA030000}"/>
    <cellStyle name="Normal 20 3 7" xfId="967" xr:uid="{00000000-0005-0000-0000-0000DB030000}"/>
    <cellStyle name="Normal 20 4" xfId="968" xr:uid="{00000000-0005-0000-0000-0000DC030000}"/>
    <cellStyle name="Normal 20 4 2" xfId="969" xr:uid="{00000000-0005-0000-0000-0000DD030000}"/>
    <cellStyle name="Normal 20 4 3" xfId="970" xr:uid="{00000000-0005-0000-0000-0000DE030000}"/>
    <cellStyle name="Normal 20 4 4" xfId="971" xr:uid="{00000000-0005-0000-0000-0000DF030000}"/>
    <cellStyle name="Normal 20 4 5" xfId="972" xr:uid="{00000000-0005-0000-0000-0000E0030000}"/>
    <cellStyle name="Normal 20 4 6" xfId="973" xr:uid="{00000000-0005-0000-0000-0000E1030000}"/>
    <cellStyle name="Normal 20 4 7" xfId="974" xr:uid="{00000000-0005-0000-0000-0000E2030000}"/>
    <cellStyle name="Normal 20 5" xfId="975" xr:uid="{00000000-0005-0000-0000-0000E3030000}"/>
    <cellStyle name="Normal 20 5 2" xfId="976" xr:uid="{00000000-0005-0000-0000-0000E4030000}"/>
    <cellStyle name="Normal 20 5 3" xfId="977" xr:uid="{00000000-0005-0000-0000-0000E5030000}"/>
    <cellStyle name="Normal 20 5 4" xfId="978" xr:uid="{00000000-0005-0000-0000-0000E6030000}"/>
    <cellStyle name="Normal 20 5 5" xfId="979" xr:uid="{00000000-0005-0000-0000-0000E7030000}"/>
    <cellStyle name="Normal 20 5 6" xfId="980" xr:uid="{00000000-0005-0000-0000-0000E8030000}"/>
    <cellStyle name="Normal 20 5 7" xfId="981" xr:uid="{00000000-0005-0000-0000-0000E9030000}"/>
    <cellStyle name="Normal 20 6" xfId="982" xr:uid="{00000000-0005-0000-0000-0000EA030000}"/>
    <cellStyle name="Normal 20 7" xfId="983" xr:uid="{00000000-0005-0000-0000-0000EB030000}"/>
    <cellStyle name="Normal 20 8" xfId="984" xr:uid="{00000000-0005-0000-0000-0000EC030000}"/>
    <cellStyle name="Normal 20 9" xfId="985" xr:uid="{00000000-0005-0000-0000-0000ED030000}"/>
    <cellStyle name="Normal 21" xfId="986" xr:uid="{00000000-0005-0000-0000-0000EE030000}"/>
    <cellStyle name="Normal 21 10" xfId="987" xr:uid="{00000000-0005-0000-0000-0000EF030000}"/>
    <cellStyle name="Normal 21 11" xfId="988" xr:uid="{00000000-0005-0000-0000-0000F0030000}"/>
    <cellStyle name="Normal 21 2" xfId="989" xr:uid="{00000000-0005-0000-0000-0000F1030000}"/>
    <cellStyle name="Normal 21 2 2" xfId="990" xr:uid="{00000000-0005-0000-0000-0000F2030000}"/>
    <cellStyle name="Normal 21 2 3" xfId="991" xr:uid="{00000000-0005-0000-0000-0000F3030000}"/>
    <cellStyle name="Normal 21 2 4" xfId="992" xr:uid="{00000000-0005-0000-0000-0000F4030000}"/>
    <cellStyle name="Normal 21 2 5" xfId="993" xr:uid="{00000000-0005-0000-0000-0000F5030000}"/>
    <cellStyle name="Normal 21 2 6" xfId="994" xr:uid="{00000000-0005-0000-0000-0000F6030000}"/>
    <cellStyle name="Normal 21 2 7" xfId="995" xr:uid="{00000000-0005-0000-0000-0000F7030000}"/>
    <cellStyle name="Normal 21 3" xfId="996" xr:uid="{00000000-0005-0000-0000-0000F8030000}"/>
    <cellStyle name="Normal 21 3 2" xfId="997" xr:uid="{00000000-0005-0000-0000-0000F9030000}"/>
    <cellStyle name="Normal 21 3 3" xfId="998" xr:uid="{00000000-0005-0000-0000-0000FA030000}"/>
    <cellStyle name="Normal 21 3 4" xfId="999" xr:uid="{00000000-0005-0000-0000-0000FB030000}"/>
    <cellStyle name="Normal 21 3 5" xfId="1000" xr:uid="{00000000-0005-0000-0000-0000FC030000}"/>
    <cellStyle name="Normal 21 3 6" xfId="1001" xr:uid="{00000000-0005-0000-0000-0000FD030000}"/>
    <cellStyle name="Normal 21 3 7" xfId="1002" xr:uid="{00000000-0005-0000-0000-0000FE030000}"/>
    <cellStyle name="Normal 21 4" xfId="1003" xr:uid="{00000000-0005-0000-0000-0000FF030000}"/>
    <cellStyle name="Normal 21 4 2" xfId="1004" xr:uid="{00000000-0005-0000-0000-000000040000}"/>
    <cellStyle name="Normal 21 4 3" xfId="1005" xr:uid="{00000000-0005-0000-0000-000001040000}"/>
    <cellStyle name="Normal 21 4 4" xfId="1006" xr:uid="{00000000-0005-0000-0000-000002040000}"/>
    <cellStyle name="Normal 21 4 5" xfId="1007" xr:uid="{00000000-0005-0000-0000-000003040000}"/>
    <cellStyle name="Normal 21 4 6" xfId="1008" xr:uid="{00000000-0005-0000-0000-000004040000}"/>
    <cellStyle name="Normal 21 4 7" xfId="1009" xr:uid="{00000000-0005-0000-0000-000005040000}"/>
    <cellStyle name="Normal 21 5" xfId="1010" xr:uid="{00000000-0005-0000-0000-000006040000}"/>
    <cellStyle name="Normal 21 5 2" xfId="1011" xr:uid="{00000000-0005-0000-0000-000007040000}"/>
    <cellStyle name="Normal 21 5 3" xfId="1012" xr:uid="{00000000-0005-0000-0000-000008040000}"/>
    <cellStyle name="Normal 21 5 4" xfId="1013" xr:uid="{00000000-0005-0000-0000-000009040000}"/>
    <cellStyle name="Normal 21 5 5" xfId="1014" xr:uid="{00000000-0005-0000-0000-00000A040000}"/>
    <cellStyle name="Normal 21 5 6" xfId="1015" xr:uid="{00000000-0005-0000-0000-00000B040000}"/>
    <cellStyle name="Normal 21 5 7" xfId="1016" xr:uid="{00000000-0005-0000-0000-00000C040000}"/>
    <cellStyle name="Normal 21 6" xfId="1017" xr:uid="{00000000-0005-0000-0000-00000D040000}"/>
    <cellStyle name="Normal 21 7" xfId="1018" xr:uid="{00000000-0005-0000-0000-00000E040000}"/>
    <cellStyle name="Normal 21 8" xfId="1019" xr:uid="{00000000-0005-0000-0000-00000F040000}"/>
    <cellStyle name="Normal 21 9" xfId="1020" xr:uid="{00000000-0005-0000-0000-000010040000}"/>
    <cellStyle name="Normal 22" xfId="1021" xr:uid="{00000000-0005-0000-0000-000011040000}"/>
    <cellStyle name="Normal 22 10" xfId="1022" xr:uid="{00000000-0005-0000-0000-000012040000}"/>
    <cellStyle name="Normal 22 11" xfId="1023" xr:uid="{00000000-0005-0000-0000-000013040000}"/>
    <cellStyle name="Normal 22 2" xfId="1024" xr:uid="{00000000-0005-0000-0000-000014040000}"/>
    <cellStyle name="Normal 22 2 2" xfId="1025" xr:uid="{00000000-0005-0000-0000-000015040000}"/>
    <cellStyle name="Normal 22 2 3" xfId="1026" xr:uid="{00000000-0005-0000-0000-000016040000}"/>
    <cellStyle name="Normal 22 2 4" xfId="1027" xr:uid="{00000000-0005-0000-0000-000017040000}"/>
    <cellStyle name="Normal 22 2 5" xfId="1028" xr:uid="{00000000-0005-0000-0000-000018040000}"/>
    <cellStyle name="Normal 22 2 6" xfId="1029" xr:uid="{00000000-0005-0000-0000-000019040000}"/>
    <cellStyle name="Normal 22 2 7" xfId="1030" xr:uid="{00000000-0005-0000-0000-00001A040000}"/>
    <cellStyle name="Normal 22 3" xfId="1031" xr:uid="{00000000-0005-0000-0000-00001B040000}"/>
    <cellStyle name="Normal 22 3 2" xfId="1032" xr:uid="{00000000-0005-0000-0000-00001C040000}"/>
    <cellStyle name="Normal 22 3 3" xfId="1033" xr:uid="{00000000-0005-0000-0000-00001D040000}"/>
    <cellStyle name="Normal 22 3 4" xfId="1034" xr:uid="{00000000-0005-0000-0000-00001E040000}"/>
    <cellStyle name="Normal 22 3 5" xfId="1035" xr:uid="{00000000-0005-0000-0000-00001F040000}"/>
    <cellStyle name="Normal 22 3 6" xfId="1036" xr:uid="{00000000-0005-0000-0000-000020040000}"/>
    <cellStyle name="Normal 22 3 7" xfId="1037" xr:uid="{00000000-0005-0000-0000-000021040000}"/>
    <cellStyle name="Normal 22 4" xfId="1038" xr:uid="{00000000-0005-0000-0000-000022040000}"/>
    <cellStyle name="Normal 22 4 2" xfId="1039" xr:uid="{00000000-0005-0000-0000-000023040000}"/>
    <cellStyle name="Normal 22 4 3" xfId="1040" xr:uid="{00000000-0005-0000-0000-000024040000}"/>
    <cellStyle name="Normal 22 4 4" xfId="1041" xr:uid="{00000000-0005-0000-0000-000025040000}"/>
    <cellStyle name="Normal 22 4 5" xfId="1042" xr:uid="{00000000-0005-0000-0000-000026040000}"/>
    <cellStyle name="Normal 22 4 6" xfId="1043" xr:uid="{00000000-0005-0000-0000-000027040000}"/>
    <cellStyle name="Normal 22 4 7" xfId="1044" xr:uid="{00000000-0005-0000-0000-000028040000}"/>
    <cellStyle name="Normal 22 5" xfId="1045" xr:uid="{00000000-0005-0000-0000-000029040000}"/>
    <cellStyle name="Normal 22 5 2" xfId="1046" xr:uid="{00000000-0005-0000-0000-00002A040000}"/>
    <cellStyle name="Normal 22 5 3" xfId="1047" xr:uid="{00000000-0005-0000-0000-00002B040000}"/>
    <cellStyle name="Normal 22 5 4" xfId="1048" xr:uid="{00000000-0005-0000-0000-00002C040000}"/>
    <cellStyle name="Normal 22 5 5" xfId="1049" xr:uid="{00000000-0005-0000-0000-00002D040000}"/>
    <cellStyle name="Normal 22 5 6" xfId="1050" xr:uid="{00000000-0005-0000-0000-00002E040000}"/>
    <cellStyle name="Normal 22 5 7" xfId="1051" xr:uid="{00000000-0005-0000-0000-00002F040000}"/>
    <cellStyle name="Normal 22 6" xfId="1052" xr:uid="{00000000-0005-0000-0000-000030040000}"/>
    <cellStyle name="Normal 22 7" xfId="1053" xr:uid="{00000000-0005-0000-0000-000031040000}"/>
    <cellStyle name="Normal 22 8" xfId="1054" xr:uid="{00000000-0005-0000-0000-000032040000}"/>
    <cellStyle name="Normal 22 9" xfId="1055" xr:uid="{00000000-0005-0000-0000-000033040000}"/>
    <cellStyle name="Normal 23" xfId="1056" xr:uid="{00000000-0005-0000-0000-000034040000}"/>
    <cellStyle name="Normal 23 10" xfId="1057" xr:uid="{00000000-0005-0000-0000-000035040000}"/>
    <cellStyle name="Normal 23 11" xfId="1058" xr:uid="{00000000-0005-0000-0000-000036040000}"/>
    <cellStyle name="Normal 23 2" xfId="1059" xr:uid="{00000000-0005-0000-0000-000037040000}"/>
    <cellStyle name="Normal 23 2 2" xfId="1060" xr:uid="{00000000-0005-0000-0000-000038040000}"/>
    <cellStyle name="Normal 23 2 3" xfId="1061" xr:uid="{00000000-0005-0000-0000-000039040000}"/>
    <cellStyle name="Normal 23 2 4" xfId="1062" xr:uid="{00000000-0005-0000-0000-00003A040000}"/>
    <cellStyle name="Normal 23 2 5" xfId="1063" xr:uid="{00000000-0005-0000-0000-00003B040000}"/>
    <cellStyle name="Normal 23 2 6" xfId="1064" xr:uid="{00000000-0005-0000-0000-00003C040000}"/>
    <cellStyle name="Normal 23 2 7" xfId="1065" xr:uid="{00000000-0005-0000-0000-00003D040000}"/>
    <cellStyle name="Normal 23 3" xfId="1066" xr:uid="{00000000-0005-0000-0000-00003E040000}"/>
    <cellStyle name="Normal 23 3 2" xfId="1067" xr:uid="{00000000-0005-0000-0000-00003F040000}"/>
    <cellStyle name="Normal 23 3 3" xfId="1068" xr:uid="{00000000-0005-0000-0000-000040040000}"/>
    <cellStyle name="Normal 23 3 4" xfId="1069" xr:uid="{00000000-0005-0000-0000-000041040000}"/>
    <cellStyle name="Normal 23 3 5" xfId="1070" xr:uid="{00000000-0005-0000-0000-000042040000}"/>
    <cellStyle name="Normal 23 3 6" xfId="1071" xr:uid="{00000000-0005-0000-0000-000043040000}"/>
    <cellStyle name="Normal 23 3 7" xfId="1072" xr:uid="{00000000-0005-0000-0000-000044040000}"/>
    <cellStyle name="Normal 23 4" xfId="1073" xr:uid="{00000000-0005-0000-0000-000045040000}"/>
    <cellStyle name="Normal 23 4 2" xfId="1074" xr:uid="{00000000-0005-0000-0000-000046040000}"/>
    <cellStyle name="Normal 23 4 3" xfId="1075" xr:uid="{00000000-0005-0000-0000-000047040000}"/>
    <cellStyle name="Normal 23 4 4" xfId="1076" xr:uid="{00000000-0005-0000-0000-000048040000}"/>
    <cellStyle name="Normal 23 4 5" xfId="1077" xr:uid="{00000000-0005-0000-0000-000049040000}"/>
    <cellStyle name="Normal 23 4 6" xfId="1078" xr:uid="{00000000-0005-0000-0000-00004A040000}"/>
    <cellStyle name="Normal 23 4 7" xfId="1079" xr:uid="{00000000-0005-0000-0000-00004B040000}"/>
    <cellStyle name="Normal 23 5" xfId="1080" xr:uid="{00000000-0005-0000-0000-00004C040000}"/>
    <cellStyle name="Normal 23 5 2" xfId="1081" xr:uid="{00000000-0005-0000-0000-00004D040000}"/>
    <cellStyle name="Normal 23 5 3" xfId="1082" xr:uid="{00000000-0005-0000-0000-00004E040000}"/>
    <cellStyle name="Normal 23 5 4" xfId="1083" xr:uid="{00000000-0005-0000-0000-00004F040000}"/>
    <cellStyle name="Normal 23 5 5" xfId="1084" xr:uid="{00000000-0005-0000-0000-000050040000}"/>
    <cellStyle name="Normal 23 5 6" xfId="1085" xr:uid="{00000000-0005-0000-0000-000051040000}"/>
    <cellStyle name="Normal 23 5 7" xfId="1086" xr:uid="{00000000-0005-0000-0000-000052040000}"/>
    <cellStyle name="Normal 23 6" xfId="1087" xr:uid="{00000000-0005-0000-0000-000053040000}"/>
    <cellStyle name="Normal 23 7" xfId="1088" xr:uid="{00000000-0005-0000-0000-000054040000}"/>
    <cellStyle name="Normal 23 8" xfId="1089" xr:uid="{00000000-0005-0000-0000-000055040000}"/>
    <cellStyle name="Normal 23 9" xfId="1090" xr:uid="{00000000-0005-0000-0000-000056040000}"/>
    <cellStyle name="Normal 24" xfId="1091" xr:uid="{00000000-0005-0000-0000-000057040000}"/>
    <cellStyle name="Normal 25" xfId="2042" xr:uid="{00000000-0005-0000-0000-000058040000}"/>
    <cellStyle name="Normal 26" xfId="2043" xr:uid="{00000000-0005-0000-0000-000059040000}"/>
    <cellStyle name="Normal 27" xfId="2044" xr:uid="{00000000-0005-0000-0000-00005A040000}"/>
    <cellStyle name="Normal 28" xfId="2071" xr:uid="{00000000-0005-0000-0000-00005B040000}"/>
    <cellStyle name="Normal 3" xfId="1092" xr:uid="{00000000-0005-0000-0000-00005C040000}"/>
    <cellStyle name="Normal 3 10" xfId="1093" xr:uid="{00000000-0005-0000-0000-00005D040000}"/>
    <cellStyle name="Normal 3 10 2" xfId="1094" xr:uid="{00000000-0005-0000-0000-00005E040000}"/>
    <cellStyle name="Normal 3 10 3" xfId="1095" xr:uid="{00000000-0005-0000-0000-00005F040000}"/>
    <cellStyle name="Normal 3 10 4" xfId="1096" xr:uid="{00000000-0005-0000-0000-000060040000}"/>
    <cellStyle name="Normal 3 10 5" xfId="1097" xr:uid="{00000000-0005-0000-0000-000061040000}"/>
    <cellStyle name="Normal 3 10 6" xfId="1098" xr:uid="{00000000-0005-0000-0000-000062040000}"/>
    <cellStyle name="Normal 3 10 7" xfId="1099" xr:uid="{00000000-0005-0000-0000-000063040000}"/>
    <cellStyle name="Normal 3 11" xfId="1100" xr:uid="{00000000-0005-0000-0000-000064040000}"/>
    <cellStyle name="Normal 3 11 2" xfId="1101" xr:uid="{00000000-0005-0000-0000-000065040000}"/>
    <cellStyle name="Normal 3 11 3" xfId="1102" xr:uid="{00000000-0005-0000-0000-000066040000}"/>
    <cellStyle name="Normal 3 11 4" xfId="1103" xr:uid="{00000000-0005-0000-0000-000067040000}"/>
    <cellStyle name="Normal 3 11 5" xfId="1104" xr:uid="{00000000-0005-0000-0000-000068040000}"/>
    <cellStyle name="Normal 3 11 6" xfId="1105" xr:uid="{00000000-0005-0000-0000-000069040000}"/>
    <cellStyle name="Normal 3 11 7" xfId="1106" xr:uid="{00000000-0005-0000-0000-00006A040000}"/>
    <cellStyle name="Normal 3 12" xfId="1107" xr:uid="{00000000-0005-0000-0000-00006B040000}"/>
    <cellStyle name="Normal 3 12 2" xfId="1108" xr:uid="{00000000-0005-0000-0000-00006C040000}"/>
    <cellStyle name="Normal 3 12 3" xfId="1109" xr:uid="{00000000-0005-0000-0000-00006D040000}"/>
    <cellStyle name="Normal 3 12 4" xfId="1110" xr:uid="{00000000-0005-0000-0000-00006E040000}"/>
    <cellStyle name="Normal 3 12 5" xfId="1111" xr:uid="{00000000-0005-0000-0000-00006F040000}"/>
    <cellStyle name="Normal 3 12 6" xfId="1112" xr:uid="{00000000-0005-0000-0000-000070040000}"/>
    <cellStyle name="Normal 3 12 7" xfId="1113" xr:uid="{00000000-0005-0000-0000-000071040000}"/>
    <cellStyle name="Normal 3 13" xfId="1114" xr:uid="{00000000-0005-0000-0000-000072040000}"/>
    <cellStyle name="Normal 3 13 2" xfId="1115" xr:uid="{00000000-0005-0000-0000-000073040000}"/>
    <cellStyle name="Normal 3 13 3" xfId="1116" xr:uid="{00000000-0005-0000-0000-000074040000}"/>
    <cellStyle name="Normal 3 13 4" xfId="1117" xr:uid="{00000000-0005-0000-0000-000075040000}"/>
    <cellStyle name="Normal 3 13 5" xfId="1118" xr:uid="{00000000-0005-0000-0000-000076040000}"/>
    <cellStyle name="Normal 3 13 6" xfId="1119" xr:uid="{00000000-0005-0000-0000-000077040000}"/>
    <cellStyle name="Normal 3 13 7" xfId="1120" xr:uid="{00000000-0005-0000-0000-000078040000}"/>
    <cellStyle name="Normal 3 14" xfId="1121" xr:uid="{00000000-0005-0000-0000-000079040000}"/>
    <cellStyle name="Normal 3 14 2" xfId="1122" xr:uid="{00000000-0005-0000-0000-00007A040000}"/>
    <cellStyle name="Normal 3 14 3" xfId="1123" xr:uid="{00000000-0005-0000-0000-00007B040000}"/>
    <cellStyle name="Normal 3 14 4" xfId="1124" xr:uid="{00000000-0005-0000-0000-00007C040000}"/>
    <cellStyle name="Normal 3 14 5" xfId="1125" xr:uid="{00000000-0005-0000-0000-00007D040000}"/>
    <cellStyle name="Normal 3 14 6" xfId="1126" xr:uid="{00000000-0005-0000-0000-00007E040000}"/>
    <cellStyle name="Normal 3 14 7" xfId="1127" xr:uid="{00000000-0005-0000-0000-00007F040000}"/>
    <cellStyle name="Normal 3 15" xfId="1128" xr:uid="{00000000-0005-0000-0000-000080040000}"/>
    <cellStyle name="Normal 3 15 2" xfId="1129" xr:uid="{00000000-0005-0000-0000-000081040000}"/>
    <cellStyle name="Normal 3 15 3" xfId="1130" xr:uid="{00000000-0005-0000-0000-000082040000}"/>
    <cellStyle name="Normal 3 15 4" xfId="1131" xr:uid="{00000000-0005-0000-0000-000083040000}"/>
    <cellStyle name="Normal 3 15 5" xfId="1132" xr:uid="{00000000-0005-0000-0000-000084040000}"/>
    <cellStyle name="Normal 3 15 6" xfId="1133" xr:uid="{00000000-0005-0000-0000-000085040000}"/>
    <cellStyle name="Normal 3 15 7" xfId="1134" xr:uid="{00000000-0005-0000-0000-000086040000}"/>
    <cellStyle name="Normal 3 16" xfId="1135" xr:uid="{00000000-0005-0000-0000-000087040000}"/>
    <cellStyle name="Normal 3 16 2" xfId="1136" xr:uid="{00000000-0005-0000-0000-000088040000}"/>
    <cellStyle name="Normal 3 16 3" xfId="1137" xr:uid="{00000000-0005-0000-0000-000089040000}"/>
    <cellStyle name="Normal 3 16 4" xfId="1138" xr:uid="{00000000-0005-0000-0000-00008A040000}"/>
    <cellStyle name="Normal 3 16 5" xfId="1139" xr:uid="{00000000-0005-0000-0000-00008B040000}"/>
    <cellStyle name="Normal 3 16 6" xfId="1140" xr:uid="{00000000-0005-0000-0000-00008C040000}"/>
    <cellStyle name="Normal 3 16 7" xfId="1141" xr:uid="{00000000-0005-0000-0000-00008D040000}"/>
    <cellStyle name="Normal 3 17" xfId="1142" xr:uid="{00000000-0005-0000-0000-00008E040000}"/>
    <cellStyle name="Normal 3 17 2" xfId="1143" xr:uid="{00000000-0005-0000-0000-00008F040000}"/>
    <cellStyle name="Normal 3 17 3" xfId="1144" xr:uid="{00000000-0005-0000-0000-000090040000}"/>
    <cellStyle name="Normal 3 17 4" xfId="1145" xr:uid="{00000000-0005-0000-0000-000091040000}"/>
    <cellStyle name="Normal 3 17 5" xfId="1146" xr:uid="{00000000-0005-0000-0000-000092040000}"/>
    <cellStyle name="Normal 3 17 6" xfId="1147" xr:uid="{00000000-0005-0000-0000-000093040000}"/>
    <cellStyle name="Normal 3 17 7" xfId="1148" xr:uid="{00000000-0005-0000-0000-000094040000}"/>
    <cellStyle name="Normal 3 18" xfId="1149" xr:uid="{00000000-0005-0000-0000-000095040000}"/>
    <cellStyle name="Normal 3 18 2" xfId="1150" xr:uid="{00000000-0005-0000-0000-000096040000}"/>
    <cellStyle name="Normal 3 18 3" xfId="1151" xr:uid="{00000000-0005-0000-0000-000097040000}"/>
    <cellStyle name="Normal 3 18 4" xfId="1152" xr:uid="{00000000-0005-0000-0000-000098040000}"/>
    <cellStyle name="Normal 3 18 5" xfId="1153" xr:uid="{00000000-0005-0000-0000-000099040000}"/>
    <cellStyle name="Normal 3 18 6" xfId="1154" xr:uid="{00000000-0005-0000-0000-00009A040000}"/>
    <cellStyle name="Normal 3 18 7" xfId="1155" xr:uid="{00000000-0005-0000-0000-00009B040000}"/>
    <cellStyle name="Normal 3 19" xfId="1156" xr:uid="{00000000-0005-0000-0000-00009C040000}"/>
    <cellStyle name="Normal 3 19 2" xfId="1157" xr:uid="{00000000-0005-0000-0000-00009D040000}"/>
    <cellStyle name="Normal 3 19 3" xfId="1158" xr:uid="{00000000-0005-0000-0000-00009E040000}"/>
    <cellStyle name="Normal 3 19 4" xfId="1159" xr:uid="{00000000-0005-0000-0000-00009F040000}"/>
    <cellStyle name="Normal 3 19 5" xfId="1160" xr:uid="{00000000-0005-0000-0000-0000A0040000}"/>
    <cellStyle name="Normal 3 19 6" xfId="1161" xr:uid="{00000000-0005-0000-0000-0000A1040000}"/>
    <cellStyle name="Normal 3 19 7" xfId="1162" xr:uid="{00000000-0005-0000-0000-0000A2040000}"/>
    <cellStyle name="Normal 3 2" xfId="1163" xr:uid="{00000000-0005-0000-0000-0000A3040000}"/>
    <cellStyle name="Normal 3 2 2" xfId="1164" xr:uid="{00000000-0005-0000-0000-0000A4040000}"/>
    <cellStyle name="Normal 3 2 3" xfId="1165" xr:uid="{00000000-0005-0000-0000-0000A5040000}"/>
    <cellStyle name="Normal 3 2 4" xfId="1166" xr:uid="{00000000-0005-0000-0000-0000A6040000}"/>
    <cellStyle name="Normal 3 2 5" xfId="1167" xr:uid="{00000000-0005-0000-0000-0000A7040000}"/>
    <cellStyle name="Normal 3 2 6" xfId="1168" xr:uid="{00000000-0005-0000-0000-0000A8040000}"/>
    <cellStyle name="Normal 3 2 7" xfId="1169" xr:uid="{00000000-0005-0000-0000-0000A9040000}"/>
    <cellStyle name="Normal 3 20" xfId="1170" xr:uid="{00000000-0005-0000-0000-0000AA040000}"/>
    <cellStyle name="Normal 3 20 2" xfId="1171" xr:uid="{00000000-0005-0000-0000-0000AB040000}"/>
    <cellStyle name="Normal 3 20 3" xfId="1172" xr:uid="{00000000-0005-0000-0000-0000AC040000}"/>
    <cellStyle name="Normal 3 20 4" xfId="1173" xr:uid="{00000000-0005-0000-0000-0000AD040000}"/>
    <cellStyle name="Normal 3 20 5" xfId="1174" xr:uid="{00000000-0005-0000-0000-0000AE040000}"/>
    <cellStyle name="Normal 3 20 6" xfId="1175" xr:uid="{00000000-0005-0000-0000-0000AF040000}"/>
    <cellStyle name="Normal 3 20 7" xfId="1176" xr:uid="{00000000-0005-0000-0000-0000B0040000}"/>
    <cellStyle name="Normal 3 21" xfId="1177" xr:uid="{00000000-0005-0000-0000-0000B1040000}"/>
    <cellStyle name="Normal 3 21 2" xfId="1178" xr:uid="{00000000-0005-0000-0000-0000B2040000}"/>
    <cellStyle name="Normal 3 21 2 2" xfId="1179" xr:uid="{00000000-0005-0000-0000-0000B3040000}"/>
    <cellStyle name="Normal 3 21 2 2 2" xfId="1180" xr:uid="{00000000-0005-0000-0000-0000B4040000}"/>
    <cellStyle name="Normal 3 21 2 3" xfId="1181" xr:uid="{00000000-0005-0000-0000-0000B5040000}"/>
    <cellStyle name="Normal 3 21 2 4" xfId="1182" xr:uid="{00000000-0005-0000-0000-0000B6040000}"/>
    <cellStyle name="Normal 3 21 3" xfId="1183" xr:uid="{00000000-0005-0000-0000-0000B7040000}"/>
    <cellStyle name="Normal 3 21 3 2" xfId="1184" xr:uid="{00000000-0005-0000-0000-0000B8040000}"/>
    <cellStyle name="Normal 3 21 3 3" xfId="1185" xr:uid="{00000000-0005-0000-0000-0000B9040000}"/>
    <cellStyle name="Normal 3 21 4" xfId="1186" xr:uid="{00000000-0005-0000-0000-0000BA040000}"/>
    <cellStyle name="Normal 3 21 5" xfId="1187" xr:uid="{00000000-0005-0000-0000-0000BB040000}"/>
    <cellStyle name="Normal 3 21 6" xfId="1188" xr:uid="{00000000-0005-0000-0000-0000BC040000}"/>
    <cellStyle name="Normal 3 21 7" xfId="1189" xr:uid="{00000000-0005-0000-0000-0000BD040000}"/>
    <cellStyle name="Normal 3 21 8" xfId="1190" xr:uid="{00000000-0005-0000-0000-0000BE040000}"/>
    <cellStyle name="Normal 3 21 9" xfId="1191" xr:uid="{00000000-0005-0000-0000-0000BF040000}"/>
    <cellStyle name="Normal 3 22" xfId="1192" xr:uid="{00000000-0005-0000-0000-0000C0040000}"/>
    <cellStyle name="Normal 3 22 2" xfId="1193" xr:uid="{00000000-0005-0000-0000-0000C1040000}"/>
    <cellStyle name="Normal 3 22 2 2" xfId="1194" xr:uid="{00000000-0005-0000-0000-0000C2040000}"/>
    <cellStyle name="Normal 3 22 2 2 2" xfId="1195" xr:uid="{00000000-0005-0000-0000-0000C3040000}"/>
    <cellStyle name="Normal 3 22 2 3" xfId="1196" xr:uid="{00000000-0005-0000-0000-0000C4040000}"/>
    <cellStyle name="Normal 3 22 2 4" xfId="1197" xr:uid="{00000000-0005-0000-0000-0000C5040000}"/>
    <cellStyle name="Normal 3 22 3" xfId="1198" xr:uid="{00000000-0005-0000-0000-0000C6040000}"/>
    <cellStyle name="Normal 3 22 3 2" xfId="1199" xr:uid="{00000000-0005-0000-0000-0000C7040000}"/>
    <cellStyle name="Normal 3 22 3 3" xfId="1200" xr:uid="{00000000-0005-0000-0000-0000C8040000}"/>
    <cellStyle name="Normal 3 22 4" xfId="1201" xr:uid="{00000000-0005-0000-0000-0000C9040000}"/>
    <cellStyle name="Normal 3 22 5" xfId="1202" xr:uid="{00000000-0005-0000-0000-0000CA040000}"/>
    <cellStyle name="Normal 3 22 6" xfId="1203" xr:uid="{00000000-0005-0000-0000-0000CB040000}"/>
    <cellStyle name="Normal 3 22 7" xfId="1204" xr:uid="{00000000-0005-0000-0000-0000CC040000}"/>
    <cellStyle name="Normal 3 22 8" xfId="1205" xr:uid="{00000000-0005-0000-0000-0000CD040000}"/>
    <cellStyle name="Normal 3 22 9" xfId="1206" xr:uid="{00000000-0005-0000-0000-0000CE040000}"/>
    <cellStyle name="Normal 3 23" xfId="1207" xr:uid="{00000000-0005-0000-0000-0000CF040000}"/>
    <cellStyle name="Normal 3 23 2" xfId="1208" xr:uid="{00000000-0005-0000-0000-0000D0040000}"/>
    <cellStyle name="Normal 3 23 2 2" xfId="1209" xr:uid="{00000000-0005-0000-0000-0000D1040000}"/>
    <cellStyle name="Normal 3 23 2 2 2" xfId="1210" xr:uid="{00000000-0005-0000-0000-0000D2040000}"/>
    <cellStyle name="Normal 3 23 2 3" xfId="1211" xr:uid="{00000000-0005-0000-0000-0000D3040000}"/>
    <cellStyle name="Normal 3 23 2 4" xfId="1212" xr:uid="{00000000-0005-0000-0000-0000D4040000}"/>
    <cellStyle name="Normal 3 23 3" xfId="1213" xr:uid="{00000000-0005-0000-0000-0000D5040000}"/>
    <cellStyle name="Normal 3 23 3 2" xfId="1214" xr:uid="{00000000-0005-0000-0000-0000D6040000}"/>
    <cellStyle name="Normal 3 23 3 3" xfId="1215" xr:uid="{00000000-0005-0000-0000-0000D7040000}"/>
    <cellStyle name="Normal 3 23 4" xfId="1216" xr:uid="{00000000-0005-0000-0000-0000D8040000}"/>
    <cellStyle name="Normal 3 23 5" xfId="1217" xr:uid="{00000000-0005-0000-0000-0000D9040000}"/>
    <cellStyle name="Normal 3 23 6" xfId="1218" xr:uid="{00000000-0005-0000-0000-0000DA040000}"/>
    <cellStyle name="Normal 3 23 7" xfId="1219" xr:uid="{00000000-0005-0000-0000-0000DB040000}"/>
    <cellStyle name="Normal 3 23 8" xfId="1220" xr:uid="{00000000-0005-0000-0000-0000DC040000}"/>
    <cellStyle name="Normal 3 23 9" xfId="1221" xr:uid="{00000000-0005-0000-0000-0000DD040000}"/>
    <cellStyle name="Normal 3 24" xfId="1222" xr:uid="{00000000-0005-0000-0000-0000DE040000}"/>
    <cellStyle name="Normal 3 24 2" xfId="1223" xr:uid="{00000000-0005-0000-0000-0000DF040000}"/>
    <cellStyle name="Normal 3 24 2 2" xfId="1224" xr:uid="{00000000-0005-0000-0000-0000E0040000}"/>
    <cellStyle name="Normal 3 24 2 2 2" xfId="1225" xr:uid="{00000000-0005-0000-0000-0000E1040000}"/>
    <cellStyle name="Normal 3 24 2 3" xfId="1226" xr:uid="{00000000-0005-0000-0000-0000E2040000}"/>
    <cellStyle name="Normal 3 24 2 4" xfId="1227" xr:uid="{00000000-0005-0000-0000-0000E3040000}"/>
    <cellStyle name="Normal 3 24 3" xfId="1228" xr:uid="{00000000-0005-0000-0000-0000E4040000}"/>
    <cellStyle name="Normal 3 24 3 2" xfId="1229" xr:uid="{00000000-0005-0000-0000-0000E5040000}"/>
    <cellStyle name="Normal 3 24 3 3" xfId="1230" xr:uid="{00000000-0005-0000-0000-0000E6040000}"/>
    <cellStyle name="Normal 3 24 4" xfId="1231" xr:uid="{00000000-0005-0000-0000-0000E7040000}"/>
    <cellStyle name="Normal 3 24 5" xfId="1232" xr:uid="{00000000-0005-0000-0000-0000E8040000}"/>
    <cellStyle name="Normal 3 24 6" xfId="1233" xr:uid="{00000000-0005-0000-0000-0000E9040000}"/>
    <cellStyle name="Normal 3 24 7" xfId="1234" xr:uid="{00000000-0005-0000-0000-0000EA040000}"/>
    <cellStyle name="Normal 3 24 8" xfId="1235" xr:uid="{00000000-0005-0000-0000-0000EB040000}"/>
    <cellStyle name="Normal 3 24 9" xfId="1236" xr:uid="{00000000-0005-0000-0000-0000EC040000}"/>
    <cellStyle name="Normal 3 25" xfId="1237" xr:uid="{00000000-0005-0000-0000-0000ED040000}"/>
    <cellStyle name="Normal 3 25 2" xfId="1238" xr:uid="{00000000-0005-0000-0000-0000EE040000}"/>
    <cellStyle name="Normal 3 25 2 2" xfId="1239" xr:uid="{00000000-0005-0000-0000-0000EF040000}"/>
    <cellStyle name="Normal 3 25 2 2 2" xfId="1240" xr:uid="{00000000-0005-0000-0000-0000F0040000}"/>
    <cellStyle name="Normal 3 25 2 3" xfId="1241" xr:uid="{00000000-0005-0000-0000-0000F1040000}"/>
    <cellStyle name="Normal 3 25 2 4" xfId="1242" xr:uid="{00000000-0005-0000-0000-0000F2040000}"/>
    <cellStyle name="Normal 3 25 3" xfId="1243" xr:uid="{00000000-0005-0000-0000-0000F3040000}"/>
    <cellStyle name="Normal 3 25 3 2" xfId="1244" xr:uid="{00000000-0005-0000-0000-0000F4040000}"/>
    <cellStyle name="Normal 3 25 3 3" xfId="1245" xr:uid="{00000000-0005-0000-0000-0000F5040000}"/>
    <cellStyle name="Normal 3 25 4" xfId="1246" xr:uid="{00000000-0005-0000-0000-0000F6040000}"/>
    <cellStyle name="Normal 3 25 5" xfId="1247" xr:uid="{00000000-0005-0000-0000-0000F7040000}"/>
    <cellStyle name="Normal 3 25 6" xfId="1248" xr:uid="{00000000-0005-0000-0000-0000F8040000}"/>
    <cellStyle name="Normal 3 25 7" xfId="1249" xr:uid="{00000000-0005-0000-0000-0000F9040000}"/>
    <cellStyle name="Normal 3 25 8" xfId="1250" xr:uid="{00000000-0005-0000-0000-0000FA040000}"/>
    <cellStyle name="Normal 3 25 9" xfId="1251" xr:uid="{00000000-0005-0000-0000-0000FB040000}"/>
    <cellStyle name="Normal 3 26" xfId="1252" xr:uid="{00000000-0005-0000-0000-0000FC040000}"/>
    <cellStyle name="Normal 3 26 2" xfId="1253" xr:uid="{00000000-0005-0000-0000-0000FD040000}"/>
    <cellStyle name="Normal 3 26 3" xfId="1254" xr:uid="{00000000-0005-0000-0000-0000FE040000}"/>
    <cellStyle name="Normal 3 26 4" xfId="1255" xr:uid="{00000000-0005-0000-0000-0000FF040000}"/>
    <cellStyle name="Normal 3 26 5" xfId="1256" xr:uid="{00000000-0005-0000-0000-000000050000}"/>
    <cellStyle name="Normal 3 26 6" xfId="1257" xr:uid="{00000000-0005-0000-0000-000001050000}"/>
    <cellStyle name="Normal 3 26 7" xfId="1258" xr:uid="{00000000-0005-0000-0000-000002050000}"/>
    <cellStyle name="Normal 3 27" xfId="1259" xr:uid="{00000000-0005-0000-0000-000003050000}"/>
    <cellStyle name="Normal 3 27 2" xfId="1260" xr:uid="{00000000-0005-0000-0000-000004050000}"/>
    <cellStyle name="Normal 3 27 3" xfId="1261" xr:uid="{00000000-0005-0000-0000-000005050000}"/>
    <cellStyle name="Normal 3 27 4" xfId="1262" xr:uid="{00000000-0005-0000-0000-000006050000}"/>
    <cellStyle name="Normal 3 27 5" xfId="1263" xr:uid="{00000000-0005-0000-0000-000007050000}"/>
    <cellStyle name="Normal 3 27 6" xfId="1264" xr:uid="{00000000-0005-0000-0000-000008050000}"/>
    <cellStyle name="Normal 3 27 7" xfId="1265" xr:uid="{00000000-0005-0000-0000-000009050000}"/>
    <cellStyle name="Normal 3 28" xfId="1266" xr:uid="{00000000-0005-0000-0000-00000A050000}"/>
    <cellStyle name="Normal 3 28 2" xfId="1267" xr:uid="{00000000-0005-0000-0000-00000B050000}"/>
    <cellStyle name="Normal 3 28 3" xfId="1268" xr:uid="{00000000-0005-0000-0000-00000C050000}"/>
    <cellStyle name="Normal 3 28 4" xfId="1269" xr:uid="{00000000-0005-0000-0000-00000D050000}"/>
    <cellStyle name="Normal 3 28 5" xfId="1270" xr:uid="{00000000-0005-0000-0000-00000E050000}"/>
    <cellStyle name="Normal 3 28 6" xfId="1271" xr:uid="{00000000-0005-0000-0000-00000F050000}"/>
    <cellStyle name="Normal 3 28 7" xfId="1272" xr:uid="{00000000-0005-0000-0000-000010050000}"/>
    <cellStyle name="Normal 3 29" xfId="1273" xr:uid="{00000000-0005-0000-0000-000011050000}"/>
    <cellStyle name="Normal 3 29 2" xfId="1274" xr:uid="{00000000-0005-0000-0000-000012050000}"/>
    <cellStyle name="Normal 3 29 3" xfId="1275" xr:uid="{00000000-0005-0000-0000-000013050000}"/>
    <cellStyle name="Normal 3 29 4" xfId="1276" xr:uid="{00000000-0005-0000-0000-000014050000}"/>
    <cellStyle name="Normal 3 29 5" xfId="1277" xr:uid="{00000000-0005-0000-0000-000015050000}"/>
    <cellStyle name="Normal 3 29 6" xfId="1278" xr:uid="{00000000-0005-0000-0000-000016050000}"/>
    <cellStyle name="Normal 3 29 7" xfId="1279" xr:uid="{00000000-0005-0000-0000-000017050000}"/>
    <cellStyle name="Normal 3 3" xfId="1280" xr:uid="{00000000-0005-0000-0000-000018050000}"/>
    <cellStyle name="Normal 3 3 2" xfId="1281" xr:uid="{00000000-0005-0000-0000-000019050000}"/>
    <cellStyle name="Normal 3 3 3" xfId="1282" xr:uid="{00000000-0005-0000-0000-00001A050000}"/>
    <cellStyle name="Normal 3 3 4" xfId="1283" xr:uid="{00000000-0005-0000-0000-00001B050000}"/>
    <cellStyle name="Normal 3 3 5" xfId="1284" xr:uid="{00000000-0005-0000-0000-00001C050000}"/>
    <cellStyle name="Normal 3 3 6" xfId="1285" xr:uid="{00000000-0005-0000-0000-00001D050000}"/>
    <cellStyle name="Normal 3 3 7" xfId="1286" xr:uid="{00000000-0005-0000-0000-00001E050000}"/>
    <cellStyle name="Normal 3 30" xfId="1287" xr:uid="{00000000-0005-0000-0000-00001F050000}"/>
    <cellStyle name="Normal 3 30 2" xfId="1288" xr:uid="{00000000-0005-0000-0000-000020050000}"/>
    <cellStyle name="Normal 3 30 2 2" xfId="1289" xr:uid="{00000000-0005-0000-0000-000021050000}"/>
    <cellStyle name="Normal 3 30 3" xfId="1290" xr:uid="{00000000-0005-0000-0000-000022050000}"/>
    <cellStyle name="Normal 3 30 4" xfId="1291" xr:uid="{00000000-0005-0000-0000-000023050000}"/>
    <cellStyle name="Normal 3 31" xfId="1292" xr:uid="{00000000-0005-0000-0000-000024050000}"/>
    <cellStyle name="Normal 3 31 2" xfId="1293" xr:uid="{00000000-0005-0000-0000-000025050000}"/>
    <cellStyle name="Normal 3 31 3" xfId="1294" xr:uid="{00000000-0005-0000-0000-000026050000}"/>
    <cellStyle name="Normal 3 32" xfId="1295" xr:uid="{00000000-0005-0000-0000-000027050000}"/>
    <cellStyle name="Normal 3 33" xfId="1296" xr:uid="{00000000-0005-0000-0000-000028050000}"/>
    <cellStyle name="Normal 3 34" xfId="1297" xr:uid="{00000000-0005-0000-0000-000029050000}"/>
    <cellStyle name="Normal 3 35" xfId="1298" xr:uid="{00000000-0005-0000-0000-00002A050000}"/>
    <cellStyle name="Normal 3 36" xfId="1299" xr:uid="{00000000-0005-0000-0000-00002B050000}"/>
    <cellStyle name="Normal 3 37" xfId="1300" xr:uid="{00000000-0005-0000-0000-00002C050000}"/>
    <cellStyle name="Normal 3 4" xfId="1301" xr:uid="{00000000-0005-0000-0000-00002D050000}"/>
    <cellStyle name="Normal 3 4 2" xfId="1302" xr:uid="{00000000-0005-0000-0000-00002E050000}"/>
    <cellStyle name="Normal 3 4 3" xfId="1303" xr:uid="{00000000-0005-0000-0000-00002F050000}"/>
    <cellStyle name="Normal 3 4 4" xfId="1304" xr:uid="{00000000-0005-0000-0000-000030050000}"/>
    <cellStyle name="Normal 3 4 5" xfId="1305" xr:uid="{00000000-0005-0000-0000-000031050000}"/>
    <cellStyle name="Normal 3 4 6" xfId="1306" xr:uid="{00000000-0005-0000-0000-000032050000}"/>
    <cellStyle name="Normal 3 4 7" xfId="1307" xr:uid="{00000000-0005-0000-0000-000033050000}"/>
    <cellStyle name="Normal 3 5" xfId="1308" xr:uid="{00000000-0005-0000-0000-000034050000}"/>
    <cellStyle name="Normal 3 5 2" xfId="1309" xr:uid="{00000000-0005-0000-0000-000035050000}"/>
    <cellStyle name="Normal 3 5 3" xfId="1310" xr:uid="{00000000-0005-0000-0000-000036050000}"/>
    <cellStyle name="Normal 3 5 4" xfId="1311" xr:uid="{00000000-0005-0000-0000-000037050000}"/>
    <cellStyle name="Normal 3 5 5" xfId="1312" xr:uid="{00000000-0005-0000-0000-000038050000}"/>
    <cellStyle name="Normal 3 5 6" xfId="1313" xr:uid="{00000000-0005-0000-0000-000039050000}"/>
    <cellStyle name="Normal 3 5 7" xfId="1314" xr:uid="{00000000-0005-0000-0000-00003A050000}"/>
    <cellStyle name="Normal 3 6" xfId="1315" xr:uid="{00000000-0005-0000-0000-00003B050000}"/>
    <cellStyle name="Normal 3 6 2" xfId="1316" xr:uid="{00000000-0005-0000-0000-00003C050000}"/>
    <cellStyle name="Normal 3 6 3" xfId="1317" xr:uid="{00000000-0005-0000-0000-00003D050000}"/>
    <cellStyle name="Normal 3 6 4" xfId="1318" xr:uid="{00000000-0005-0000-0000-00003E050000}"/>
    <cellStyle name="Normal 3 6 5" xfId="1319" xr:uid="{00000000-0005-0000-0000-00003F050000}"/>
    <cellStyle name="Normal 3 6 6" xfId="1320" xr:uid="{00000000-0005-0000-0000-000040050000}"/>
    <cellStyle name="Normal 3 6 7" xfId="1321" xr:uid="{00000000-0005-0000-0000-000041050000}"/>
    <cellStyle name="Normal 3 7" xfId="1322" xr:uid="{00000000-0005-0000-0000-000042050000}"/>
    <cellStyle name="Normal 3 7 2" xfId="1323" xr:uid="{00000000-0005-0000-0000-000043050000}"/>
    <cellStyle name="Normal 3 7 3" xfId="1324" xr:uid="{00000000-0005-0000-0000-000044050000}"/>
    <cellStyle name="Normal 3 7 4" xfId="1325" xr:uid="{00000000-0005-0000-0000-000045050000}"/>
    <cellStyle name="Normal 3 7 5" xfId="1326" xr:uid="{00000000-0005-0000-0000-000046050000}"/>
    <cellStyle name="Normal 3 7 6" xfId="1327" xr:uid="{00000000-0005-0000-0000-000047050000}"/>
    <cellStyle name="Normal 3 7 7" xfId="1328" xr:uid="{00000000-0005-0000-0000-000048050000}"/>
    <cellStyle name="Normal 3 8" xfId="1329" xr:uid="{00000000-0005-0000-0000-000049050000}"/>
    <cellStyle name="Normal 3 8 2" xfId="1330" xr:uid="{00000000-0005-0000-0000-00004A050000}"/>
    <cellStyle name="Normal 3 8 3" xfId="1331" xr:uid="{00000000-0005-0000-0000-00004B050000}"/>
    <cellStyle name="Normal 3 8 4" xfId="1332" xr:uid="{00000000-0005-0000-0000-00004C050000}"/>
    <cellStyle name="Normal 3 8 5" xfId="1333" xr:uid="{00000000-0005-0000-0000-00004D050000}"/>
    <cellStyle name="Normal 3 8 6" xfId="1334" xr:uid="{00000000-0005-0000-0000-00004E050000}"/>
    <cellStyle name="Normal 3 8 7" xfId="1335" xr:uid="{00000000-0005-0000-0000-00004F050000}"/>
    <cellStyle name="Normal 3 9" xfId="1336" xr:uid="{00000000-0005-0000-0000-000050050000}"/>
    <cellStyle name="Normal 3 9 2" xfId="1337" xr:uid="{00000000-0005-0000-0000-000051050000}"/>
    <cellStyle name="Normal 3 9 3" xfId="1338" xr:uid="{00000000-0005-0000-0000-000052050000}"/>
    <cellStyle name="Normal 3 9 4" xfId="1339" xr:uid="{00000000-0005-0000-0000-000053050000}"/>
    <cellStyle name="Normal 3 9 5" xfId="1340" xr:uid="{00000000-0005-0000-0000-000054050000}"/>
    <cellStyle name="Normal 3 9 6" xfId="1341" xr:uid="{00000000-0005-0000-0000-000055050000}"/>
    <cellStyle name="Normal 3 9 7" xfId="1342" xr:uid="{00000000-0005-0000-0000-000056050000}"/>
    <cellStyle name="Normal 32" xfId="1343" xr:uid="{00000000-0005-0000-0000-000057050000}"/>
    <cellStyle name="Normal 33" xfId="1344" xr:uid="{00000000-0005-0000-0000-000058050000}"/>
    <cellStyle name="Normal 34" xfId="1345" xr:uid="{00000000-0005-0000-0000-000059050000}"/>
    <cellStyle name="Normal 4" xfId="1346" xr:uid="{00000000-0005-0000-0000-00005A050000}"/>
    <cellStyle name="Normal 4 10" xfId="1347" xr:uid="{00000000-0005-0000-0000-00005B050000}"/>
    <cellStyle name="Normal 4 10 2" xfId="1348" xr:uid="{00000000-0005-0000-0000-00005C050000}"/>
    <cellStyle name="Normal 4 10 3" xfId="1349" xr:uid="{00000000-0005-0000-0000-00005D050000}"/>
    <cellStyle name="Normal 4 10 4" xfId="1350" xr:uid="{00000000-0005-0000-0000-00005E050000}"/>
    <cellStyle name="Normal 4 10 5" xfId="1351" xr:uid="{00000000-0005-0000-0000-00005F050000}"/>
    <cellStyle name="Normal 4 10 6" xfId="1352" xr:uid="{00000000-0005-0000-0000-000060050000}"/>
    <cellStyle name="Normal 4 10 7" xfId="1353" xr:uid="{00000000-0005-0000-0000-000061050000}"/>
    <cellStyle name="Normal 4 11" xfId="1354" xr:uid="{00000000-0005-0000-0000-000062050000}"/>
    <cellStyle name="Normal 4 11 2" xfId="1355" xr:uid="{00000000-0005-0000-0000-000063050000}"/>
    <cellStyle name="Normal 4 11 3" xfId="1356" xr:uid="{00000000-0005-0000-0000-000064050000}"/>
    <cellStyle name="Normal 4 11 4" xfId="1357" xr:uid="{00000000-0005-0000-0000-000065050000}"/>
    <cellStyle name="Normal 4 11 5" xfId="1358" xr:uid="{00000000-0005-0000-0000-000066050000}"/>
    <cellStyle name="Normal 4 11 6" xfId="1359" xr:uid="{00000000-0005-0000-0000-000067050000}"/>
    <cellStyle name="Normal 4 11 7" xfId="1360" xr:uid="{00000000-0005-0000-0000-000068050000}"/>
    <cellStyle name="Normal 4 12" xfId="1361" xr:uid="{00000000-0005-0000-0000-000069050000}"/>
    <cellStyle name="Normal 4 12 2" xfId="1362" xr:uid="{00000000-0005-0000-0000-00006A050000}"/>
    <cellStyle name="Normal 4 12 3" xfId="1363" xr:uid="{00000000-0005-0000-0000-00006B050000}"/>
    <cellStyle name="Normal 4 12 4" xfId="1364" xr:uid="{00000000-0005-0000-0000-00006C050000}"/>
    <cellStyle name="Normal 4 12 5" xfId="1365" xr:uid="{00000000-0005-0000-0000-00006D050000}"/>
    <cellStyle name="Normal 4 12 6" xfId="1366" xr:uid="{00000000-0005-0000-0000-00006E050000}"/>
    <cellStyle name="Normal 4 12 7" xfId="1367" xr:uid="{00000000-0005-0000-0000-00006F050000}"/>
    <cellStyle name="Normal 4 13" xfId="1368" xr:uid="{00000000-0005-0000-0000-000070050000}"/>
    <cellStyle name="Normal 4 13 2" xfId="1369" xr:uid="{00000000-0005-0000-0000-000071050000}"/>
    <cellStyle name="Normal 4 13 3" xfId="1370" xr:uid="{00000000-0005-0000-0000-000072050000}"/>
    <cellStyle name="Normal 4 13 4" xfId="1371" xr:uid="{00000000-0005-0000-0000-000073050000}"/>
    <cellStyle name="Normal 4 13 5" xfId="1372" xr:uid="{00000000-0005-0000-0000-000074050000}"/>
    <cellStyle name="Normal 4 13 6" xfId="1373" xr:uid="{00000000-0005-0000-0000-000075050000}"/>
    <cellStyle name="Normal 4 13 7" xfId="1374" xr:uid="{00000000-0005-0000-0000-000076050000}"/>
    <cellStyle name="Normal 4 14" xfId="1375" xr:uid="{00000000-0005-0000-0000-000077050000}"/>
    <cellStyle name="Normal 4 14 2" xfId="1376" xr:uid="{00000000-0005-0000-0000-000078050000}"/>
    <cellStyle name="Normal 4 14 3" xfId="1377" xr:uid="{00000000-0005-0000-0000-000079050000}"/>
    <cellStyle name="Normal 4 14 4" xfId="1378" xr:uid="{00000000-0005-0000-0000-00007A050000}"/>
    <cellStyle name="Normal 4 14 5" xfId="1379" xr:uid="{00000000-0005-0000-0000-00007B050000}"/>
    <cellStyle name="Normal 4 14 6" xfId="1380" xr:uid="{00000000-0005-0000-0000-00007C050000}"/>
    <cellStyle name="Normal 4 14 7" xfId="1381" xr:uid="{00000000-0005-0000-0000-00007D050000}"/>
    <cellStyle name="Normal 4 15" xfId="1382" xr:uid="{00000000-0005-0000-0000-00007E050000}"/>
    <cellStyle name="Normal 4 15 2" xfId="1383" xr:uid="{00000000-0005-0000-0000-00007F050000}"/>
    <cellStyle name="Normal 4 15 3" xfId="1384" xr:uid="{00000000-0005-0000-0000-000080050000}"/>
    <cellStyle name="Normal 4 15 4" xfId="1385" xr:uid="{00000000-0005-0000-0000-000081050000}"/>
    <cellStyle name="Normal 4 15 5" xfId="1386" xr:uid="{00000000-0005-0000-0000-000082050000}"/>
    <cellStyle name="Normal 4 15 6" xfId="1387" xr:uid="{00000000-0005-0000-0000-000083050000}"/>
    <cellStyle name="Normal 4 15 7" xfId="1388" xr:uid="{00000000-0005-0000-0000-000084050000}"/>
    <cellStyle name="Normal 4 16" xfId="1389" xr:uid="{00000000-0005-0000-0000-000085050000}"/>
    <cellStyle name="Normal 4 16 2" xfId="1390" xr:uid="{00000000-0005-0000-0000-000086050000}"/>
    <cellStyle name="Normal 4 16 3" xfId="1391" xr:uid="{00000000-0005-0000-0000-000087050000}"/>
    <cellStyle name="Normal 4 16 4" xfId="1392" xr:uid="{00000000-0005-0000-0000-000088050000}"/>
    <cellStyle name="Normal 4 16 5" xfId="1393" xr:uid="{00000000-0005-0000-0000-000089050000}"/>
    <cellStyle name="Normal 4 16 6" xfId="1394" xr:uid="{00000000-0005-0000-0000-00008A050000}"/>
    <cellStyle name="Normal 4 16 7" xfId="1395" xr:uid="{00000000-0005-0000-0000-00008B050000}"/>
    <cellStyle name="Normal 4 17" xfId="1396" xr:uid="{00000000-0005-0000-0000-00008C050000}"/>
    <cellStyle name="Normal 4 17 2" xfId="1397" xr:uid="{00000000-0005-0000-0000-00008D050000}"/>
    <cellStyle name="Normal 4 17 3" xfId="1398" xr:uid="{00000000-0005-0000-0000-00008E050000}"/>
    <cellStyle name="Normal 4 17 4" xfId="1399" xr:uid="{00000000-0005-0000-0000-00008F050000}"/>
    <cellStyle name="Normal 4 17 5" xfId="1400" xr:uid="{00000000-0005-0000-0000-000090050000}"/>
    <cellStyle name="Normal 4 17 6" xfId="1401" xr:uid="{00000000-0005-0000-0000-000091050000}"/>
    <cellStyle name="Normal 4 17 7" xfId="1402" xr:uid="{00000000-0005-0000-0000-000092050000}"/>
    <cellStyle name="Normal 4 18" xfId="1403" xr:uid="{00000000-0005-0000-0000-000093050000}"/>
    <cellStyle name="Normal 4 18 2" xfId="1404" xr:uid="{00000000-0005-0000-0000-000094050000}"/>
    <cellStyle name="Normal 4 18 3" xfId="1405" xr:uid="{00000000-0005-0000-0000-000095050000}"/>
    <cellStyle name="Normal 4 18 4" xfId="1406" xr:uid="{00000000-0005-0000-0000-000096050000}"/>
    <cellStyle name="Normal 4 18 5" xfId="1407" xr:uid="{00000000-0005-0000-0000-000097050000}"/>
    <cellStyle name="Normal 4 18 6" xfId="1408" xr:uid="{00000000-0005-0000-0000-000098050000}"/>
    <cellStyle name="Normal 4 18 7" xfId="1409" xr:uid="{00000000-0005-0000-0000-000099050000}"/>
    <cellStyle name="Normal 4 19" xfId="1410" xr:uid="{00000000-0005-0000-0000-00009A050000}"/>
    <cellStyle name="Normal 4 19 2" xfId="1411" xr:uid="{00000000-0005-0000-0000-00009B050000}"/>
    <cellStyle name="Normal 4 19 3" xfId="1412" xr:uid="{00000000-0005-0000-0000-00009C050000}"/>
    <cellStyle name="Normal 4 19 4" xfId="1413" xr:uid="{00000000-0005-0000-0000-00009D050000}"/>
    <cellStyle name="Normal 4 19 5" xfId="1414" xr:uid="{00000000-0005-0000-0000-00009E050000}"/>
    <cellStyle name="Normal 4 19 6" xfId="1415" xr:uid="{00000000-0005-0000-0000-00009F050000}"/>
    <cellStyle name="Normal 4 19 7" xfId="1416" xr:uid="{00000000-0005-0000-0000-0000A0050000}"/>
    <cellStyle name="Normal 4 2" xfId="1417" xr:uid="{00000000-0005-0000-0000-0000A1050000}"/>
    <cellStyle name="Normal 4 2 10" xfId="1418" xr:uid="{00000000-0005-0000-0000-0000A2050000}"/>
    <cellStyle name="Normal 4 2 11" xfId="1419" xr:uid="{00000000-0005-0000-0000-0000A3050000}"/>
    <cellStyle name="Normal 4 2 12" xfId="1420" xr:uid="{00000000-0005-0000-0000-0000A4050000}"/>
    <cellStyle name="Normal 4 2 13" xfId="1421" xr:uid="{00000000-0005-0000-0000-0000A5050000}"/>
    <cellStyle name="Normal 4 2 14" xfId="1422" xr:uid="{00000000-0005-0000-0000-0000A6050000}"/>
    <cellStyle name="Normal 4 2 15" xfId="1423" xr:uid="{00000000-0005-0000-0000-0000A7050000}"/>
    <cellStyle name="Normal 4 2 16" xfId="1424" xr:uid="{00000000-0005-0000-0000-0000A8050000}"/>
    <cellStyle name="Normal 4 2 17" xfId="1425" xr:uid="{00000000-0005-0000-0000-0000A9050000}"/>
    <cellStyle name="Normal 4 2 18" xfId="1426" xr:uid="{00000000-0005-0000-0000-0000AA050000}"/>
    <cellStyle name="Normal 4 2 19" xfId="1427" xr:uid="{00000000-0005-0000-0000-0000AB050000}"/>
    <cellStyle name="Normal 4 2 2" xfId="1428" xr:uid="{00000000-0005-0000-0000-0000AC050000}"/>
    <cellStyle name="Normal 4 2 20" xfId="1429" xr:uid="{00000000-0005-0000-0000-0000AD050000}"/>
    <cellStyle name="Normal 4 2 21" xfId="1430" xr:uid="{00000000-0005-0000-0000-0000AE050000}"/>
    <cellStyle name="Normal 4 2 22" xfId="1431" xr:uid="{00000000-0005-0000-0000-0000AF050000}"/>
    <cellStyle name="Normal 4 2 23" xfId="1432" xr:uid="{00000000-0005-0000-0000-0000B0050000}"/>
    <cellStyle name="Normal 4 2 24" xfId="1433" xr:uid="{00000000-0005-0000-0000-0000B1050000}"/>
    <cellStyle name="Normal 4 2 25" xfId="1434" xr:uid="{00000000-0005-0000-0000-0000B2050000}"/>
    <cellStyle name="Normal 4 2 26" xfId="1435" xr:uid="{00000000-0005-0000-0000-0000B3050000}"/>
    <cellStyle name="Normal 4 2 27" xfId="1436" xr:uid="{00000000-0005-0000-0000-0000B4050000}"/>
    <cellStyle name="Normal 4 2 28" xfId="1437" xr:uid="{00000000-0005-0000-0000-0000B5050000}"/>
    <cellStyle name="Normal 4 2 29" xfId="1438" xr:uid="{00000000-0005-0000-0000-0000B6050000}"/>
    <cellStyle name="Normal 4 2 3" xfId="1439" xr:uid="{00000000-0005-0000-0000-0000B7050000}"/>
    <cellStyle name="Normal 4 2 4" xfId="1440" xr:uid="{00000000-0005-0000-0000-0000B8050000}"/>
    <cellStyle name="Normal 4 2 5" xfId="1441" xr:uid="{00000000-0005-0000-0000-0000B9050000}"/>
    <cellStyle name="Normal 4 2 6" xfId="1442" xr:uid="{00000000-0005-0000-0000-0000BA050000}"/>
    <cellStyle name="Normal 4 2 7" xfId="1443" xr:uid="{00000000-0005-0000-0000-0000BB050000}"/>
    <cellStyle name="Normal 4 2 8" xfId="1444" xr:uid="{00000000-0005-0000-0000-0000BC050000}"/>
    <cellStyle name="Normal 4 2 9" xfId="1445" xr:uid="{00000000-0005-0000-0000-0000BD050000}"/>
    <cellStyle name="Normal 4 20" xfId="1446" xr:uid="{00000000-0005-0000-0000-0000BE050000}"/>
    <cellStyle name="Normal 4 20 2" xfId="1447" xr:uid="{00000000-0005-0000-0000-0000BF050000}"/>
    <cellStyle name="Normal 4 20 3" xfId="1448" xr:uid="{00000000-0005-0000-0000-0000C0050000}"/>
    <cellStyle name="Normal 4 20 4" xfId="1449" xr:uid="{00000000-0005-0000-0000-0000C1050000}"/>
    <cellStyle name="Normal 4 20 5" xfId="1450" xr:uid="{00000000-0005-0000-0000-0000C2050000}"/>
    <cellStyle name="Normal 4 20 6" xfId="1451" xr:uid="{00000000-0005-0000-0000-0000C3050000}"/>
    <cellStyle name="Normal 4 20 7" xfId="1452" xr:uid="{00000000-0005-0000-0000-0000C4050000}"/>
    <cellStyle name="Normal 4 21" xfId="1453" xr:uid="{00000000-0005-0000-0000-0000C5050000}"/>
    <cellStyle name="Normal 4 21 2" xfId="1454" xr:uid="{00000000-0005-0000-0000-0000C6050000}"/>
    <cellStyle name="Normal 4 21 2 2" xfId="1455" xr:uid="{00000000-0005-0000-0000-0000C7050000}"/>
    <cellStyle name="Normal 4 21 2 2 2" xfId="1456" xr:uid="{00000000-0005-0000-0000-0000C8050000}"/>
    <cellStyle name="Normal 4 21 2 3" xfId="1457" xr:uid="{00000000-0005-0000-0000-0000C9050000}"/>
    <cellStyle name="Normal 4 21 2 4" xfId="1458" xr:uid="{00000000-0005-0000-0000-0000CA050000}"/>
    <cellStyle name="Normal 4 21 3" xfId="1459" xr:uid="{00000000-0005-0000-0000-0000CB050000}"/>
    <cellStyle name="Normal 4 21 3 2" xfId="1460" xr:uid="{00000000-0005-0000-0000-0000CC050000}"/>
    <cellStyle name="Normal 4 21 3 3" xfId="1461" xr:uid="{00000000-0005-0000-0000-0000CD050000}"/>
    <cellStyle name="Normal 4 21 4" xfId="1462" xr:uid="{00000000-0005-0000-0000-0000CE050000}"/>
    <cellStyle name="Normal 4 21 5" xfId="1463" xr:uid="{00000000-0005-0000-0000-0000CF050000}"/>
    <cellStyle name="Normal 4 21 6" xfId="1464" xr:uid="{00000000-0005-0000-0000-0000D0050000}"/>
    <cellStyle name="Normal 4 21 7" xfId="1465" xr:uid="{00000000-0005-0000-0000-0000D1050000}"/>
    <cellStyle name="Normal 4 21 8" xfId="1466" xr:uid="{00000000-0005-0000-0000-0000D2050000}"/>
    <cellStyle name="Normal 4 21 9" xfId="1467" xr:uid="{00000000-0005-0000-0000-0000D3050000}"/>
    <cellStyle name="Normal 4 22" xfId="1468" xr:uid="{00000000-0005-0000-0000-0000D4050000}"/>
    <cellStyle name="Normal 4 22 2" xfId="1469" xr:uid="{00000000-0005-0000-0000-0000D5050000}"/>
    <cellStyle name="Normal 4 22 2 2" xfId="1470" xr:uid="{00000000-0005-0000-0000-0000D6050000}"/>
    <cellStyle name="Normal 4 22 2 2 2" xfId="1471" xr:uid="{00000000-0005-0000-0000-0000D7050000}"/>
    <cellStyle name="Normal 4 22 2 3" xfId="1472" xr:uid="{00000000-0005-0000-0000-0000D8050000}"/>
    <cellStyle name="Normal 4 22 2 4" xfId="1473" xr:uid="{00000000-0005-0000-0000-0000D9050000}"/>
    <cellStyle name="Normal 4 22 3" xfId="1474" xr:uid="{00000000-0005-0000-0000-0000DA050000}"/>
    <cellStyle name="Normal 4 22 3 2" xfId="1475" xr:uid="{00000000-0005-0000-0000-0000DB050000}"/>
    <cellStyle name="Normal 4 22 3 3" xfId="1476" xr:uid="{00000000-0005-0000-0000-0000DC050000}"/>
    <cellStyle name="Normal 4 22 4" xfId="1477" xr:uid="{00000000-0005-0000-0000-0000DD050000}"/>
    <cellStyle name="Normal 4 22 5" xfId="1478" xr:uid="{00000000-0005-0000-0000-0000DE050000}"/>
    <cellStyle name="Normal 4 22 6" xfId="1479" xr:uid="{00000000-0005-0000-0000-0000DF050000}"/>
    <cellStyle name="Normal 4 22 7" xfId="1480" xr:uid="{00000000-0005-0000-0000-0000E0050000}"/>
    <cellStyle name="Normal 4 22 8" xfId="1481" xr:uid="{00000000-0005-0000-0000-0000E1050000}"/>
    <cellStyle name="Normal 4 22 9" xfId="1482" xr:uid="{00000000-0005-0000-0000-0000E2050000}"/>
    <cellStyle name="Normal 4 23" xfId="1483" xr:uid="{00000000-0005-0000-0000-0000E3050000}"/>
    <cellStyle name="Normal 4 23 2" xfId="1484" xr:uid="{00000000-0005-0000-0000-0000E4050000}"/>
    <cellStyle name="Normal 4 23 2 2" xfId="1485" xr:uid="{00000000-0005-0000-0000-0000E5050000}"/>
    <cellStyle name="Normal 4 23 2 2 2" xfId="1486" xr:uid="{00000000-0005-0000-0000-0000E6050000}"/>
    <cellStyle name="Normal 4 23 2 3" xfId="1487" xr:uid="{00000000-0005-0000-0000-0000E7050000}"/>
    <cellStyle name="Normal 4 23 2 4" xfId="1488" xr:uid="{00000000-0005-0000-0000-0000E8050000}"/>
    <cellStyle name="Normal 4 23 3" xfId="1489" xr:uid="{00000000-0005-0000-0000-0000E9050000}"/>
    <cellStyle name="Normal 4 23 3 2" xfId="1490" xr:uid="{00000000-0005-0000-0000-0000EA050000}"/>
    <cellStyle name="Normal 4 23 3 3" xfId="1491" xr:uid="{00000000-0005-0000-0000-0000EB050000}"/>
    <cellStyle name="Normal 4 23 4" xfId="1492" xr:uid="{00000000-0005-0000-0000-0000EC050000}"/>
    <cellStyle name="Normal 4 23 5" xfId="1493" xr:uid="{00000000-0005-0000-0000-0000ED050000}"/>
    <cellStyle name="Normal 4 23 6" xfId="1494" xr:uid="{00000000-0005-0000-0000-0000EE050000}"/>
    <cellStyle name="Normal 4 23 7" xfId="1495" xr:uid="{00000000-0005-0000-0000-0000EF050000}"/>
    <cellStyle name="Normal 4 23 8" xfId="1496" xr:uid="{00000000-0005-0000-0000-0000F0050000}"/>
    <cellStyle name="Normal 4 23 9" xfId="1497" xr:uid="{00000000-0005-0000-0000-0000F1050000}"/>
    <cellStyle name="Normal 4 24" xfId="1498" xr:uid="{00000000-0005-0000-0000-0000F2050000}"/>
    <cellStyle name="Normal 4 24 2" xfId="1499" xr:uid="{00000000-0005-0000-0000-0000F3050000}"/>
    <cellStyle name="Normal 4 24 2 2" xfId="1500" xr:uid="{00000000-0005-0000-0000-0000F4050000}"/>
    <cellStyle name="Normal 4 24 2 2 2" xfId="1501" xr:uid="{00000000-0005-0000-0000-0000F5050000}"/>
    <cellStyle name="Normal 4 24 2 3" xfId="1502" xr:uid="{00000000-0005-0000-0000-0000F6050000}"/>
    <cellStyle name="Normal 4 24 2 4" xfId="1503" xr:uid="{00000000-0005-0000-0000-0000F7050000}"/>
    <cellStyle name="Normal 4 24 3" xfId="1504" xr:uid="{00000000-0005-0000-0000-0000F8050000}"/>
    <cellStyle name="Normal 4 24 3 2" xfId="1505" xr:uid="{00000000-0005-0000-0000-0000F9050000}"/>
    <cellStyle name="Normal 4 24 3 3" xfId="1506" xr:uid="{00000000-0005-0000-0000-0000FA050000}"/>
    <cellStyle name="Normal 4 24 4" xfId="1507" xr:uid="{00000000-0005-0000-0000-0000FB050000}"/>
    <cellStyle name="Normal 4 24 5" xfId="1508" xr:uid="{00000000-0005-0000-0000-0000FC050000}"/>
    <cellStyle name="Normal 4 24 6" xfId="1509" xr:uid="{00000000-0005-0000-0000-0000FD050000}"/>
    <cellStyle name="Normal 4 24 7" xfId="1510" xr:uid="{00000000-0005-0000-0000-0000FE050000}"/>
    <cellStyle name="Normal 4 24 8" xfId="1511" xr:uid="{00000000-0005-0000-0000-0000FF050000}"/>
    <cellStyle name="Normal 4 24 9" xfId="1512" xr:uid="{00000000-0005-0000-0000-000000060000}"/>
    <cellStyle name="Normal 4 25" xfId="1513" xr:uid="{00000000-0005-0000-0000-000001060000}"/>
    <cellStyle name="Normal 4 25 2" xfId="1514" xr:uid="{00000000-0005-0000-0000-000002060000}"/>
    <cellStyle name="Normal 4 25 2 2" xfId="1515" xr:uid="{00000000-0005-0000-0000-000003060000}"/>
    <cellStyle name="Normal 4 25 2 2 2" xfId="1516" xr:uid="{00000000-0005-0000-0000-000004060000}"/>
    <cellStyle name="Normal 4 25 2 3" xfId="1517" xr:uid="{00000000-0005-0000-0000-000005060000}"/>
    <cellStyle name="Normal 4 25 2 4" xfId="1518" xr:uid="{00000000-0005-0000-0000-000006060000}"/>
    <cellStyle name="Normal 4 25 3" xfId="1519" xr:uid="{00000000-0005-0000-0000-000007060000}"/>
    <cellStyle name="Normal 4 25 3 2" xfId="1520" xr:uid="{00000000-0005-0000-0000-000008060000}"/>
    <cellStyle name="Normal 4 25 3 3" xfId="1521" xr:uid="{00000000-0005-0000-0000-000009060000}"/>
    <cellStyle name="Normal 4 25 4" xfId="1522" xr:uid="{00000000-0005-0000-0000-00000A060000}"/>
    <cellStyle name="Normal 4 25 5" xfId="1523" xr:uid="{00000000-0005-0000-0000-00000B060000}"/>
    <cellStyle name="Normal 4 25 6" xfId="1524" xr:uid="{00000000-0005-0000-0000-00000C060000}"/>
    <cellStyle name="Normal 4 25 7" xfId="1525" xr:uid="{00000000-0005-0000-0000-00000D060000}"/>
    <cellStyle name="Normal 4 25 8" xfId="1526" xr:uid="{00000000-0005-0000-0000-00000E060000}"/>
    <cellStyle name="Normal 4 25 9" xfId="1527" xr:uid="{00000000-0005-0000-0000-00000F060000}"/>
    <cellStyle name="Normal 4 26" xfId="1528" xr:uid="{00000000-0005-0000-0000-000010060000}"/>
    <cellStyle name="Normal 4 26 2" xfId="1529" xr:uid="{00000000-0005-0000-0000-000011060000}"/>
    <cellStyle name="Normal 4 26 3" xfId="1530" xr:uid="{00000000-0005-0000-0000-000012060000}"/>
    <cellStyle name="Normal 4 26 4" xfId="1531" xr:uid="{00000000-0005-0000-0000-000013060000}"/>
    <cellStyle name="Normal 4 26 5" xfId="1532" xr:uid="{00000000-0005-0000-0000-000014060000}"/>
    <cellStyle name="Normal 4 26 6" xfId="1533" xr:uid="{00000000-0005-0000-0000-000015060000}"/>
    <cellStyle name="Normal 4 26 7" xfId="1534" xr:uid="{00000000-0005-0000-0000-000016060000}"/>
    <cellStyle name="Normal 4 27" xfId="1535" xr:uid="{00000000-0005-0000-0000-000017060000}"/>
    <cellStyle name="Normal 4 27 2" xfId="1536" xr:uid="{00000000-0005-0000-0000-000018060000}"/>
    <cellStyle name="Normal 4 27 3" xfId="1537" xr:uid="{00000000-0005-0000-0000-000019060000}"/>
    <cellStyle name="Normal 4 27 4" xfId="1538" xr:uid="{00000000-0005-0000-0000-00001A060000}"/>
    <cellStyle name="Normal 4 27 5" xfId="1539" xr:uid="{00000000-0005-0000-0000-00001B060000}"/>
    <cellStyle name="Normal 4 27 6" xfId="1540" xr:uid="{00000000-0005-0000-0000-00001C060000}"/>
    <cellStyle name="Normal 4 27 7" xfId="1541" xr:uid="{00000000-0005-0000-0000-00001D060000}"/>
    <cellStyle name="Normal 4 28" xfId="1542" xr:uid="{00000000-0005-0000-0000-00001E060000}"/>
    <cellStyle name="Normal 4 28 2" xfId="1543" xr:uid="{00000000-0005-0000-0000-00001F060000}"/>
    <cellStyle name="Normal 4 28 3" xfId="1544" xr:uid="{00000000-0005-0000-0000-000020060000}"/>
    <cellStyle name="Normal 4 28 4" xfId="1545" xr:uid="{00000000-0005-0000-0000-000021060000}"/>
    <cellStyle name="Normal 4 28 5" xfId="1546" xr:uid="{00000000-0005-0000-0000-000022060000}"/>
    <cellStyle name="Normal 4 28 6" xfId="1547" xr:uid="{00000000-0005-0000-0000-000023060000}"/>
    <cellStyle name="Normal 4 28 7" xfId="1548" xr:uid="{00000000-0005-0000-0000-000024060000}"/>
    <cellStyle name="Normal 4 29" xfId="1549" xr:uid="{00000000-0005-0000-0000-000025060000}"/>
    <cellStyle name="Normal 4 29 2" xfId="1550" xr:uid="{00000000-0005-0000-0000-000026060000}"/>
    <cellStyle name="Normal 4 29 3" xfId="1551" xr:uid="{00000000-0005-0000-0000-000027060000}"/>
    <cellStyle name="Normal 4 29 4" xfId="1552" xr:uid="{00000000-0005-0000-0000-000028060000}"/>
    <cellStyle name="Normal 4 29 5" xfId="1553" xr:uid="{00000000-0005-0000-0000-000029060000}"/>
    <cellStyle name="Normal 4 29 6" xfId="1554" xr:uid="{00000000-0005-0000-0000-00002A060000}"/>
    <cellStyle name="Normal 4 29 7" xfId="1555" xr:uid="{00000000-0005-0000-0000-00002B060000}"/>
    <cellStyle name="Normal 4 3" xfId="1556" xr:uid="{00000000-0005-0000-0000-00002C060000}"/>
    <cellStyle name="Normal 4 3 2" xfId="1557" xr:uid="{00000000-0005-0000-0000-00002D060000}"/>
    <cellStyle name="Normal 4 3 3" xfId="1558" xr:uid="{00000000-0005-0000-0000-00002E060000}"/>
    <cellStyle name="Normal 4 3 4" xfId="1559" xr:uid="{00000000-0005-0000-0000-00002F060000}"/>
    <cellStyle name="Normal 4 3 5" xfId="1560" xr:uid="{00000000-0005-0000-0000-000030060000}"/>
    <cellStyle name="Normal 4 3 6" xfId="1561" xr:uid="{00000000-0005-0000-0000-000031060000}"/>
    <cellStyle name="Normal 4 3 7" xfId="1562" xr:uid="{00000000-0005-0000-0000-000032060000}"/>
    <cellStyle name="Normal 4 30" xfId="1563" xr:uid="{00000000-0005-0000-0000-000033060000}"/>
    <cellStyle name="Normal 4 30 2" xfId="1564" xr:uid="{00000000-0005-0000-0000-000034060000}"/>
    <cellStyle name="Normal 4 30 2 2" xfId="1565" xr:uid="{00000000-0005-0000-0000-000035060000}"/>
    <cellStyle name="Normal 4 30 3" xfId="1566" xr:uid="{00000000-0005-0000-0000-000036060000}"/>
    <cellStyle name="Normal 4 30 4" xfId="1567" xr:uid="{00000000-0005-0000-0000-000037060000}"/>
    <cellStyle name="Normal 4 30 5" xfId="1568" xr:uid="{00000000-0005-0000-0000-000038060000}"/>
    <cellStyle name="Normal 4 31" xfId="1569" xr:uid="{00000000-0005-0000-0000-000039060000}"/>
    <cellStyle name="Normal 4 31 2" xfId="1570" xr:uid="{00000000-0005-0000-0000-00003A060000}"/>
    <cellStyle name="Normal 4 31 3" xfId="1571" xr:uid="{00000000-0005-0000-0000-00003B060000}"/>
    <cellStyle name="Normal 4 31 4" xfId="1572" xr:uid="{00000000-0005-0000-0000-00003C060000}"/>
    <cellStyle name="Normal 4 32" xfId="1573" xr:uid="{00000000-0005-0000-0000-00003D060000}"/>
    <cellStyle name="Normal 4 33" xfId="1574" xr:uid="{00000000-0005-0000-0000-00003E060000}"/>
    <cellStyle name="Normal 4 34" xfId="1575" xr:uid="{00000000-0005-0000-0000-00003F060000}"/>
    <cellStyle name="Normal 4 35" xfId="1576" xr:uid="{00000000-0005-0000-0000-000040060000}"/>
    <cellStyle name="Normal 4 36" xfId="1577" xr:uid="{00000000-0005-0000-0000-000041060000}"/>
    <cellStyle name="Normal 4 37" xfId="1578" xr:uid="{00000000-0005-0000-0000-000042060000}"/>
    <cellStyle name="Normal 4 38" xfId="1579" xr:uid="{00000000-0005-0000-0000-000043060000}"/>
    <cellStyle name="Normal 4 39" xfId="1580" xr:uid="{00000000-0005-0000-0000-000044060000}"/>
    <cellStyle name="Normal 4 4" xfId="1581" xr:uid="{00000000-0005-0000-0000-000045060000}"/>
    <cellStyle name="Normal 4 4 2" xfId="1582" xr:uid="{00000000-0005-0000-0000-000046060000}"/>
    <cellStyle name="Normal 4 4 3" xfId="1583" xr:uid="{00000000-0005-0000-0000-000047060000}"/>
    <cellStyle name="Normal 4 4 4" xfId="1584" xr:uid="{00000000-0005-0000-0000-000048060000}"/>
    <cellStyle name="Normal 4 4 5" xfId="1585" xr:uid="{00000000-0005-0000-0000-000049060000}"/>
    <cellStyle name="Normal 4 4 6" xfId="1586" xr:uid="{00000000-0005-0000-0000-00004A060000}"/>
    <cellStyle name="Normal 4 4 7" xfId="1587" xr:uid="{00000000-0005-0000-0000-00004B060000}"/>
    <cellStyle name="Normal 4 40" xfId="1588" xr:uid="{00000000-0005-0000-0000-00004C060000}"/>
    <cellStyle name="Normal 4 41" xfId="1589" xr:uid="{00000000-0005-0000-0000-00004D060000}"/>
    <cellStyle name="Normal 4 42" xfId="1590" xr:uid="{00000000-0005-0000-0000-00004E060000}"/>
    <cellStyle name="Normal 4 43" xfId="1591" xr:uid="{00000000-0005-0000-0000-00004F060000}"/>
    <cellStyle name="Normal 4 44" xfId="1592" xr:uid="{00000000-0005-0000-0000-000050060000}"/>
    <cellStyle name="Normal 4 45" xfId="1593" xr:uid="{00000000-0005-0000-0000-000051060000}"/>
    <cellStyle name="Normal 4 46" xfId="1594" xr:uid="{00000000-0005-0000-0000-000052060000}"/>
    <cellStyle name="Normal 4 47" xfId="1595" xr:uid="{00000000-0005-0000-0000-000053060000}"/>
    <cellStyle name="Normal 4 48" xfId="1596" xr:uid="{00000000-0005-0000-0000-000054060000}"/>
    <cellStyle name="Normal 4 49" xfId="1597" xr:uid="{00000000-0005-0000-0000-000055060000}"/>
    <cellStyle name="Normal 4 5" xfId="1598" xr:uid="{00000000-0005-0000-0000-000056060000}"/>
    <cellStyle name="Normal 4 5 2" xfId="1599" xr:uid="{00000000-0005-0000-0000-000057060000}"/>
    <cellStyle name="Normal 4 5 3" xfId="1600" xr:uid="{00000000-0005-0000-0000-000058060000}"/>
    <cellStyle name="Normal 4 5 4" xfId="1601" xr:uid="{00000000-0005-0000-0000-000059060000}"/>
    <cellStyle name="Normal 4 5 5" xfId="1602" xr:uid="{00000000-0005-0000-0000-00005A060000}"/>
    <cellStyle name="Normal 4 5 6" xfId="1603" xr:uid="{00000000-0005-0000-0000-00005B060000}"/>
    <cellStyle name="Normal 4 5 7" xfId="1604" xr:uid="{00000000-0005-0000-0000-00005C060000}"/>
    <cellStyle name="Normal 4 50" xfId="1605" xr:uid="{00000000-0005-0000-0000-00005D060000}"/>
    <cellStyle name="Normal 4 51" xfId="1606" xr:uid="{00000000-0005-0000-0000-00005E060000}"/>
    <cellStyle name="Normal 4 52" xfId="1607" xr:uid="{00000000-0005-0000-0000-00005F060000}"/>
    <cellStyle name="Normal 4 53" xfId="1608" xr:uid="{00000000-0005-0000-0000-000060060000}"/>
    <cellStyle name="Normal 4 54" xfId="1609" xr:uid="{00000000-0005-0000-0000-000061060000}"/>
    <cellStyle name="Normal 4 55" xfId="1610" xr:uid="{00000000-0005-0000-0000-000062060000}"/>
    <cellStyle name="Normal 4 56" xfId="1611" xr:uid="{00000000-0005-0000-0000-000063060000}"/>
    <cellStyle name="Normal 4 57" xfId="1612" xr:uid="{00000000-0005-0000-0000-000064060000}"/>
    <cellStyle name="Normal 4 6" xfId="1613" xr:uid="{00000000-0005-0000-0000-000065060000}"/>
    <cellStyle name="Normal 4 6 2" xfId="1614" xr:uid="{00000000-0005-0000-0000-000066060000}"/>
    <cellStyle name="Normal 4 6 3" xfId="1615" xr:uid="{00000000-0005-0000-0000-000067060000}"/>
    <cellStyle name="Normal 4 6 4" xfId="1616" xr:uid="{00000000-0005-0000-0000-000068060000}"/>
    <cellStyle name="Normal 4 6 5" xfId="1617" xr:uid="{00000000-0005-0000-0000-000069060000}"/>
    <cellStyle name="Normal 4 6 6" xfId="1618" xr:uid="{00000000-0005-0000-0000-00006A060000}"/>
    <cellStyle name="Normal 4 6 7" xfId="1619" xr:uid="{00000000-0005-0000-0000-00006B060000}"/>
    <cellStyle name="Normal 4 7" xfId="1620" xr:uid="{00000000-0005-0000-0000-00006C060000}"/>
    <cellStyle name="Normal 4 7 2" xfId="1621" xr:uid="{00000000-0005-0000-0000-00006D060000}"/>
    <cellStyle name="Normal 4 7 3" xfId="1622" xr:uid="{00000000-0005-0000-0000-00006E060000}"/>
    <cellStyle name="Normal 4 7 4" xfId="1623" xr:uid="{00000000-0005-0000-0000-00006F060000}"/>
    <cellStyle name="Normal 4 7 5" xfId="1624" xr:uid="{00000000-0005-0000-0000-000070060000}"/>
    <cellStyle name="Normal 4 7 6" xfId="1625" xr:uid="{00000000-0005-0000-0000-000071060000}"/>
    <cellStyle name="Normal 4 7 7" xfId="1626" xr:uid="{00000000-0005-0000-0000-000072060000}"/>
    <cellStyle name="Normal 4 8" xfId="1627" xr:uid="{00000000-0005-0000-0000-000073060000}"/>
    <cellStyle name="Normal 4 8 2" xfId="1628" xr:uid="{00000000-0005-0000-0000-000074060000}"/>
    <cellStyle name="Normal 4 8 3" xfId="1629" xr:uid="{00000000-0005-0000-0000-000075060000}"/>
    <cellStyle name="Normal 4 8 4" xfId="1630" xr:uid="{00000000-0005-0000-0000-000076060000}"/>
    <cellStyle name="Normal 4 8 5" xfId="1631" xr:uid="{00000000-0005-0000-0000-000077060000}"/>
    <cellStyle name="Normal 4 8 6" xfId="1632" xr:uid="{00000000-0005-0000-0000-000078060000}"/>
    <cellStyle name="Normal 4 8 7" xfId="1633" xr:uid="{00000000-0005-0000-0000-000079060000}"/>
    <cellStyle name="Normal 4 9" xfId="1634" xr:uid="{00000000-0005-0000-0000-00007A060000}"/>
    <cellStyle name="Normal 4 9 2" xfId="1635" xr:uid="{00000000-0005-0000-0000-00007B060000}"/>
    <cellStyle name="Normal 4 9 3" xfId="1636" xr:uid="{00000000-0005-0000-0000-00007C060000}"/>
    <cellStyle name="Normal 4 9 4" xfId="1637" xr:uid="{00000000-0005-0000-0000-00007D060000}"/>
    <cellStyle name="Normal 4 9 5" xfId="1638" xr:uid="{00000000-0005-0000-0000-00007E060000}"/>
    <cellStyle name="Normal 4 9 6" xfId="1639" xr:uid="{00000000-0005-0000-0000-00007F060000}"/>
    <cellStyle name="Normal 4 9 7" xfId="1640" xr:uid="{00000000-0005-0000-0000-000080060000}"/>
    <cellStyle name="Normal 5" xfId="1641" xr:uid="{00000000-0005-0000-0000-000081060000}"/>
    <cellStyle name="Normal 5 10" xfId="1642" xr:uid="{00000000-0005-0000-0000-000082060000}"/>
    <cellStyle name="Normal 5 10 2" xfId="1643" xr:uid="{00000000-0005-0000-0000-000083060000}"/>
    <cellStyle name="Normal 5 10 3" xfId="1644" xr:uid="{00000000-0005-0000-0000-000084060000}"/>
    <cellStyle name="Normal 5 10 4" xfId="1645" xr:uid="{00000000-0005-0000-0000-000085060000}"/>
    <cellStyle name="Normal 5 10 5" xfId="1646" xr:uid="{00000000-0005-0000-0000-000086060000}"/>
    <cellStyle name="Normal 5 10 6" xfId="1647" xr:uid="{00000000-0005-0000-0000-000087060000}"/>
    <cellStyle name="Normal 5 10 7" xfId="1648" xr:uid="{00000000-0005-0000-0000-000088060000}"/>
    <cellStyle name="Normal 5 11" xfId="1649" xr:uid="{00000000-0005-0000-0000-000089060000}"/>
    <cellStyle name="Normal 5 11 2" xfId="1650" xr:uid="{00000000-0005-0000-0000-00008A060000}"/>
    <cellStyle name="Normal 5 11 3" xfId="1651" xr:uid="{00000000-0005-0000-0000-00008B060000}"/>
    <cellStyle name="Normal 5 11 4" xfId="1652" xr:uid="{00000000-0005-0000-0000-00008C060000}"/>
    <cellStyle name="Normal 5 11 5" xfId="1653" xr:uid="{00000000-0005-0000-0000-00008D060000}"/>
    <cellStyle name="Normal 5 11 6" xfId="1654" xr:uid="{00000000-0005-0000-0000-00008E060000}"/>
    <cellStyle name="Normal 5 11 7" xfId="1655" xr:uid="{00000000-0005-0000-0000-00008F060000}"/>
    <cellStyle name="Normal 5 12" xfId="1656" xr:uid="{00000000-0005-0000-0000-000090060000}"/>
    <cellStyle name="Normal 5 12 2" xfId="1657" xr:uid="{00000000-0005-0000-0000-000091060000}"/>
    <cellStyle name="Normal 5 12 3" xfId="1658" xr:uid="{00000000-0005-0000-0000-000092060000}"/>
    <cellStyle name="Normal 5 12 4" xfId="1659" xr:uid="{00000000-0005-0000-0000-000093060000}"/>
    <cellStyle name="Normal 5 12 5" xfId="1660" xr:uid="{00000000-0005-0000-0000-000094060000}"/>
    <cellStyle name="Normal 5 12 6" xfId="1661" xr:uid="{00000000-0005-0000-0000-000095060000}"/>
    <cellStyle name="Normal 5 12 7" xfId="1662" xr:uid="{00000000-0005-0000-0000-000096060000}"/>
    <cellStyle name="Normal 5 13" xfId="1663" xr:uid="{00000000-0005-0000-0000-000097060000}"/>
    <cellStyle name="Normal 5 13 2" xfId="1664" xr:uid="{00000000-0005-0000-0000-000098060000}"/>
    <cellStyle name="Normal 5 13 3" xfId="1665" xr:uid="{00000000-0005-0000-0000-000099060000}"/>
    <cellStyle name="Normal 5 13 4" xfId="1666" xr:uid="{00000000-0005-0000-0000-00009A060000}"/>
    <cellStyle name="Normal 5 13 5" xfId="1667" xr:uid="{00000000-0005-0000-0000-00009B060000}"/>
    <cellStyle name="Normal 5 13 6" xfId="1668" xr:uid="{00000000-0005-0000-0000-00009C060000}"/>
    <cellStyle name="Normal 5 13 7" xfId="1669" xr:uid="{00000000-0005-0000-0000-00009D060000}"/>
    <cellStyle name="Normal 5 14" xfId="1670" xr:uid="{00000000-0005-0000-0000-00009E060000}"/>
    <cellStyle name="Normal 5 14 2" xfId="1671" xr:uid="{00000000-0005-0000-0000-00009F060000}"/>
    <cellStyle name="Normal 5 14 3" xfId="1672" xr:uid="{00000000-0005-0000-0000-0000A0060000}"/>
    <cellStyle name="Normal 5 14 4" xfId="1673" xr:uid="{00000000-0005-0000-0000-0000A1060000}"/>
    <cellStyle name="Normal 5 14 5" xfId="1674" xr:uid="{00000000-0005-0000-0000-0000A2060000}"/>
    <cellStyle name="Normal 5 14 6" xfId="1675" xr:uid="{00000000-0005-0000-0000-0000A3060000}"/>
    <cellStyle name="Normal 5 14 7" xfId="1676" xr:uid="{00000000-0005-0000-0000-0000A4060000}"/>
    <cellStyle name="Normal 5 15" xfId="1677" xr:uid="{00000000-0005-0000-0000-0000A5060000}"/>
    <cellStyle name="Normal 5 15 2" xfId="1678" xr:uid="{00000000-0005-0000-0000-0000A6060000}"/>
    <cellStyle name="Normal 5 15 3" xfId="1679" xr:uid="{00000000-0005-0000-0000-0000A7060000}"/>
    <cellStyle name="Normal 5 15 4" xfId="1680" xr:uid="{00000000-0005-0000-0000-0000A8060000}"/>
    <cellStyle name="Normal 5 15 5" xfId="1681" xr:uid="{00000000-0005-0000-0000-0000A9060000}"/>
    <cellStyle name="Normal 5 15 6" xfId="1682" xr:uid="{00000000-0005-0000-0000-0000AA060000}"/>
    <cellStyle name="Normal 5 15 7" xfId="1683" xr:uid="{00000000-0005-0000-0000-0000AB060000}"/>
    <cellStyle name="Normal 5 16" xfId="1684" xr:uid="{00000000-0005-0000-0000-0000AC060000}"/>
    <cellStyle name="Normal 5 16 2" xfId="1685" xr:uid="{00000000-0005-0000-0000-0000AD060000}"/>
    <cellStyle name="Normal 5 16 3" xfId="1686" xr:uid="{00000000-0005-0000-0000-0000AE060000}"/>
    <cellStyle name="Normal 5 16 4" xfId="1687" xr:uid="{00000000-0005-0000-0000-0000AF060000}"/>
    <cellStyle name="Normal 5 16 5" xfId="1688" xr:uid="{00000000-0005-0000-0000-0000B0060000}"/>
    <cellStyle name="Normal 5 16 6" xfId="1689" xr:uid="{00000000-0005-0000-0000-0000B1060000}"/>
    <cellStyle name="Normal 5 16 7" xfId="1690" xr:uid="{00000000-0005-0000-0000-0000B2060000}"/>
    <cellStyle name="Normal 5 17" xfId="1691" xr:uid="{00000000-0005-0000-0000-0000B3060000}"/>
    <cellStyle name="Normal 5 17 2" xfId="1692" xr:uid="{00000000-0005-0000-0000-0000B4060000}"/>
    <cellStyle name="Normal 5 17 3" xfId="1693" xr:uid="{00000000-0005-0000-0000-0000B5060000}"/>
    <cellStyle name="Normal 5 17 4" xfId="1694" xr:uid="{00000000-0005-0000-0000-0000B6060000}"/>
    <cellStyle name="Normal 5 17 5" xfId="1695" xr:uid="{00000000-0005-0000-0000-0000B7060000}"/>
    <cellStyle name="Normal 5 17 6" xfId="1696" xr:uid="{00000000-0005-0000-0000-0000B8060000}"/>
    <cellStyle name="Normal 5 17 7" xfId="1697" xr:uid="{00000000-0005-0000-0000-0000B9060000}"/>
    <cellStyle name="Normal 5 18" xfId="1698" xr:uid="{00000000-0005-0000-0000-0000BA060000}"/>
    <cellStyle name="Normal 5 18 2" xfId="1699" xr:uid="{00000000-0005-0000-0000-0000BB060000}"/>
    <cellStyle name="Normal 5 18 3" xfId="1700" xr:uid="{00000000-0005-0000-0000-0000BC060000}"/>
    <cellStyle name="Normal 5 18 4" xfId="1701" xr:uid="{00000000-0005-0000-0000-0000BD060000}"/>
    <cellStyle name="Normal 5 18 5" xfId="1702" xr:uid="{00000000-0005-0000-0000-0000BE060000}"/>
    <cellStyle name="Normal 5 18 6" xfId="1703" xr:uid="{00000000-0005-0000-0000-0000BF060000}"/>
    <cellStyle name="Normal 5 18 7" xfId="1704" xr:uid="{00000000-0005-0000-0000-0000C0060000}"/>
    <cellStyle name="Normal 5 19" xfId="1705" xr:uid="{00000000-0005-0000-0000-0000C1060000}"/>
    <cellStyle name="Normal 5 19 2" xfId="1706" xr:uid="{00000000-0005-0000-0000-0000C2060000}"/>
    <cellStyle name="Normal 5 19 3" xfId="1707" xr:uid="{00000000-0005-0000-0000-0000C3060000}"/>
    <cellStyle name="Normal 5 19 4" xfId="1708" xr:uid="{00000000-0005-0000-0000-0000C4060000}"/>
    <cellStyle name="Normal 5 19 5" xfId="1709" xr:uid="{00000000-0005-0000-0000-0000C5060000}"/>
    <cellStyle name="Normal 5 19 6" xfId="1710" xr:uid="{00000000-0005-0000-0000-0000C6060000}"/>
    <cellStyle name="Normal 5 19 7" xfId="1711" xr:uid="{00000000-0005-0000-0000-0000C7060000}"/>
    <cellStyle name="Normal 5 2" xfId="1712" xr:uid="{00000000-0005-0000-0000-0000C8060000}"/>
    <cellStyle name="Normal 5 2 2" xfId="1713" xr:uid="{00000000-0005-0000-0000-0000C9060000}"/>
    <cellStyle name="Normal 5 2 3" xfId="1714" xr:uid="{00000000-0005-0000-0000-0000CA060000}"/>
    <cellStyle name="Normal 5 2 4" xfId="1715" xr:uid="{00000000-0005-0000-0000-0000CB060000}"/>
    <cellStyle name="Normal 5 2 5" xfId="1716" xr:uid="{00000000-0005-0000-0000-0000CC060000}"/>
    <cellStyle name="Normal 5 2 6" xfId="1717" xr:uid="{00000000-0005-0000-0000-0000CD060000}"/>
    <cellStyle name="Normal 5 2 7" xfId="1718" xr:uid="{00000000-0005-0000-0000-0000CE060000}"/>
    <cellStyle name="Normal 5 20" xfId="1719" xr:uid="{00000000-0005-0000-0000-0000CF060000}"/>
    <cellStyle name="Normal 5 20 2" xfId="1720" xr:uid="{00000000-0005-0000-0000-0000D0060000}"/>
    <cellStyle name="Normal 5 20 3" xfId="1721" xr:uid="{00000000-0005-0000-0000-0000D1060000}"/>
    <cellStyle name="Normal 5 20 4" xfId="1722" xr:uid="{00000000-0005-0000-0000-0000D2060000}"/>
    <cellStyle name="Normal 5 20 5" xfId="1723" xr:uid="{00000000-0005-0000-0000-0000D3060000}"/>
    <cellStyle name="Normal 5 20 6" xfId="1724" xr:uid="{00000000-0005-0000-0000-0000D4060000}"/>
    <cellStyle name="Normal 5 20 7" xfId="1725" xr:uid="{00000000-0005-0000-0000-0000D5060000}"/>
    <cellStyle name="Normal 5 21" xfId="1726" xr:uid="{00000000-0005-0000-0000-0000D6060000}"/>
    <cellStyle name="Normal 5 21 2" xfId="1727" xr:uid="{00000000-0005-0000-0000-0000D7060000}"/>
    <cellStyle name="Normal 5 21 3" xfId="1728" xr:uid="{00000000-0005-0000-0000-0000D8060000}"/>
    <cellStyle name="Normal 5 21 4" xfId="1729" xr:uid="{00000000-0005-0000-0000-0000D9060000}"/>
    <cellStyle name="Normal 5 21 5" xfId="1730" xr:uid="{00000000-0005-0000-0000-0000DA060000}"/>
    <cellStyle name="Normal 5 21 6" xfId="1731" xr:uid="{00000000-0005-0000-0000-0000DB060000}"/>
    <cellStyle name="Normal 5 21 7" xfId="1732" xr:uid="{00000000-0005-0000-0000-0000DC060000}"/>
    <cellStyle name="Normal 5 22" xfId="1733" xr:uid="{00000000-0005-0000-0000-0000DD060000}"/>
    <cellStyle name="Normal 5 22 2" xfId="1734" xr:uid="{00000000-0005-0000-0000-0000DE060000}"/>
    <cellStyle name="Normal 5 22 3" xfId="1735" xr:uid="{00000000-0005-0000-0000-0000DF060000}"/>
    <cellStyle name="Normal 5 22 4" xfId="1736" xr:uid="{00000000-0005-0000-0000-0000E0060000}"/>
    <cellStyle name="Normal 5 22 5" xfId="1737" xr:uid="{00000000-0005-0000-0000-0000E1060000}"/>
    <cellStyle name="Normal 5 22 6" xfId="1738" xr:uid="{00000000-0005-0000-0000-0000E2060000}"/>
    <cellStyle name="Normal 5 22 7" xfId="1739" xr:uid="{00000000-0005-0000-0000-0000E3060000}"/>
    <cellStyle name="Normal 5 23" xfId="1740" xr:uid="{00000000-0005-0000-0000-0000E4060000}"/>
    <cellStyle name="Normal 5 23 2" xfId="1741" xr:uid="{00000000-0005-0000-0000-0000E5060000}"/>
    <cellStyle name="Normal 5 23 3" xfId="1742" xr:uid="{00000000-0005-0000-0000-0000E6060000}"/>
    <cellStyle name="Normal 5 23 4" xfId="1743" xr:uid="{00000000-0005-0000-0000-0000E7060000}"/>
    <cellStyle name="Normal 5 23 5" xfId="1744" xr:uid="{00000000-0005-0000-0000-0000E8060000}"/>
    <cellStyle name="Normal 5 23 6" xfId="1745" xr:uid="{00000000-0005-0000-0000-0000E9060000}"/>
    <cellStyle name="Normal 5 23 7" xfId="1746" xr:uid="{00000000-0005-0000-0000-0000EA060000}"/>
    <cellStyle name="Normal 5 24" xfId="1747" xr:uid="{00000000-0005-0000-0000-0000EB060000}"/>
    <cellStyle name="Normal 5 24 2" xfId="1748" xr:uid="{00000000-0005-0000-0000-0000EC060000}"/>
    <cellStyle name="Normal 5 24 3" xfId="1749" xr:uid="{00000000-0005-0000-0000-0000ED060000}"/>
    <cellStyle name="Normal 5 24 4" xfId="1750" xr:uid="{00000000-0005-0000-0000-0000EE060000}"/>
    <cellStyle name="Normal 5 24 5" xfId="1751" xr:uid="{00000000-0005-0000-0000-0000EF060000}"/>
    <cellStyle name="Normal 5 24 6" xfId="1752" xr:uid="{00000000-0005-0000-0000-0000F0060000}"/>
    <cellStyle name="Normal 5 24 7" xfId="1753" xr:uid="{00000000-0005-0000-0000-0000F1060000}"/>
    <cellStyle name="Normal 5 25" xfId="1754" xr:uid="{00000000-0005-0000-0000-0000F2060000}"/>
    <cellStyle name="Normal 5 25 2" xfId="1755" xr:uid="{00000000-0005-0000-0000-0000F3060000}"/>
    <cellStyle name="Normal 5 25 3" xfId="1756" xr:uid="{00000000-0005-0000-0000-0000F4060000}"/>
    <cellStyle name="Normal 5 25 4" xfId="1757" xr:uid="{00000000-0005-0000-0000-0000F5060000}"/>
    <cellStyle name="Normal 5 25 5" xfId="1758" xr:uid="{00000000-0005-0000-0000-0000F6060000}"/>
    <cellStyle name="Normal 5 25 6" xfId="1759" xr:uid="{00000000-0005-0000-0000-0000F7060000}"/>
    <cellStyle name="Normal 5 25 7" xfId="1760" xr:uid="{00000000-0005-0000-0000-0000F8060000}"/>
    <cellStyle name="Normal 5 26" xfId="1761" xr:uid="{00000000-0005-0000-0000-0000F9060000}"/>
    <cellStyle name="Normal 5 26 2" xfId="1762" xr:uid="{00000000-0005-0000-0000-0000FA060000}"/>
    <cellStyle name="Normal 5 26 3" xfId="1763" xr:uid="{00000000-0005-0000-0000-0000FB060000}"/>
    <cellStyle name="Normal 5 26 4" xfId="1764" xr:uid="{00000000-0005-0000-0000-0000FC060000}"/>
    <cellStyle name="Normal 5 26 5" xfId="1765" xr:uid="{00000000-0005-0000-0000-0000FD060000}"/>
    <cellStyle name="Normal 5 26 6" xfId="1766" xr:uid="{00000000-0005-0000-0000-0000FE060000}"/>
    <cellStyle name="Normal 5 26 7" xfId="1767" xr:uid="{00000000-0005-0000-0000-0000FF060000}"/>
    <cellStyle name="Normal 5 27" xfId="1768" xr:uid="{00000000-0005-0000-0000-000000070000}"/>
    <cellStyle name="Normal 5 27 2" xfId="1769" xr:uid="{00000000-0005-0000-0000-000001070000}"/>
    <cellStyle name="Normal 5 27 3" xfId="1770" xr:uid="{00000000-0005-0000-0000-000002070000}"/>
    <cellStyle name="Normal 5 27 4" xfId="1771" xr:uid="{00000000-0005-0000-0000-000003070000}"/>
    <cellStyle name="Normal 5 27 5" xfId="1772" xr:uid="{00000000-0005-0000-0000-000004070000}"/>
    <cellStyle name="Normal 5 27 6" xfId="1773" xr:uid="{00000000-0005-0000-0000-000005070000}"/>
    <cellStyle name="Normal 5 27 7" xfId="1774" xr:uid="{00000000-0005-0000-0000-000006070000}"/>
    <cellStyle name="Normal 5 28" xfId="1775" xr:uid="{00000000-0005-0000-0000-000007070000}"/>
    <cellStyle name="Normal 5 28 2" xfId="1776" xr:uid="{00000000-0005-0000-0000-000008070000}"/>
    <cellStyle name="Normal 5 28 3" xfId="1777" xr:uid="{00000000-0005-0000-0000-000009070000}"/>
    <cellStyle name="Normal 5 28 4" xfId="1778" xr:uid="{00000000-0005-0000-0000-00000A070000}"/>
    <cellStyle name="Normal 5 28 5" xfId="1779" xr:uid="{00000000-0005-0000-0000-00000B070000}"/>
    <cellStyle name="Normal 5 28 6" xfId="1780" xr:uid="{00000000-0005-0000-0000-00000C070000}"/>
    <cellStyle name="Normal 5 28 7" xfId="1781" xr:uid="{00000000-0005-0000-0000-00000D070000}"/>
    <cellStyle name="Normal 5 29" xfId="1782" xr:uid="{00000000-0005-0000-0000-00000E070000}"/>
    <cellStyle name="Normal 5 29 2" xfId="1783" xr:uid="{00000000-0005-0000-0000-00000F070000}"/>
    <cellStyle name="Normal 5 29 3" xfId="1784" xr:uid="{00000000-0005-0000-0000-000010070000}"/>
    <cellStyle name="Normal 5 29 4" xfId="1785" xr:uid="{00000000-0005-0000-0000-000011070000}"/>
    <cellStyle name="Normal 5 29 5" xfId="1786" xr:uid="{00000000-0005-0000-0000-000012070000}"/>
    <cellStyle name="Normal 5 29 6" xfId="1787" xr:uid="{00000000-0005-0000-0000-000013070000}"/>
    <cellStyle name="Normal 5 29 7" xfId="1788" xr:uid="{00000000-0005-0000-0000-000014070000}"/>
    <cellStyle name="Normal 5 3" xfId="1789" xr:uid="{00000000-0005-0000-0000-000015070000}"/>
    <cellStyle name="Normal 5 3 2" xfId="1790" xr:uid="{00000000-0005-0000-0000-000016070000}"/>
    <cellStyle name="Normal 5 3 3" xfId="1791" xr:uid="{00000000-0005-0000-0000-000017070000}"/>
    <cellStyle name="Normal 5 3 4" xfId="1792" xr:uid="{00000000-0005-0000-0000-000018070000}"/>
    <cellStyle name="Normal 5 3 5" xfId="1793" xr:uid="{00000000-0005-0000-0000-000019070000}"/>
    <cellStyle name="Normal 5 3 6" xfId="1794" xr:uid="{00000000-0005-0000-0000-00001A070000}"/>
    <cellStyle name="Normal 5 3 7" xfId="1795" xr:uid="{00000000-0005-0000-0000-00001B070000}"/>
    <cellStyle name="Normal 5 30" xfId="1796" xr:uid="{00000000-0005-0000-0000-00001C070000}"/>
    <cellStyle name="Normal 5 31" xfId="1797" xr:uid="{00000000-0005-0000-0000-00001D070000}"/>
    <cellStyle name="Normal 5 32" xfId="1798" xr:uid="{00000000-0005-0000-0000-00001E070000}"/>
    <cellStyle name="Normal 5 33" xfId="1799" xr:uid="{00000000-0005-0000-0000-00001F070000}"/>
    <cellStyle name="Normal 5 34" xfId="1800" xr:uid="{00000000-0005-0000-0000-000020070000}"/>
    <cellStyle name="Normal 5 35" xfId="1801" xr:uid="{00000000-0005-0000-0000-000021070000}"/>
    <cellStyle name="Normal 5 36" xfId="1802" xr:uid="{00000000-0005-0000-0000-000022070000}"/>
    <cellStyle name="Normal 5 37" xfId="1803" xr:uid="{00000000-0005-0000-0000-000023070000}"/>
    <cellStyle name="Normal 5 38" xfId="1804" xr:uid="{00000000-0005-0000-0000-000024070000}"/>
    <cellStyle name="Normal 5 39" xfId="1805" xr:uid="{00000000-0005-0000-0000-000025070000}"/>
    <cellStyle name="Normal 5 4" xfId="1806" xr:uid="{00000000-0005-0000-0000-000026070000}"/>
    <cellStyle name="Normal 5 4 2" xfId="1807" xr:uid="{00000000-0005-0000-0000-000027070000}"/>
    <cellStyle name="Normal 5 4 3" xfId="1808" xr:uid="{00000000-0005-0000-0000-000028070000}"/>
    <cellStyle name="Normal 5 4 4" xfId="1809" xr:uid="{00000000-0005-0000-0000-000029070000}"/>
    <cellStyle name="Normal 5 4 5" xfId="1810" xr:uid="{00000000-0005-0000-0000-00002A070000}"/>
    <cellStyle name="Normal 5 4 6" xfId="1811" xr:uid="{00000000-0005-0000-0000-00002B070000}"/>
    <cellStyle name="Normal 5 4 7" xfId="1812" xr:uid="{00000000-0005-0000-0000-00002C070000}"/>
    <cellStyle name="Normal 5 40" xfId="1813" xr:uid="{00000000-0005-0000-0000-00002D070000}"/>
    <cellStyle name="Normal 5 41" xfId="1814" xr:uid="{00000000-0005-0000-0000-00002E070000}"/>
    <cellStyle name="Normal 5 42" xfId="1815" xr:uid="{00000000-0005-0000-0000-00002F070000}"/>
    <cellStyle name="Normal 5 43" xfId="1816" xr:uid="{00000000-0005-0000-0000-000030070000}"/>
    <cellStyle name="Normal 5 44" xfId="1817" xr:uid="{00000000-0005-0000-0000-000031070000}"/>
    <cellStyle name="Normal 5 45" xfId="1818" xr:uid="{00000000-0005-0000-0000-000032070000}"/>
    <cellStyle name="Normal 5 46" xfId="1819" xr:uid="{00000000-0005-0000-0000-000033070000}"/>
    <cellStyle name="Normal 5 47" xfId="1820" xr:uid="{00000000-0005-0000-0000-000034070000}"/>
    <cellStyle name="Normal 5 48" xfId="1821" xr:uid="{00000000-0005-0000-0000-000035070000}"/>
    <cellStyle name="Normal 5 49" xfId="1822" xr:uid="{00000000-0005-0000-0000-000036070000}"/>
    <cellStyle name="Normal 5 5" xfId="1823" xr:uid="{00000000-0005-0000-0000-000037070000}"/>
    <cellStyle name="Normal 5 5 2" xfId="1824" xr:uid="{00000000-0005-0000-0000-000038070000}"/>
    <cellStyle name="Normal 5 5 3" xfId="1825" xr:uid="{00000000-0005-0000-0000-000039070000}"/>
    <cellStyle name="Normal 5 5 4" xfId="1826" xr:uid="{00000000-0005-0000-0000-00003A070000}"/>
    <cellStyle name="Normal 5 5 5" xfId="1827" xr:uid="{00000000-0005-0000-0000-00003B070000}"/>
    <cellStyle name="Normal 5 5 6" xfId="1828" xr:uid="{00000000-0005-0000-0000-00003C070000}"/>
    <cellStyle name="Normal 5 5 7" xfId="1829" xr:uid="{00000000-0005-0000-0000-00003D070000}"/>
    <cellStyle name="Normal 5 50" xfId="1830" xr:uid="{00000000-0005-0000-0000-00003E070000}"/>
    <cellStyle name="Normal 5 51" xfId="1831" xr:uid="{00000000-0005-0000-0000-00003F070000}"/>
    <cellStyle name="Normal 5 52" xfId="1832" xr:uid="{00000000-0005-0000-0000-000040070000}"/>
    <cellStyle name="Normal 5 53" xfId="1833" xr:uid="{00000000-0005-0000-0000-000041070000}"/>
    <cellStyle name="Normal 5 54" xfId="1834" xr:uid="{00000000-0005-0000-0000-000042070000}"/>
    <cellStyle name="Normal 5 55" xfId="1835" xr:uid="{00000000-0005-0000-0000-000043070000}"/>
    <cellStyle name="Normal 5 56" xfId="1836" xr:uid="{00000000-0005-0000-0000-000044070000}"/>
    <cellStyle name="Normal 5 6" xfId="1837" xr:uid="{00000000-0005-0000-0000-000045070000}"/>
    <cellStyle name="Normal 5 6 2" xfId="1838" xr:uid="{00000000-0005-0000-0000-000046070000}"/>
    <cellStyle name="Normal 5 6 3" xfId="1839" xr:uid="{00000000-0005-0000-0000-000047070000}"/>
    <cellStyle name="Normal 5 6 4" xfId="1840" xr:uid="{00000000-0005-0000-0000-000048070000}"/>
    <cellStyle name="Normal 5 6 5" xfId="1841" xr:uid="{00000000-0005-0000-0000-000049070000}"/>
    <cellStyle name="Normal 5 6 6" xfId="1842" xr:uid="{00000000-0005-0000-0000-00004A070000}"/>
    <cellStyle name="Normal 5 6 7" xfId="1843" xr:uid="{00000000-0005-0000-0000-00004B070000}"/>
    <cellStyle name="Normal 5 7" xfId="1844" xr:uid="{00000000-0005-0000-0000-00004C070000}"/>
    <cellStyle name="Normal 5 7 2" xfId="1845" xr:uid="{00000000-0005-0000-0000-00004D070000}"/>
    <cellStyle name="Normal 5 7 3" xfId="1846" xr:uid="{00000000-0005-0000-0000-00004E070000}"/>
    <cellStyle name="Normal 5 7 4" xfId="1847" xr:uid="{00000000-0005-0000-0000-00004F070000}"/>
    <cellStyle name="Normal 5 7 5" xfId="1848" xr:uid="{00000000-0005-0000-0000-000050070000}"/>
    <cellStyle name="Normal 5 7 6" xfId="1849" xr:uid="{00000000-0005-0000-0000-000051070000}"/>
    <cellStyle name="Normal 5 7 7" xfId="1850" xr:uid="{00000000-0005-0000-0000-000052070000}"/>
    <cellStyle name="Normal 5 8" xfId="1851" xr:uid="{00000000-0005-0000-0000-000053070000}"/>
    <cellStyle name="Normal 5 8 2" xfId="1852" xr:uid="{00000000-0005-0000-0000-000054070000}"/>
    <cellStyle name="Normal 5 8 3" xfId="1853" xr:uid="{00000000-0005-0000-0000-000055070000}"/>
    <cellStyle name="Normal 5 8 4" xfId="1854" xr:uid="{00000000-0005-0000-0000-000056070000}"/>
    <cellStyle name="Normal 5 8 5" xfId="1855" xr:uid="{00000000-0005-0000-0000-000057070000}"/>
    <cellStyle name="Normal 5 8 6" xfId="1856" xr:uid="{00000000-0005-0000-0000-000058070000}"/>
    <cellStyle name="Normal 5 8 7" xfId="1857" xr:uid="{00000000-0005-0000-0000-000059070000}"/>
    <cellStyle name="Normal 5 9" xfId="1858" xr:uid="{00000000-0005-0000-0000-00005A070000}"/>
    <cellStyle name="Normal 5 9 2" xfId="1859" xr:uid="{00000000-0005-0000-0000-00005B070000}"/>
    <cellStyle name="Normal 5 9 3" xfId="1860" xr:uid="{00000000-0005-0000-0000-00005C070000}"/>
    <cellStyle name="Normal 5 9 4" xfId="1861" xr:uid="{00000000-0005-0000-0000-00005D070000}"/>
    <cellStyle name="Normal 5 9 5" xfId="1862" xr:uid="{00000000-0005-0000-0000-00005E070000}"/>
    <cellStyle name="Normal 5 9 6" xfId="1863" xr:uid="{00000000-0005-0000-0000-00005F070000}"/>
    <cellStyle name="Normal 5 9 7" xfId="1864" xr:uid="{00000000-0005-0000-0000-000060070000}"/>
    <cellStyle name="Normal 6" xfId="1865" xr:uid="{00000000-0005-0000-0000-000061070000}"/>
    <cellStyle name="Normal 6 10" xfId="1866" xr:uid="{00000000-0005-0000-0000-000062070000}"/>
    <cellStyle name="Normal 6 11" xfId="1867" xr:uid="{00000000-0005-0000-0000-000063070000}"/>
    <cellStyle name="Normal 6 12" xfId="1868" xr:uid="{00000000-0005-0000-0000-000064070000}"/>
    <cellStyle name="Normal 6 13" xfId="1869" xr:uid="{00000000-0005-0000-0000-000065070000}"/>
    <cellStyle name="Normal 6 14" xfId="1870" xr:uid="{00000000-0005-0000-0000-000066070000}"/>
    <cellStyle name="Normal 6 15" xfId="1871" xr:uid="{00000000-0005-0000-0000-000067070000}"/>
    <cellStyle name="Normal 6 16" xfId="1872" xr:uid="{00000000-0005-0000-0000-000068070000}"/>
    <cellStyle name="Normal 6 17" xfId="1873" xr:uid="{00000000-0005-0000-0000-000069070000}"/>
    <cellStyle name="Normal 6 18" xfId="1874" xr:uid="{00000000-0005-0000-0000-00006A070000}"/>
    <cellStyle name="Normal 6 19" xfId="1875" xr:uid="{00000000-0005-0000-0000-00006B070000}"/>
    <cellStyle name="Normal 6 2" xfId="1876" xr:uid="{00000000-0005-0000-0000-00006C070000}"/>
    <cellStyle name="Normal 6 2 2" xfId="1877" xr:uid="{00000000-0005-0000-0000-00006D070000}"/>
    <cellStyle name="Normal 6 2 2 2" xfId="1878" xr:uid="{00000000-0005-0000-0000-00006E070000}"/>
    <cellStyle name="Normal 6 2 2 2 2" xfId="1879" xr:uid="{00000000-0005-0000-0000-00006F070000}"/>
    <cellStyle name="Normal 6 2 2 3" xfId="1880" xr:uid="{00000000-0005-0000-0000-000070070000}"/>
    <cellStyle name="Normal 6 2 2 4" xfId="1881" xr:uid="{00000000-0005-0000-0000-000071070000}"/>
    <cellStyle name="Normal 6 2 3" xfId="1882" xr:uid="{00000000-0005-0000-0000-000072070000}"/>
    <cellStyle name="Normal 6 2 3 2" xfId="1883" xr:uid="{00000000-0005-0000-0000-000073070000}"/>
    <cellStyle name="Normal 6 2 3 3" xfId="1884" xr:uid="{00000000-0005-0000-0000-000074070000}"/>
    <cellStyle name="Normal 6 2 4" xfId="1885" xr:uid="{00000000-0005-0000-0000-000075070000}"/>
    <cellStyle name="Normal 6 2 5" xfId="1886" xr:uid="{00000000-0005-0000-0000-000076070000}"/>
    <cellStyle name="Normal 6 2 6" xfId="1887" xr:uid="{00000000-0005-0000-0000-000077070000}"/>
    <cellStyle name="Normal 6 2 7" xfId="1888" xr:uid="{00000000-0005-0000-0000-000078070000}"/>
    <cellStyle name="Normal 6 2 8" xfId="1889" xr:uid="{00000000-0005-0000-0000-000079070000}"/>
    <cellStyle name="Normal 6 2 9" xfId="1890" xr:uid="{00000000-0005-0000-0000-00007A070000}"/>
    <cellStyle name="Normal 6 20" xfId="1891" xr:uid="{00000000-0005-0000-0000-00007B070000}"/>
    <cellStyle name="Normal 6 21" xfId="1892" xr:uid="{00000000-0005-0000-0000-00007C070000}"/>
    <cellStyle name="Normal 6 22" xfId="1893" xr:uid="{00000000-0005-0000-0000-00007D070000}"/>
    <cellStyle name="Normal 6 23" xfId="1894" xr:uid="{00000000-0005-0000-0000-00007E070000}"/>
    <cellStyle name="Normal 6 24" xfId="1895" xr:uid="{00000000-0005-0000-0000-00007F070000}"/>
    <cellStyle name="Normal 6 25" xfId="1896" xr:uid="{00000000-0005-0000-0000-000080070000}"/>
    <cellStyle name="Normal 6 26" xfId="1897" xr:uid="{00000000-0005-0000-0000-000081070000}"/>
    <cellStyle name="Normal 6 27" xfId="1898" xr:uid="{00000000-0005-0000-0000-000082070000}"/>
    <cellStyle name="Normal 6 28" xfId="1899" xr:uid="{00000000-0005-0000-0000-000083070000}"/>
    <cellStyle name="Normal 6 29" xfId="1900" xr:uid="{00000000-0005-0000-0000-000084070000}"/>
    <cellStyle name="Normal 6 3" xfId="1901" xr:uid="{00000000-0005-0000-0000-000085070000}"/>
    <cellStyle name="Normal 6 3 2" xfId="1902" xr:uid="{00000000-0005-0000-0000-000086070000}"/>
    <cellStyle name="Normal 6 3 2 2" xfId="1903" xr:uid="{00000000-0005-0000-0000-000087070000}"/>
    <cellStyle name="Normal 6 3 2 2 2" xfId="1904" xr:uid="{00000000-0005-0000-0000-000088070000}"/>
    <cellStyle name="Normal 6 3 2 3" xfId="1905" xr:uid="{00000000-0005-0000-0000-000089070000}"/>
    <cellStyle name="Normal 6 3 2 4" xfId="1906" xr:uid="{00000000-0005-0000-0000-00008A070000}"/>
    <cellStyle name="Normal 6 3 3" xfId="1907" xr:uid="{00000000-0005-0000-0000-00008B070000}"/>
    <cellStyle name="Normal 6 3 3 2" xfId="1908" xr:uid="{00000000-0005-0000-0000-00008C070000}"/>
    <cellStyle name="Normal 6 3 3 3" xfId="1909" xr:uid="{00000000-0005-0000-0000-00008D070000}"/>
    <cellStyle name="Normal 6 3 4" xfId="1910" xr:uid="{00000000-0005-0000-0000-00008E070000}"/>
    <cellStyle name="Normal 6 3 5" xfId="1911" xr:uid="{00000000-0005-0000-0000-00008F070000}"/>
    <cellStyle name="Normal 6 3 6" xfId="1912" xr:uid="{00000000-0005-0000-0000-000090070000}"/>
    <cellStyle name="Normal 6 3 7" xfId="1913" xr:uid="{00000000-0005-0000-0000-000091070000}"/>
    <cellStyle name="Normal 6 3 8" xfId="1914" xr:uid="{00000000-0005-0000-0000-000092070000}"/>
    <cellStyle name="Normal 6 3 9" xfId="1915" xr:uid="{00000000-0005-0000-0000-000093070000}"/>
    <cellStyle name="Normal 6 30" xfId="1916" xr:uid="{00000000-0005-0000-0000-000094070000}"/>
    <cellStyle name="Normal 6 31" xfId="1917" xr:uid="{00000000-0005-0000-0000-000095070000}"/>
    <cellStyle name="Normal 6 32" xfId="1918" xr:uid="{00000000-0005-0000-0000-000096070000}"/>
    <cellStyle name="Normal 6 33" xfId="1919" xr:uid="{00000000-0005-0000-0000-000097070000}"/>
    <cellStyle name="Normal 6 34" xfId="1920" xr:uid="{00000000-0005-0000-0000-000098070000}"/>
    <cellStyle name="Normal 6 35" xfId="2052" xr:uid="{00000000-0005-0000-0000-000099070000}"/>
    <cellStyle name="Normal 6 4" xfId="1921" xr:uid="{00000000-0005-0000-0000-00009A070000}"/>
    <cellStyle name="Normal 6 4 2" xfId="1922" xr:uid="{00000000-0005-0000-0000-00009B070000}"/>
    <cellStyle name="Normal 6 4 2 2" xfId="1923" xr:uid="{00000000-0005-0000-0000-00009C070000}"/>
    <cellStyle name="Normal 6 4 2 2 2" xfId="1924" xr:uid="{00000000-0005-0000-0000-00009D070000}"/>
    <cellStyle name="Normal 6 4 2 3" xfId="1925" xr:uid="{00000000-0005-0000-0000-00009E070000}"/>
    <cellStyle name="Normal 6 4 2 4" xfId="1926" xr:uid="{00000000-0005-0000-0000-00009F070000}"/>
    <cellStyle name="Normal 6 4 3" xfId="1927" xr:uid="{00000000-0005-0000-0000-0000A0070000}"/>
    <cellStyle name="Normal 6 4 3 2" xfId="1928" xr:uid="{00000000-0005-0000-0000-0000A1070000}"/>
    <cellStyle name="Normal 6 4 3 3" xfId="1929" xr:uid="{00000000-0005-0000-0000-0000A2070000}"/>
    <cellStyle name="Normal 6 4 4" xfId="1930" xr:uid="{00000000-0005-0000-0000-0000A3070000}"/>
    <cellStyle name="Normal 6 4 5" xfId="1931" xr:uid="{00000000-0005-0000-0000-0000A4070000}"/>
    <cellStyle name="Normal 6 4 6" xfId="1932" xr:uid="{00000000-0005-0000-0000-0000A5070000}"/>
    <cellStyle name="Normal 6 4 7" xfId="1933" xr:uid="{00000000-0005-0000-0000-0000A6070000}"/>
    <cellStyle name="Normal 6 4 8" xfId="1934" xr:uid="{00000000-0005-0000-0000-0000A7070000}"/>
    <cellStyle name="Normal 6 4 9" xfId="1935" xr:uid="{00000000-0005-0000-0000-0000A8070000}"/>
    <cellStyle name="Normal 6 5" xfId="1936" xr:uid="{00000000-0005-0000-0000-0000A9070000}"/>
    <cellStyle name="Normal 6 5 2" xfId="1937" xr:uid="{00000000-0005-0000-0000-0000AA070000}"/>
    <cellStyle name="Normal 6 5 2 2" xfId="1938" xr:uid="{00000000-0005-0000-0000-0000AB070000}"/>
    <cellStyle name="Normal 6 5 2 2 2" xfId="1939" xr:uid="{00000000-0005-0000-0000-0000AC070000}"/>
    <cellStyle name="Normal 6 5 2 3" xfId="1940" xr:uid="{00000000-0005-0000-0000-0000AD070000}"/>
    <cellStyle name="Normal 6 5 2 4" xfId="1941" xr:uid="{00000000-0005-0000-0000-0000AE070000}"/>
    <cellStyle name="Normal 6 5 3" xfId="1942" xr:uid="{00000000-0005-0000-0000-0000AF070000}"/>
    <cellStyle name="Normal 6 5 3 2" xfId="1943" xr:uid="{00000000-0005-0000-0000-0000B0070000}"/>
    <cellStyle name="Normal 6 5 3 3" xfId="1944" xr:uid="{00000000-0005-0000-0000-0000B1070000}"/>
    <cellStyle name="Normal 6 5 4" xfId="1945" xr:uid="{00000000-0005-0000-0000-0000B2070000}"/>
    <cellStyle name="Normal 6 5 5" xfId="1946" xr:uid="{00000000-0005-0000-0000-0000B3070000}"/>
    <cellStyle name="Normal 6 5 6" xfId="1947" xr:uid="{00000000-0005-0000-0000-0000B4070000}"/>
    <cellStyle name="Normal 6 5 7" xfId="1948" xr:uid="{00000000-0005-0000-0000-0000B5070000}"/>
    <cellStyle name="Normal 6 5 8" xfId="1949" xr:uid="{00000000-0005-0000-0000-0000B6070000}"/>
    <cellStyle name="Normal 6 5 9" xfId="1950" xr:uid="{00000000-0005-0000-0000-0000B7070000}"/>
    <cellStyle name="Normal 6 6" xfId="1951" xr:uid="{00000000-0005-0000-0000-0000B8070000}"/>
    <cellStyle name="Normal 6 6 2" xfId="1952" xr:uid="{00000000-0005-0000-0000-0000B9070000}"/>
    <cellStyle name="Normal 6 6 2 2" xfId="1953" xr:uid="{00000000-0005-0000-0000-0000BA070000}"/>
    <cellStyle name="Normal 6 6 2 2 2" xfId="1954" xr:uid="{00000000-0005-0000-0000-0000BB070000}"/>
    <cellStyle name="Normal 6 6 2 3" xfId="1955" xr:uid="{00000000-0005-0000-0000-0000BC070000}"/>
    <cellStyle name="Normal 6 6 2 4" xfId="1956" xr:uid="{00000000-0005-0000-0000-0000BD070000}"/>
    <cellStyle name="Normal 6 6 3" xfId="1957" xr:uid="{00000000-0005-0000-0000-0000BE070000}"/>
    <cellStyle name="Normal 6 6 3 2" xfId="1958" xr:uid="{00000000-0005-0000-0000-0000BF070000}"/>
    <cellStyle name="Normal 6 6 3 3" xfId="1959" xr:uid="{00000000-0005-0000-0000-0000C0070000}"/>
    <cellStyle name="Normal 6 6 4" xfId="1960" xr:uid="{00000000-0005-0000-0000-0000C1070000}"/>
    <cellStyle name="Normal 6 6 5" xfId="1961" xr:uid="{00000000-0005-0000-0000-0000C2070000}"/>
    <cellStyle name="Normal 6 6 6" xfId="1962" xr:uid="{00000000-0005-0000-0000-0000C3070000}"/>
    <cellStyle name="Normal 6 6 7" xfId="1963" xr:uid="{00000000-0005-0000-0000-0000C4070000}"/>
    <cellStyle name="Normal 6 6 8" xfId="1964" xr:uid="{00000000-0005-0000-0000-0000C5070000}"/>
    <cellStyle name="Normal 6 6 9" xfId="1965" xr:uid="{00000000-0005-0000-0000-0000C6070000}"/>
    <cellStyle name="Normal 6 7" xfId="1966" xr:uid="{00000000-0005-0000-0000-0000C7070000}"/>
    <cellStyle name="Normal 6 7 2" xfId="1967" xr:uid="{00000000-0005-0000-0000-0000C8070000}"/>
    <cellStyle name="Normal 6 7 2 2" xfId="1968" xr:uid="{00000000-0005-0000-0000-0000C9070000}"/>
    <cellStyle name="Normal 6 7 3" xfId="1969" xr:uid="{00000000-0005-0000-0000-0000CA070000}"/>
    <cellStyle name="Normal 6 7 4" xfId="1970" xr:uid="{00000000-0005-0000-0000-0000CB070000}"/>
    <cellStyle name="Normal 6 7 5" xfId="1971" xr:uid="{00000000-0005-0000-0000-0000CC070000}"/>
    <cellStyle name="Normal 6 8" xfId="1972" xr:uid="{00000000-0005-0000-0000-0000CD070000}"/>
    <cellStyle name="Normal 6 8 2" xfId="1973" xr:uid="{00000000-0005-0000-0000-0000CE070000}"/>
    <cellStyle name="Normal 6 8 3" xfId="1974" xr:uid="{00000000-0005-0000-0000-0000CF070000}"/>
    <cellStyle name="Normal 6 8 4" xfId="1975" xr:uid="{00000000-0005-0000-0000-0000D0070000}"/>
    <cellStyle name="Normal 6 9" xfId="1976" xr:uid="{00000000-0005-0000-0000-0000D1070000}"/>
    <cellStyle name="Normal 7" xfId="1977" xr:uid="{00000000-0005-0000-0000-0000D2070000}"/>
    <cellStyle name="Normal 7 10" xfId="1978" xr:uid="{00000000-0005-0000-0000-0000D3070000}"/>
    <cellStyle name="Normal 7 11" xfId="1979" xr:uid="{00000000-0005-0000-0000-0000D4070000}"/>
    <cellStyle name="Normal 7 12" xfId="1980" xr:uid="{00000000-0005-0000-0000-0000D5070000}"/>
    <cellStyle name="Normal 7 13" xfId="1981" xr:uid="{00000000-0005-0000-0000-0000D6070000}"/>
    <cellStyle name="Normal 7 14" xfId="1982" xr:uid="{00000000-0005-0000-0000-0000D7070000}"/>
    <cellStyle name="Normal 7 15" xfId="1983" xr:uid="{00000000-0005-0000-0000-0000D8070000}"/>
    <cellStyle name="Normal 7 16" xfId="1984" xr:uid="{00000000-0005-0000-0000-0000D9070000}"/>
    <cellStyle name="Normal 7 17" xfId="1985" xr:uid="{00000000-0005-0000-0000-0000DA070000}"/>
    <cellStyle name="Normal 7 18" xfId="1986" xr:uid="{00000000-0005-0000-0000-0000DB070000}"/>
    <cellStyle name="Normal 7 19" xfId="1987" xr:uid="{00000000-0005-0000-0000-0000DC070000}"/>
    <cellStyle name="Normal 7 2" xfId="1988" xr:uid="{00000000-0005-0000-0000-0000DD070000}"/>
    <cellStyle name="Normal 7 2 2" xfId="1989" xr:uid="{00000000-0005-0000-0000-0000DE070000}"/>
    <cellStyle name="Normal 7 2 2 2" xfId="1990" xr:uid="{00000000-0005-0000-0000-0000DF070000}"/>
    <cellStyle name="Normal 7 2 3" xfId="1991" xr:uid="{00000000-0005-0000-0000-0000E0070000}"/>
    <cellStyle name="Normal 7 2 4" xfId="1992" xr:uid="{00000000-0005-0000-0000-0000E1070000}"/>
    <cellStyle name="Normal 7 2 5" xfId="1993" xr:uid="{00000000-0005-0000-0000-0000E2070000}"/>
    <cellStyle name="Normal 7 20" xfId="1994" xr:uid="{00000000-0005-0000-0000-0000E3070000}"/>
    <cellStyle name="Normal 7 21" xfId="1995" xr:uid="{00000000-0005-0000-0000-0000E4070000}"/>
    <cellStyle name="Normal 7 22" xfId="1996" xr:uid="{00000000-0005-0000-0000-0000E5070000}"/>
    <cellStyle name="Normal 7 23" xfId="1997" xr:uid="{00000000-0005-0000-0000-0000E6070000}"/>
    <cellStyle name="Normal 7 24" xfId="1998" xr:uid="{00000000-0005-0000-0000-0000E7070000}"/>
    <cellStyle name="Normal 7 25" xfId="1999" xr:uid="{00000000-0005-0000-0000-0000E8070000}"/>
    <cellStyle name="Normal 7 26" xfId="2000" xr:uid="{00000000-0005-0000-0000-0000E9070000}"/>
    <cellStyle name="Normal 7 27" xfId="2001" xr:uid="{00000000-0005-0000-0000-0000EA070000}"/>
    <cellStyle name="Normal 7 28" xfId="2002" xr:uid="{00000000-0005-0000-0000-0000EB070000}"/>
    <cellStyle name="Normal 7 29" xfId="2003" xr:uid="{00000000-0005-0000-0000-0000EC070000}"/>
    <cellStyle name="Normal 7 3" xfId="2004" xr:uid="{00000000-0005-0000-0000-0000ED070000}"/>
    <cellStyle name="Normal 7 3 2" xfId="2005" xr:uid="{00000000-0005-0000-0000-0000EE070000}"/>
    <cellStyle name="Normal 7 3 3" xfId="2006" xr:uid="{00000000-0005-0000-0000-0000EF070000}"/>
    <cellStyle name="Normal 7 3 4" xfId="2007" xr:uid="{00000000-0005-0000-0000-0000F0070000}"/>
    <cellStyle name="Normal 7 30" xfId="2008" xr:uid="{00000000-0005-0000-0000-0000F1070000}"/>
    <cellStyle name="Normal 7 31" xfId="2009" xr:uid="{00000000-0005-0000-0000-0000F2070000}"/>
    <cellStyle name="Normal 7 32" xfId="2010" xr:uid="{00000000-0005-0000-0000-0000F3070000}"/>
    <cellStyle name="Normal 7 33" xfId="2011" xr:uid="{00000000-0005-0000-0000-0000F4070000}"/>
    <cellStyle name="Normal 7 34" xfId="2012" xr:uid="{00000000-0005-0000-0000-0000F5070000}"/>
    <cellStyle name="Normal 7 35" xfId="2013" xr:uid="{00000000-0005-0000-0000-0000F6070000}"/>
    <cellStyle name="Normal 7 36" xfId="2053" xr:uid="{00000000-0005-0000-0000-0000F7070000}"/>
    <cellStyle name="Normal 7 4" xfId="2014" xr:uid="{00000000-0005-0000-0000-0000F8070000}"/>
    <cellStyle name="Normal 7 5" xfId="2015" xr:uid="{00000000-0005-0000-0000-0000F9070000}"/>
    <cellStyle name="Normal 7 6" xfId="2016" xr:uid="{00000000-0005-0000-0000-0000FA070000}"/>
    <cellStyle name="Normal 7 7" xfId="2017" xr:uid="{00000000-0005-0000-0000-0000FB070000}"/>
    <cellStyle name="Normal 7 8" xfId="2018" xr:uid="{00000000-0005-0000-0000-0000FC070000}"/>
    <cellStyle name="Normal 7 9" xfId="2019" xr:uid="{00000000-0005-0000-0000-0000FD070000}"/>
    <cellStyle name="Normal 8" xfId="2020" xr:uid="{00000000-0005-0000-0000-0000FE070000}"/>
    <cellStyle name="Normal 8 2" xfId="2021" xr:uid="{00000000-0005-0000-0000-0000FF070000}"/>
    <cellStyle name="Normal 8 2 2" xfId="2022" xr:uid="{00000000-0005-0000-0000-000000080000}"/>
    <cellStyle name="Normal 8 3" xfId="2023" xr:uid="{00000000-0005-0000-0000-000001080000}"/>
    <cellStyle name="Normal 8 4" xfId="2024" xr:uid="{00000000-0005-0000-0000-000002080000}"/>
    <cellStyle name="Normal 8 5" xfId="2070" xr:uid="{00000000-0005-0000-0000-000003080000}"/>
    <cellStyle name="Normal 9" xfId="2025" xr:uid="{00000000-0005-0000-0000-000004080000}"/>
    <cellStyle name="Normal 9 2" xfId="2026" xr:uid="{00000000-0005-0000-0000-000005080000}"/>
    <cellStyle name="Porcentaje" xfId="3" builtinId="5"/>
    <cellStyle name="Porcentaje 2" xfId="2046" xr:uid="{00000000-0005-0000-0000-000007080000}"/>
    <cellStyle name="Porcentaje 3" xfId="2049" xr:uid="{00000000-0005-0000-0000-000008080000}"/>
    <cellStyle name="Porcentaje 5" xfId="2073" xr:uid="{00000000-0005-0000-0000-000009080000}"/>
    <cellStyle name="Porcentual 2" xfId="2027" xr:uid="{00000000-0005-0000-0000-00000A080000}"/>
    <cellStyle name="Porcentual 2 2" xfId="2028" xr:uid="{00000000-0005-0000-0000-00000B080000}"/>
    <cellStyle name="Porcentual 2 2 2" xfId="2029" xr:uid="{00000000-0005-0000-0000-00000C080000}"/>
    <cellStyle name="Porcentual 2 3" xfId="2030" xr:uid="{00000000-0005-0000-0000-00000D080000}"/>
    <cellStyle name="Porcentual 2 4" xfId="2031" xr:uid="{00000000-0005-0000-0000-00000E080000}"/>
    <cellStyle name="Porcentual 2 5" xfId="2045" xr:uid="{00000000-0005-0000-0000-00000F080000}"/>
    <cellStyle name="Porcentual 3" xfId="2032" xr:uid="{00000000-0005-0000-0000-000010080000}"/>
    <cellStyle name="Porcentual 3 2" xfId="2033" xr:uid="{00000000-0005-0000-0000-000011080000}"/>
    <cellStyle name="Porcentual 3 3" xfId="2034" xr:uid="{00000000-0005-0000-0000-000012080000}"/>
    <cellStyle name="Porcentual 4" xfId="2035" xr:uid="{00000000-0005-0000-0000-000013080000}"/>
    <cellStyle name="Porcentual 4 2" xfId="2036" xr:uid="{00000000-0005-0000-0000-000014080000}"/>
    <cellStyle name="Porcentual 4 3" xfId="2037" xr:uid="{00000000-0005-0000-0000-000015080000}"/>
    <cellStyle name="Porcentual 5" xfId="2038" xr:uid="{00000000-0005-0000-0000-000016080000}"/>
    <cellStyle name="Porcentual 6" xfId="2039" xr:uid="{00000000-0005-0000-0000-000017080000}"/>
    <cellStyle name="Porcentual 7" xfId="2040" xr:uid="{00000000-0005-0000-0000-000018080000}"/>
    <cellStyle name="Porcentual 8" xfId="2041" xr:uid="{00000000-0005-0000-0000-000019080000}"/>
  </cellStyles>
  <dxfs count="0"/>
  <tableStyles count="0" defaultTableStyle="TableStyleMedium9" defaultPivotStyle="PivotStyleLight16"/>
  <colors>
    <mruColors>
      <color rgb="FFFFFFFF"/>
      <color rgb="FFE7ED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0.xml.rels><?xml version="1.0" encoding="UTF-8" standalone="yes"?>
<Relationships xmlns="http://schemas.openxmlformats.org/package/2006/relationships"><Relationship Id="rId1" Type="http://schemas.openxmlformats.org/officeDocument/2006/relationships/themeOverride" Target="../theme/themeOverride7.xml"/></Relationships>
</file>

<file path=xl/charts/_rels/chart11.xml.rels><?xml version="1.0" encoding="UTF-8" standalone="yes"?>
<Relationships xmlns="http://schemas.openxmlformats.org/package/2006/relationships"><Relationship Id="rId1" Type="http://schemas.openxmlformats.org/officeDocument/2006/relationships/themeOverride" Target="../theme/themeOverride8.xml"/></Relationships>
</file>

<file path=xl/charts/_rels/chart12.xml.rels><?xml version="1.0" encoding="UTF-8" standalone="yes"?>
<Relationships xmlns="http://schemas.openxmlformats.org/package/2006/relationships"><Relationship Id="rId1" Type="http://schemas.openxmlformats.org/officeDocument/2006/relationships/themeOverride" Target="../theme/themeOverride9.xml"/></Relationships>
</file>

<file path=xl/charts/_rels/chart13.xml.rels><?xml version="1.0" encoding="UTF-8" standalone="yes"?>
<Relationships xmlns="http://schemas.openxmlformats.org/package/2006/relationships"><Relationship Id="rId1" Type="http://schemas.openxmlformats.org/officeDocument/2006/relationships/themeOverride" Target="../theme/themeOverride10.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4.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5.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7.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8.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800" b="1" i="0" u="none" strike="noStrike" baseline="0">
              <a:solidFill>
                <a:srgbClr val="000000"/>
              </a:solidFill>
              <a:latin typeface="Calibri"/>
              <a:ea typeface="Calibri"/>
              <a:cs typeface="Calibri"/>
            </a:defRPr>
          </a:pPr>
          <a:endParaRPr lang="es-CO"/>
        </a:p>
      </c:txPr>
    </c:title>
    <c:autoTitleDeleted val="0"/>
    <c:plotArea>
      <c:layout/>
      <c:lineChart>
        <c:grouping val="stacked"/>
        <c:varyColors val="0"/>
        <c:ser>
          <c:idx val="4"/>
          <c:order val="0"/>
          <c:tx>
            <c:strRef>
              <c:f>'REFINACION ACEITE DE PALMA'!$G$6</c:f>
              <c:strCache>
                <c:ptCount val="1"/>
                <c:pt idx="0">
                  <c:v>Merma (%)</c:v>
                </c:pt>
              </c:strCache>
            </c:strRef>
          </c:tx>
          <c:spPr>
            <a:ln>
              <a:solidFill>
                <a:srgbClr val="92D050"/>
              </a:solidFill>
            </a:ln>
          </c:spPr>
          <c:marker>
            <c:symbol val="diamond"/>
            <c:size val="5"/>
            <c:spPr>
              <a:solidFill>
                <a:srgbClr val="FF0000">
                  <a:alpha val="90000"/>
                </a:srgbClr>
              </a:solidFill>
              <a:ln w="12700">
                <a:solidFill>
                  <a:schemeClr val="accent3"/>
                </a:solidFill>
              </a:ln>
            </c:spPr>
          </c:marker>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'REFINACION ACEITE DE PALMA'!$A$7:$A$19</c:f>
              <c:strCache>
                <c:ptCount val="13"/>
                <c:pt idx="0">
                  <c:v>may-20</c:v>
                </c:pt>
                <c:pt idx="1">
                  <c:v>jun-20</c:v>
                </c:pt>
                <c:pt idx="2">
                  <c:v>jul-20</c:v>
                </c:pt>
                <c:pt idx="3">
                  <c:v>ago-20</c:v>
                </c:pt>
                <c:pt idx="4">
                  <c:v>sep-20</c:v>
                </c:pt>
                <c:pt idx="5">
                  <c:v>oct-20</c:v>
                </c:pt>
                <c:pt idx="6">
                  <c:v>nov-20</c:v>
                </c:pt>
                <c:pt idx="7">
                  <c:v>dic-20</c:v>
                </c:pt>
                <c:pt idx="8">
                  <c:v>ene-21</c:v>
                </c:pt>
                <c:pt idx="9">
                  <c:v>feb-21</c:v>
                </c:pt>
                <c:pt idx="10">
                  <c:v>mar-21</c:v>
                </c:pt>
                <c:pt idx="11">
                  <c:v>abr-21</c:v>
                </c:pt>
                <c:pt idx="12">
                  <c:v>Totales</c:v>
                </c:pt>
              </c:strCache>
            </c:strRef>
          </c:cat>
          <c:val>
            <c:numRef>
              <c:f>'REFINACION ACEITE DE PALMA'!$G$7:$G$19</c:f>
              <c:numCache>
                <c:formatCode>0.00%</c:formatCode>
                <c:ptCount val="13"/>
                <c:pt idx="0">
                  <c:v>1.0702156227786115E-2</c:v>
                </c:pt>
                <c:pt idx="1">
                  <c:v>5.3055127086479321E-3</c:v>
                </c:pt>
                <c:pt idx="2">
                  <c:v>5.3997738082429405E-3</c:v>
                </c:pt>
                <c:pt idx="3">
                  <c:v>5.2109986159423576E-3</c:v>
                </c:pt>
                <c:pt idx="4">
                  <c:v>6.735704396190095E-3</c:v>
                </c:pt>
                <c:pt idx="5">
                  <c:v>1.0043106112975108E-2</c:v>
                </c:pt>
                <c:pt idx="6">
                  <c:v>2.2641672369463076E-2</c:v>
                </c:pt>
                <c:pt idx="7">
                  <c:v>5.3426969057306069E-3</c:v>
                </c:pt>
                <c:pt idx="8">
                  <c:v>5.242793358857677E-3</c:v>
                </c:pt>
                <c:pt idx="9">
                  <c:v>4.8494481461145503E-3</c:v>
                </c:pt>
                <c:pt idx="10">
                  <c:v>4.7514839344428329E-3</c:v>
                </c:pt>
                <c:pt idx="11">
                  <c:v>5.1646087701970114E-3</c:v>
                </c:pt>
                <c:pt idx="12">
                  <c:v>7.6158296128825244E-3</c:v>
                </c:pt>
              </c:numCache>
            </c:numRef>
          </c:val>
          <c:smooth val="0"/>
          <c:extLst>
            <c:ext xmlns:c16="http://schemas.microsoft.com/office/drawing/2014/chart" uri="{C3380CC4-5D6E-409C-BE32-E72D297353CC}">
              <c16:uniqueId val="{00000000-FE06-466B-B694-529155D94B1E}"/>
            </c:ext>
          </c:extLst>
        </c:ser>
        <c:dLbls>
          <c:showLegendKey val="0"/>
          <c:showVal val="0"/>
          <c:showCatName val="0"/>
          <c:showSerName val="0"/>
          <c:showPercent val="0"/>
          <c:showBubbleSize val="0"/>
        </c:dLbls>
        <c:marker val="1"/>
        <c:smooth val="0"/>
        <c:axId val="144777600"/>
        <c:axId val="144779136"/>
      </c:lineChart>
      <c:catAx>
        <c:axId val="144777600"/>
        <c:scaling>
          <c:orientation val="minMax"/>
        </c:scaling>
        <c:delete val="0"/>
        <c:axPos val="b"/>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144779136"/>
        <c:crosses val="autoZero"/>
        <c:auto val="1"/>
        <c:lblAlgn val="ctr"/>
        <c:lblOffset val="100"/>
        <c:noMultiLvlLbl val="0"/>
      </c:catAx>
      <c:valAx>
        <c:axId val="144779136"/>
        <c:scaling>
          <c:orientation val="minMax"/>
          <c:min val="3.5000000000000612E-3"/>
        </c:scaling>
        <c:delete val="0"/>
        <c:axPos val="l"/>
        <c:majorGridlines/>
        <c:numFmt formatCode="0.0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144777600"/>
        <c:crosses val="autoZero"/>
        <c:crossBetween val="between"/>
      </c:valAx>
      <c:dTable>
        <c:showHorzBorder val="1"/>
        <c:showVertBorder val="1"/>
        <c:showOutline val="1"/>
        <c:showKeys val="1"/>
        <c:txPr>
          <a:bodyPr/>
          <a:lstStyle/>
          <a:p>
            <a:pPr rtl="0">
              <a:defRPr sz="800" b="0" i="0" u="none" strike="noStrike" baseline="0">
                <a:solidFill>
                  <a:srgbClr val="000000"/>
                </a:solidFill>
                <a:latin typeface="Calibri"/>
                <a:ea typeface="Calibri"/>
                <a:cs typeface="Calibri"/>
              </a:defRPr>
            </a:pPr>
            <a:endParaRPr lang="es-CO"/>
          </a:p>
        </c:txPr>
      </c:dTable>
    </c:plotArea>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1465" l="0.70000000000000062" r="0.70000000000000062" t="0.7500000000000146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1000"/>
            </a:pPr>
            <a:r>
              <a:rPr lang="es-CO"/>
              <a:t>CONSUMO DE SODA</a:t>
            </a:r>
            <a:r>
              <a:rPr lang="es-CO" baseline="0"/>
              <a:t> CAUSTICA</a:t>
            </a:r>
            <a:endParaRPr lang="es-CO"/>
          </a:p>
        </c:rich>
      </c:tx>
      <c:overlay val="0"/>
    </c:title>
    <c:autoTitleDeleted val="0"/>
    <c:plotArea>
      <c:layout>
        <c:manualLayout>
          <c:layoutTarget val="inner"/>
          <c:xMode val="edge"/>
          <c:yMode val="edge"/>
          <c:x val="0.22919282272470107"/>
          <c:y val="0.14785535910787831"/>
          <c:w val="0.73908497765546011"/>
          <c:h val="0.42842858402948597"/>
        </c:manualLayout>
      </c:layout>
      <c:lineChart>
        <c:grouping val="standard"/>
        <c:varyColors val="0"/>
        <c:ser>
          <c:idx val="1"/>
          <c:order val="0"/>
          <c:tx>
            <c:strRef>
              <c:f>'INDICADORES PRODUCCION'!$A$31</c:f>
              <c:strCache>
                <c:ptCount val="1"/>
                <c:pt idx="0">
                  <c:v>Soda Caústica</c:v>
                </c:pt>
              </c:strCache>
            </c:strRef>
          </c:tx>
          <c:spPr>
            <a:ln w="22225"/>
          </c:spPr>
          <c:marker>
            <c:symbol val="circle"/>
            <c:size val="4"/>
          </c:marker>
          <c:dLbls>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'INDICADORES PRODUCCION'!$C$7:$N$7</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'INDICADORES PRODUCCION'!$C$31:$N$31</c:f>
              <c:numCache>
                <c:formatCode>0.00</c:formatCode>
                <c:ptCount val="12"/>
                <c:pt idx="0">
                  <c:v>0.82348460056973338</c:v>
                </c:pt>
                <c:pt idx="1">
                  <c:v>0.71986443020069368</c:v>
                </c:pt>
                <c:pt idx="2">
                  <c:v>0.74822385144962755</c:v>
                </c:pt>
                <c:pt idx="3">
                  <c:v>0.90668403994436164</c:v>
                </c:pt>
                <c:pt idx="4">
                  <c:v>0.93667516336529588</c:v>
                </c:pt>
                <c:pt idx="5">
                  <c:v>0.84006200678679932</c:v>
                </c:pt>
                <c:pt idx="6">
                  <c:v>0.87323532095922718</c:v>
                </c:pt>
                <c:pt idx="7">
                  <c:v>0.81064366195433524</c:v>
                </c:pt>
                <c:pt idx="8">
                  <c:v>0.96963778012364876</c:v>
                </c:pt>
                <c:pt idx="9">
                  <c:v>0.98466891107584598</c:v>
                </c:pt>
                <c:pt idx="10">
                  <c:v>1.1624868327823983</c:v>
                </c:pt>
                <c:pt idx="11">
                  <c:v>1.1499804090700982</c:v>
                </c:pt>
              </c:numCache>
            </c:numRef>
          </c:val>
          <c:smooth val="0"/>
          <c:extLst>
            <c:ext xmlns:c16="http://schemas.microsoft.com/office/drawing/2014/chart" uri="{C3380CC4-5D6E-409C-BE32-E72D297353CC}">
              <c16:uniqueId val="{00000000-C279-4DC0-8069-846A05F6AA62}"/>
            </c:ext>
          </c:extLst>
        </c:ser>
        <c:ser>
          <c:idx val="0"/>
          <c:order val="1"/>
          <c:tx>
            <c:v>Promedio</c:v>
          </c:tx>
          <c:spPr>
            <a:ln w="22225"/>
          </c:spPr>
          <c:marker>
            <c:symbol val="none"/>
          </c:marker>
          <c:cat>
            <c:numRef>
              <c:f>'INDICADORES PRODUCCION'!$C$7:$N$7</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('INDICADORES PRODUCCION'!$O$31,'INDICADORES PRODUCCION'!$O$31,'INDICADORES PRODUCCION'!$O$31,'INDICADORES PRODUCCION'!$O$31,'INDICADORES PRODUCCION'!$O$31,'INDICADORES PRODUCCION'!$O$31,'INDICADORES PRODUCCION'!$O$31,'INDICADORES PRODUCCION'!$O$31,'INDICADORES PRODUCCION'!$O$31,'INDICADORES PRODUCCION'!$O$31,'INDICADORES PRODUCCION'!$O$31,'INDICADORES PRODUCCION'!$O$31)</c:f>
              <c:numCache>
                <c:formatCode>0.00</c:formatCode>
                <c:ptCount val="12"/>
                <c:pt idx="0">
                  <c:v>0.91533898804721781</c:v>
                </c:pt>
                <c:pt idx="1">
                  <c:v>0.91533898804721781</c:v>
                </c:pt>
                <c:pt idx="2">
                  <c:v>0.91533898804721781</c:v>
                </c:pt>
                <c:pt idx="3">
                  <c:v>0.91533898804721781</c:v>
                </c:pt>
                <c:pt idx="4">
                  <c:v>0.91533898804721781</c:v>
                </c:pt>
                <c:pt idx="5">
                  <c:v>0.91533898804721781</c:v>
                </c:pt>
                <c:pt idx="6">
                  <c:v>0.91533898804721781</c:v>
                </c:pt>
                <c:pt idx="7">
                  <c:v>0.91533898804721781</c:v>
                </c:pt>
                <c:pt idx="8">
                  <c:v>0.91533898804721781</c:v>
                </c:pt>
                <c:pt idx="9">
                  <c:v>0.91533898804721781</c:v>
                </c:pt>
                <c:pt idx="10">
                  <c:v>0.91533898804721781</c:v>
                </c:pt>
                <c:pt idx="11">
                  <c:v>0.91533898804721781</c:v>
                </c:pt>
              </c:numCache>
            </c:numRef>
          </c:val>
          <c:smooth val="0"/>
          <c:extLst>
            <c:ext xmlns:c16="http://schemas.microsoft.com/office/drawing/2014/chart" uri="{C3380CC4-5D6E-409C-BE32-E72D297353CC}">
              <c16:uniqueId val="{00000001-C279-4DC0-8069-846A05F6AA62}"/>
            </c:ext>
          </c:extLst>
        </c:ser>
        <c:ser>
          <c:idx val="2"/>
          <c:order val="2"/>
          <c:tx>
            <c:v>B100 - P1</c:v>
          </c:tx>
          <c:cat>
            <c:numRef>
              <c:f>'INDICADORES PRODUCCION'!$C$7:$N$7</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'INDICADORES PRODUCCION'!$C$8:$N$8</c:f>
              <c:numCache>
                <c:formatCode>_-* #,##0.00\ _€_-;\-* #,##0.00\ _€_-;_-* "-"??\ _€_-;_-@_-</c:formatCode>
                <c:ptCount val="12"/>
                <c:pt idx="0">
                  <c:v>5964.8959999999997</c:v>
                </c:pt>
                <c:pt idx="1">
                  <c:v>5355.1750000000002</c:v>
                </c:pt>
                <c:pt idx="2">
                  <c:v>9342.1239999999998</c:v>
                </c:pt>
                <c:pt idx="3">
                  <c:v>7241.7730000000001</c:v>
                </c:pt>
                <c:pt idx="4">
                  <c:v>5968.9849999999997</c:v>
                </c:pt>
                <c:pt idx="5">
                  <c:v>9049.3320000000003</c:v>
                </c:pt>
                <c:pt idx="6">
                  <c:v>9116.6720000000005</c:v>
                </c:pt>
                <c:pt idx="7">
                  <c:v>7164.6769999999997</c:v>
                </c:pt>
                <c:pt idx="8">
                  <c:v>8011.2389999999996</c:v>
                </c:pt>
                <c:pt idx="9">
                  <c:v>7086.6459999999997</c:v>
                </c:pt>
                <c:pt idx="10">
                  <c:v>8166.1139999999996</c:v>
                </c:pt>
                <c:pt idx="11">
                  <c:v>8361.0120000000006</c:v>
                </c:pt>
              </c:numCache>
            </c:numRef>
          </c:val>
          <c:smooth val="0"/>
          <c:extLst>
            <c:ext xmlns:c16="http://schemas.microsoft.com/office/drawing/2014/chart" uri="{C3380CC4-5D6E-409C-BE32-E72D297353CC}">
              <c16:uniqueId val="{00000002-C279-4DC0-8069-846A05F6AA62}"/>
            </c:ext>
          </c:extLst>
        </c:ser>
        <c:dLbls>
          <c:showLegendKey val="0"/>
          <c:showVal val="0"/>
          <c:showCatName val="0"/>
          <c:showSerName val="0"/>
          <c:showPercent val="0"/>
          <c:showBubbleSize val="0"/>
        </c:dLbls>
        <c:marker val="1"/>
        <c:smooth val="0"/>
        <c:axId val="144595584"/>
        <c:axId val="144609664"/>
      </c:lineChart>
      <c:dateAx>
        <c:axId val="144595584"/>
        <c:scaling>
          <c:orientation val="minMax"/>
        </c:scaling>
        <c:delete val="0"/>
        <c:axPos val="b"/>
        <c:numFmt formatCode="mmm\-yy" sourceLinked="0"/>
        <c:majorTickMark val="none"/>
        <c:minorTickMark val="none"/>
        <c:tickLblPos val="nextTo"/>
        <c:txPr>
          <a:bodyPr rot="0" vert="horz"/>
          <a:lstStyle/>
          <a:p>
            <a:pPr>
              <a:defRPr/>
            </a:pPr>
            <a:endParaRPr lang="es-CO"/>
          </a:p>
        </c:txPr>
        <c:crossAx val="144609664"/>
        <c:crosses val="autoZero"/>
        <c:auto val="1"/>
        <c:lblOffset val="100"/>
        <c:baseTimeUnit val="months"/>
      </c:dateAx>
      <c:valAx>
        <c:axId val="144609664"/>
        <c:scaling>
          <c:orientation val="minMax"/>
          <c:max val="1.8"/>
          <c:min val="0.60000000000000064"/>
        </c:scaling>
        <c:delete val="0"/>
        <c:axPos val="l"/>
        <c:majorGridlines/>
        <c:title>
          <c:tx>
            <c:rich>
              <a:bodyPr/>
              <a:lstStyle/>
              <a:p>
                <a:pPr>
                  <a:defRPr/>
                </a:pPr>
                <a:r>
                  <a:rPr lang="es-CO"/>
                  <a:t>kg/Ton</a:t>
                </a:r>
                <a:r>
                  <a:rPr lang="es-CO" baseline="0"/>
                  <a:t> B100</a:t>
                </a:r>
                <a:endParaRPr lang="es-CO"/>
              </a:p>
            </c:rich>
          </c:tx>
          <c:layout>
            <c:manualLayout>
              <c:xMode val="edge"/>
              <c:yMode val="edge"/>
              <c:x val="8.8330042606255862E-2"/>
              <c:y val="0.27840855687350791"/>
            </c:manualLayout>
          </c:layout>
          <c:overlay val="0"/>
        </c:title>
        <c:numFmt formatCode="0.0" sourceLinked="0"/>
        <c:majorTickMark val="none"/>
        <c:minorTickMark val="none"/>
        <c:tickLblPos val="nextTo"/>
        <c:txPr>
          <a:bodyPr rot="0" vert="horz"/>
          <a:lstStyle/>
          <a:p>
            <a:pPr>
              <a:defRPr/>
            </a:pPr>
            <a:endParaRPr lang="es-CO"/>
          </a:p>
        </c:txPr>
        <c:crossAx val="144595584"/>
        <c:crosses val="autoZero"/>
        <c:crossBetween val="between"/>
        <c:majorUnit val="0.2"/>
      </c:valAx>
      <c:dTable>
        <c:showHorzBorder val="1"/>
        <c:showVertBorder val="1"/>
        <c:showOutline val="1"/>
        <c:showKeys val="1"/>
      </c:dTable>
      <c:spPr>
        <a:ln>
          <a:solidFill>
            <a:sysClr val="windowText" lastClr="000000"/>
          </a:solidFill>
        </a:ln>
      </c:spPr>
    </c:plotArea>
    <c:plotVisOnly val="1"/>
    <c:dispBlanksAs val="gap"/>
    <c:showDLblsOverMax val="0"/>
  </c:chart>
  <c:txPr>
    <a:bodyPr/>
    <a:lstStyle/>
    <a:p>
      <a:pPr>
        <a:defRPr sz="800"/>
      </a:pPr>
      <a:endParaRPr lang="es-CO"/>
    </a:p>
  </c:txPr>
  <c:printSettings>
    <c:headerFooter/>
    <c:pageMargins b="0.75000000000001465" l="0.70000000000000062" r="0.70000000000000062" t="0.7500000000000146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1000"/>
            </a:pPr>
            <a:r>
              <a:rPr lang="es-CO"/>
              <a:t>CONSUMO DE VAPOR</a:t>
            </a:r>
          </a:p>
        </c:rich>
      </c:tx>
      <c:overlay val="0"/>
    </c:title>
    <c:autoTitleDeleted val="0"/>
    <c:plotArea>
      <c:layout>
        <c:manualLayout>
          <c:layoutTarget val="inner"/>
          <c:xMode val="edge"/>
          <c:yMode val="edge"/>
          <c:x val="0.19094876857529494"/>
          <c:y val="0.14785535910787825"/>
          <c:w val="0.74492242893665617"/>
          <c:h val="0.42842858402948569"/>
        </c:manualLayout>
      </c:layout>
      <c:lineChart>
        <c:grouping val="standard"/>
        <c:varyColors val="0"/>
        <c:ser>
          <c:idx val="1"/>
          <c:order val="0"/>
          <c:tx>
            <c:strRef>
              <c:f>'INDICADORES PRODUCCION'!$A$59</c:f>
              <c:strCache>
                <c:ptCount val="1"/>
                <c:pt idx="0">
                  <c:v>Vapor</c:v>
                </c:pt>
              </c:strCache>
            </c:strRef>
          </c:tx>
          <c:spPr>
            <a:ln w="22225"/>
          </c:spPr>
          <c:marker>
            <c:symbol val="circle"/>
            <c:size val="4"/>
          </c:marker>
          <c:dLbls>
            <c:numFmt formatCode="#,##0.0" sourceLinked="0"/>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'INDICADORES PRODUCCION'!$C$7:$N$7</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'INDICADORES PRODUCCION'!$C$59:$N$59</c:f>
              <c:numCache>
                <c:formatCode>0.00</c:formatCode>
                <c:ptCount val="12"/>
                <c:pt idx="0">
                  <c:v>368.00006228111545</c:v>
                </c:pt>
                <c:pt idx="1">
                  <c:v>366.38000080603064</c:v>
                </c:pt>
                <c:pt idx="2">
                  <c:v>369.19996839029494</c:v>
                </c:pt>
                <c:pt idx="3">
                  <c:v>365.09994688103473</c:v>
                </c:pt>
                <c:pt idx="4">
                  <c:v>362.9999863109789</c:v>
                </c:pt>
                <c:pt idx="5">
                  <c:v>348.38002200173855</c:v>
                </c:pt>
                <c:pt idx="6">
                  <c:v>350.53997774626527</c:v>
                </c:pt>
                <c:pt idx="7">
                  <c:v>349.37612365861804</c:v>
                </c:pt>
                <c:pt idx="8">
                  <c:v>345.03239761040709</c:v>
                </c:pt>
                <c:pt idx="9">
                  <c:v>356.75194680247893</c:v>
                </c:pt>
                <c:pt idx="10">
                  <c:v>347.10193857200625</c:v>
                </c:pt>
                <c:pt idx="11">
                  <c:v>396.40272805238891</c:v>
                </c:pt>
              </c:numCache>
            </c:numRef>
          </c:val>
          <c:smooth val="0"/>
          <c:extLst>
            <c:ext xmlns:c16="http://schemas.microsoft.com/office/drawing/2014/chart" uri="{C3380CC4-5D6E-409C-BE32-E72D297353CC}">
              <c16:uniqueId val="{00000000-4252-498F-94F8-7AF6B65741A0}"/>
            </c:ext>
          </c:extLst>
        </c:ser>
        <c:ser>
          <c:idx val="0"/>
          <c:order val="1"/>
          <c:tx>
            <c:v>Promedio</c:v>
          </c:tx>
          <c:spPr>
            <a:ln w="22225"/>
          </c:spPr>
          <c:marker>
            <c:symbol val="none"/>
          </c:marker>
          <c:cat>
            <c:numRef>
              <c:f>'INDICADORES PRODUCCION'!$C$7:$N$7</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('INDICADORES PRODUCCION'!$O$59,'INDICADORES PRODUCCION'!$O$59,'INDICADORES PRODUCCION'!$O$59,'INDICADORES PRODUCCION'!$O$59,'INDICADORES PRODUCCION'!$O$59,'INDICADORES PRODUCCION'!$O$59,'INDICADORES PRODUCCION'!$O$59,'INDICADORES PRODUCCION'!$O$59,'INDICADORES PRODUCCION'!$O$59,'INDICADORES PRODUCCION'!$O$59,'INDICADORES PRODUCCION'!$O$59,'INDICADORES PRODUCCION'!$O$59)</c:f>
              <c:numCache>
                <c:formatCode>0.00</c:formatCode>
                <c:ptCount val="12"/>
                <c:pt idx="0">
                  <c:v>358.49889456557577</c:v>
                </c:pt>
                <c:pt idx="1">
                  <c:v>358.49889456557577</c:v>
                </c:pt>
                <c:pt idx="2">
                  <c:v>358.49889456557577</c:v>
                </c:pt>
                <c:pt idx="3">
                  <c:v>358.49889456557577</c:v>
                </c:pt>
                <c:pt idx="4">
                  <c:v>358.49889456557577</c:v>
                </c:pt>
                <c:pt idx="5">
                  <c:v>358.49889456557577</c:v>
                </c:pt>
                <c:pt idx="6">
                  <c:v>358.49889456557577</c:v>
                </c:pt>
                <c:pt idx="7">
                  <c:v>358.49889456557577</c:v>
                </c:pt>
                <c:pt idx="8">
                  <c:v>358.49889456557577</c:v>
                </c:pt>
                <c:pt idx="9">
                  <c:v>358.49889456557577</c:v>
                </c:pt>
                <c:pt idx="10">
                  <c:v>358.49889456557577</c:v>
                </c:pt>
                <c:pt idx="11">
                  <c:v>358.49889456557577</c:v>
                </c:pt>
              </c:numCache>
            </c:numRef>
          </c:val>
          <c:smooth val="0"/>
          <c:extLst>
            <c:ext xmlns:c16="http://schemas.microsoft.com/office/drawing/2014/chart" uri="{C3380CC4-5D6E-409C-BE32-E72D297353CC}">
              <c16:uniqueId val="{00000001-4252-498F-94F8-7AF6B65741A0}"/>
            </c:ext>
          </c:extLst>
        </c:ser>
        <c:ser>
          <c:idx val="2"/>
          <c:order val="2"/>
          <c:tx>
            <c:v>B100 - P1</c:v>
          </c:tx>
          <c:cat>
            <c:numRef>
              <c:f>'INDICADORES PRODUCCION'!$C$7:$N$7</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'INDICADORES PRODUCCION'!$C$8:$N$8</c:f>
              <c:numCache>
                <c:formatCode>_-* #,##0.00\ _€_-;\-* #,##0.00\ _€_-;_-* "-"??\ _€_-;_-@_-</c:formatCode>
                <c:ptCount val="12"/>
                <c:pt idx="0">
                  <c:v>5964.8959999999997</c:v>
                </c:pt>
                <c:pt idx="1">
                  <c:v>5355.1750000000002</c:v>
                </c:pt>
                <c:pt idx="2">
                  <c:v>9342.1239999999998</c:v>
                </c:pt>
                <c:pt idx="3">
                  <c:v>7241.7730000000001</c:v>
                </c:pt>
                <c:pt idx="4">
                  <c:v>5968.9849999999997</c:v>
                </c:pt>
                <c:pt idx="5">
                  <c:v>9049.3320000000003</c:v>
                </c:pt>
                <c:pt idx="6">
                  <c:v>9116.6720000000005</c:v>
                </c:pt>
                <c:pt idx="7">
                  <c:v>7164.6769999999997</c:v>
                </c:pt>
                <c:pt idx="8">
                  <c:v>8011.2389999999996</c:v>
                </c:pt>
                <c:pt idx="9">
                  <c:v>7086.6459999999997</c:v>
                </c:pt>
                <c:pt idx="10">
                  <c:v>8166.1139999999996</c:v>
                </c:pt>
                <c:pt idx="11">
                  <c:v>8361.0120000000006</c:v>
                </c:pt>
              </c:numCache>
            </c:numRef>
          </c:val>
          <c:smooth val="0"/>
          <c:extLst>
            <c:ext xmlns:c16="http://schemas.microsoft.com/office/drawing/2014/chart" uri="{C3380CC4-5D6E-409C-BE32-E72D297353CC}">
              <c16:uniqueId val="{00000002-4252-498F-94F8-7AF6B65741A0}"/>
            </c:ext>
          </c:extLst>
        </c:ser>
        <c:dLbls>
          <c:showLegendKey val="0"/>
          <c:showVal val="0"/>
          <c:showCatName val="0"/>
          <c:showSerName val="0"/>
          <c:showPercent val="0"/>
          <c:showBubbleSize val="0"/>
        </c:dLbls>
        <c:marker val="1"/>
        <c:smooth val="0"/>
        <c:axId val="144798080"/>
        <c:axId val="144799616"/>
      </c:lineChart>
      <c:dateAx>
        <c:axId val="144798080"/>
        <c:scaling>
          <c:orientation val="minMax"/>
        </c:scaling>
        <c:delete val="0"/>
        <c:axPos val="b"/>
        <c:numFmt formatCode="mmm\-yy" sourceLinked="0"/>
        <c:majorTickMark val="none"/>
        <c:minorTickMark val="none"/>
        <c:tickLblPos val="nextTo"/>
        <c:txPr>
          <a:bodyPr rot="0" vert="horz"/>
          <a:lstStyle/>
          <a:p>
            <a:pPr>
              <a:defRPr/>
            </a:pPr>
            <a:endParaRPr lang="es-CO"/>
          </a:p>
        </c:txPr>
        <c:crossAx val="144799616"/>
        <c:crosses val="autoZero"/>
        <c:auto val="1"/>
        <c:lblOffset val="100"/>
        <c:baseTimeUnit val="months"/>
      </c:dateAx>
      <c:valAx>
        <c:axId val="144799616"/>
        <c:scaling>
          <c:orientation val="minMax"/>
          <c:max val="500"/>
          <c:min val="320"/>
        </c:scaling>
        <c:delete val="0"/>
        <c:axPos val="l"/>
        <c:majorGridlines/>
        <c:title>
          <c:tx>
            <c:rich>
              <a:bodyPr/>
              <a:lstStyle/>
              <a:p>
                <a:pPr>
                  <a:defRPr/>
                </a:pPr>
                <a:r>
                  <a:rPr lang="es-CO"/>
                  <a:t>kg/Ton</a:t>
                </a:r>
                <a:r>
                  <a:rPr lang="es-CO" baseline="0"/>
                  <a:t> B100</a:t>
                </a:r>
                <a:endParaRPr lang="es-CO"/>
              </a:p>
            </c:rich>
          </c:tx>
          <c:layout>
            <c:manualLayout>
              <c:xMode val="edge"/>
              <c:yMode val="edge"/>
              <c:x val="6.9125649417279625E-2"/>
              <c:y val="0.27840855742046638"/>
            </c:manualLayout>
          </c:layout>
          <c:overlay val="0"/>
        </c:title>
        <c:numFmt formatCode="General" sourceLinked="0"/>
        <c:majorTickMark val="none"/>
        <c:minorTickMark val="none"/>
        <c:tickLblPos val="nextTo"/>
        <c:txPr>
          <a:bodyPr rot="0" vert="horz"/>
          <a:lstStyle/>
          <a:p>
            <a:pPr>
              <a:defRPr/>
            </a:pPr>
            <a:endParaRPr lang="es-CO"/>
          </a:p>
        </c:txPr>
        <c:crossAx val="144798080"/>
        <c:crosses val="autoZero"/>
        <c:crossBetween val="between"/>
        <c:majorUnit val="45"/>
      </c:valAx>
      <c:dTable>
        <c:showHorzBorder val="1"/>
        <c:showVertBorder val="1"/>
        <c:showOutline val="1"/>
        <c:showKeys val="1"/>
      </c:dTable>
      <c:spPr>
        <a:ln>
          <a:solidFill>
            <a:sysClr val="windowText" lastClr="000000"/>
          </a:solidFill>
        </a:ln>
      </c:spPr>
    </c:plotArea>
    <c:plotVisOnly val="1"/>
    <c:dispBlanksAs val="gap"/>
    <c:showDLblsOverMax val="0"/>
  </c:chart>
  <c:txPr>
    <a:bodyPr/>
    <a:lstStyle/>
    <a:p>
      <a:pPr>
        <a:defRPr sz="800"/>
      </a:pPr>
      <a:endParaRPr lang="es-CO"/>
    </a:p>
  </c:txPr>
  <c:printSettings>
    <c:headerFooter/>
    <c:pageMargins b="0.75000000000001465" l="0.70000000000000062" r="0.70000000000000062" t="0.75000000000001465"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1000"/>
            </a:pPr>
            <a:r>
              <a:rPr lang="es-CO"/>
              <a:t>CONSUMO DE ENERGIA ELECTRICA</a:t>
            </a:r>
          </a:p>
        </c:rich>
      </c:tx>
      <c:overlay val="0"/>
    </c:title>
    <c:autoTitleDeleted val="0"/>
    <c:plotArea>
      <c:layout>
        <c:manualLayout>
          <c:layoutTarget val="inner"/>
          <c:xMode val="edge"/>
          <c:yMode val="edge"/>
          <c:x val="0.19094876857529502"/>
          <c:y val="0.14785535910787831"/>
          <c:w val="0.74245409147136354"/>
          <c:h val="0.42842858402948597"/>
        </c:manualLayout>
      </c:layout>
      <c:lineChart>
        <c:grouping val="standard"/>
        <c:varyColors val="0"/>
        <c:ser>
          <c:idx val="1"/>
          <c:order val="0"/>
          <c:tx>
            <c:v>ENERGIA</c:v>
          </c:tx>
          <c:spPr>
            <a:ln w="22225"/>
          </c:spPr>
          <c:marker>
            <c:symbol val="circle"/>
            <c:size val="4"/>
          </c:marker>
          <c:dLbls>
            <c:numFmt formatCode="#,##0.0" sourceLinked="0"/>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'INDICADORES PRODUCCION'!$C$7:$N$7</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'INDICADORES PRODUCCION'!$C$60:$N$60</c:f>
              <c:numCache>
                <c:formatCode>0.00</c:formatCode>
                <c:ptCount val="12"/>
                <c:pt idx="0">
                  <c:v>41.410219286304297</c:v>
                </c:pt>
                <c:pt idx="1">
                  <c:v>41.734263374506853</c:v>
                </c:pt>
                <c:pt idx="2">
                  <c:v>39.800372418873472</c:v>
                </c:pt>
                <c:pt idx="3">
                  <c:v>39.515705421258097</c:v>
                </c:pt>
                <c:pt idx="4">
                  <c:v>38.936768896429882</c:v>
                </c:pt>
                <c:pt idx="5">
                  <c:v>38.5894788782809</c:v>
                </c:pt>
                <c:pt idx="6">
                  <c:v>40.04449254833748</c:v>
                </c:pt>
                <c:pt idx="7">
                  <c:v>42.798721822478633</c:v>
                </c:pt>
                <c:pt idx="8">
                  <c:v>41.840823151565829</c:v>
                </c:pt>
                <c:pt idx="9">
                  <c:v>42.349802849095369</c:v>
                </c:pt>
                <c:pt idx="10">
                  <c:v>42.744141173719349</c:v>
                </c:pt>
                <c:pt idx="11">
                  <c:v>39.913637214831866</c:v>
                </c:pt>
              </c:numCache>
            </c:numRef>
          </c:val>
          <c:smooth val="0"/>
          <c:extLst>
            <c:ext xmlns:c16="http://schemas.microsoft.com/office/drawing/2014/chart" uri="{C3380CC4-5D6E-409C-BE32-E72D297353CC}">
              <c16:uniqueId val="{00000000-C201-47CE-B079-EACCCDF5C08A}"/>
            </c:ext>
          </c:extLst>
        </c:ser>
        <c:ser>
          <c:idx val="0"/>
          <c:order val="1"/>
          <c:tx>
            <c:v>Promedio</c:v>
          </c:tx>
          <c:spPr>
            <a:ln w="22225"/>
          </c:spPr>
          <c:marker>
            <c:symbol val="none"/>
          </c:marker>
          <c:cat>
            <c:numRef>
              <c:f>'INDICADORES PRODUCCION'!$C$7:$N$7</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('INDICADORES PRODUCCION'!$O$60,'INDICADORES PRODUCCION'!$O$60,'INDICADORES PRODUCCION'!$O$60,'INDICADORES PRODUCCION'!$O$60,'INDICADORES PRODUCCION'!$O$60,'INDICADORES PRODUCCION'!$O$60,'INDICADORES PRODUCCION'!$O$60,'INDICADORES PRODUCCION'!$O$60,'INDICADORES PRODUCCION'!$O$60,'INDICADORES PRODUCCION'!$O$60,'INDICADORES PRODUCCION'!$O$60,'INDICADORES PRODUCCION'!$O$60)</c:f>
              <c:numCache>
                <c:formatCode>0.00</c:formatCode>
                <c:ptCount val="12"/>
                <c:pt idx="0">
                  <c:v>40.132218913444795</c:v>
                </c:pt>
                <c:pt idx="1">
                  <c:v>40.132218913444795</c:v>
                </c:pt>
                <c:pt idx="2">
                  <c:v>40.132218913444795</c:v>
                </c:pt>
                <c:pt idx="3">
                  <c:v>40.132218913444795</c:v>
                </c:pt>
                <c:pt idx="4">
                  <c:v>40.132218913444795</c:v>
                </c:pt>
                <c:pt idx="5">
                  <c:v>40.132218913444795</c:v>
                </c:pt>
                <c:pt idx="6">
                  <c:v>40.132218913444795</c:v>
                </c:pt>
                <c:pt idx="7">
                  <c:v>40.132218913444795</c:v>
                </c:pt>
                <c:pt idx="8">
                  <c:v>40.132218913444795</c:v>
                </c:pt>
                <c:pt idx="9">
                  <c:v>40.132218913444795</c:v>
                </c:pt>
                <c:pt idx="10">
                  <c:v>40.132218913444795</c:v>
                </c:pt>
                <c:pt idx="11">
                  <c:v>40.132218913444795</c:v>
                </c:pt>
              </c:numCache>
            </c:numRef>
          </c:val>
          <c:smooth val="0"/>
          <c:extLst>
            <c:ext xmlns:c16="http://schemas.microsoft.com/office/drawing/2014/chart" uri="{C3380CC4-5D6E-409C-BE32-E72D297353CC}">
              <c16:uniqueId val="{00000001-C201-47CE-B079-EACCCDF5C08A}"/>
            </c:ext>
          </c:extLst>
        </c:ser>
        <c:ser>
          <c:idx val="2"/>
          <c:order val="2"/>
          <c:tx>
            <c:v>B100 - P1</c:v>
          </c:tx>
          <c:cat>
            <c:numRef>
              <c:f>'INDICADORES PRODUCCION'!$C$7:$N$7</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'INDICADORES PRODUCCION'!$C$8:$N$8</c:f>
              <c:numCache>
                <c:formatCode>_-* #,##0.00\ _€_-;\-* #,##0.00\ _€_-;_-* "-"??\ _€_-;_-@_-</c:formatCode>
                <c:ptCount val="12"/>
                <c:pt idx="0">
                  <c:v>5964.8959999999997</c:v>
                </c:pt>
                <c:pt idx="1">
                  <c:v>5355.1750000000002</c:v>
                </c:pt>
                <c:pt idx="2">
                  <c:v>9342.1239999999998</c:v>
                </c:pt>
                <c:pt idx="3">
                  <c:v>7241.7730000000001</c:v>
                </c:pt>
                <c:pt idx="4">
                  <c:v>5968.9849999999997</c:v>
                </c:pt>
                <c:pt idx="5">
                  <c:v>9049.3320000000003</c:v>
                </c:pt>
                <c:pt idx="6">
                  <c:v>9116.6720000000005</c:v>
                </c:pt>
                <c:pt idx="7">
                  <c:v>7164.6769999999997</c:v>
                </c:pt>
                <c:pt idx="8">
                  <c:v>8011.2389999999996</c:v>
                </c:pt>
                <c:pt idx="9">
                  <c:v>7086.6459999999997</c:v>
                </c:pt>
                <c:pt idx="10">
                  <c:v>8166.1139999999996</c:v>
                </c:pt>
                <c:pt idx="11">
                  <c:v>8361.0120000000006</c:v>
                </c:pt>
              </c:numCache>
            </c:numRef>
          </c:val>
          <c:smooth val="0"/>
          <c:extLst>
            <c:ext xmlns:c16="http://schemas.microsoft.com/office/drawing/2014/chart" uri="{C3380CC4-5D6E-409C-BE32-E72D297353CC}">
              <c16:uniqueId val="{00000002-C201-47CE-B079-EACCCDF5C08A}"/>
            </c:ext>
          </c:extLst>
        </c:ser>
        <c:dLbls>
          <c:showLegendKey val="0"/>
          <c:showVal val="0"/>
          <c:showCatName val="0"/>
          <c:showSerName val="0"/>
          <c:showPercent val="0"/>
          <c:showBubbleSize val="0"/>
        </c:dLbls>
        <c:marker val="1"/>
        <c:smooth val="0"/>
        <c:axId val="144816384"/>
        <c:axId val="144859136"/>
      </c:lineChart>
      <c:dateAx>
        <c:axId val="144816384"/>
        <c:scaling>
          <c:orientation val="minMax"/>
        </c:scaling>
        <c:delete val="0"/>
        <c:axPos val="b"/>
        <c:numFmt formatCode="mmm\-yy" sourceLinked="0"/>
        <c:majorTickMark val="none"/>
        <c:minorTickMark val="none"/>
        <c:tickLblPos val="nextTo"/>
        <c:txPr>
          <a:bodyPr rot="0" vert="horz"/>
          <a:lstStyle/>
          <a:p>
            <a:pPr>
              <a:defRPr/>
            </a:pPr>
            <a:endParaRPr lang="es-CO"/>
          </a:p>
        </c:txPr>
        <c:crossAx val="144859136"/>
        <c:crosses val="autoZero"/>
        <c:auto val="1"/>
        <c:lblOffset val="100"/>
        <c:baseTimeUnit val="months"/>
      </c:dateAx>
      <c:valAx>
        <c:axId val="144859136"/>
        <c:scaling>
          <c:orientation val="minMax"/>
          <c:max val="45"/>
          <c:min val="30"/>
        </c:scaling>
        <c:delete val="0"/>
        <c:axPos val="l"/>
        <c:majorGridlines/>
        <c:title>
          <c:tx>
            <c:rich>
              <a:bodyPr/>
              <a:lstStyle/>
              <a:p>
                <a:pPr>
                  <a:defRPr/>
                </a:pPr>
                <a:r>
                  <a:rPr lang="es-CO"/>
                  <a:t>MWh/Ton</a:t>
                </a:r>
                <a:r>
                  <a:rPr lang="es-CO" baseline="0"/>
                  <a:t> B100</a:t>
                </a:r>
                <a:endParaRPr lang="es-CO"/>
              </a:p>
            </c:rich>
          </c:tx>
          <c:layout>
            <c:manualLayout>
              <c:xMode val="edge"/>
              <c:yMode val="edge"/>
              <c:x val="6.9125649417279625E-2"/>
              <c:y val="0.27840855742046638"/>
            </c:manualLayout>
          </c:layout>
          <c:overlay val="0"/>
        </c:title>
        <c:numFmt formatCode="General" sourceLinked="0"/>
        <c:majorTickMark val="none"/>
        <c:minorTickMark val="none"/>
        <c:tickLblPos val="nextTo"/>
        <c:txPr>
          <a:bodyPr rot="0" vert="horz"/>
          <a:lstStyle/>
          <a:p>
            <a:pPr>
              <a:defRPr/>
            </a:pPr>
            <a:endParaRPr lang="es-CO"/>
          </a:p>
        </c:txPr>
        <c:crossAx val="144816384"/>
        <c:crosses val="autoZero"/>
        <c:crossBetween val="between"/>
        <c:majorUnit val="3"/>
      </c:valAx>
      <c:dTable>
        <c:showHorzBorder val="1"/>
        <c:showVertBorder val="1"/>
        <c:showOutline val="1"/>
        <c:showKeys val="1"/>
      </c:dTable>
      <c:spPr>
        <a:ln>
          <a:solidFill>
            <a:sysClr val="windowText" lastClr="000000"/>
          </a:solidFill>
        </a:ln>
      </c:spPr>
    </c:plotArea>
    <c:plotVisOnly val="1"/>
    <c:dispBlanksAs val="gap"/>
    <c:showDLblsOverMax val="0"/>
  </c:chart>
  <c:txPr>
    <a:bodyPr/>
    <a:lstStyle/>
    <a:p>
      <a:pPr>
        <a:defRPr sz="800"/>
      </a:pPr>
      <a:endParaRPr lang="es-CO"/>
    </a:p>
  </c:txPr>
  <c:printSettings>
    <c:headerFooter/>
    <c:pageMargins b="0.75000000000001465" l="0.70000000000000062" r="0.70000000000000062" t="0.7500000000000146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1000"/>
            </a:pPr>
            <a:r>
              <a:rPr lang="es-CO"/>
              <a:t>GENERACION DE AGUAS RESIDUALES</a:t>
            </a:r>
          </a:p>
        </c:rich>
      </c:tx>
      <c:overlay val="0"/>
    </c:title>
    <c:autoTitleDeleted val="0"/>
    <c:plotArea>
      <c:layout>
        <c:manualLayout>
          <c:layoutTarget val="inner"/>
          <c:xMode val="edge"/>
          <c:yMode val="edge"/>
          <c:x val="0.18188619824263991"/>
          <c:y val="0.14785535910787836"/>
          <c:w val="0.71231052299716557"/>
          <c:h val="0.42842858402948619"/>
        </c:manualLayout>
      </c:layout>
      <c:lineChart>
        <c:grouping val="standard"/>
        <c:varyColors val="0"/>
        <c:ser>
          <c:idx val="0"/>
          <c:order val="1"/>
          <c:tx>
            <c:v>AR (m3)</c:v>
          </c:tx>
          <c:spPr>
            <a:ln w="22225"/>
          </c:spPr>
          <c:marker>
            <c:symbol val="none"/>
          </c:marker>
          <c:dLbls>
            <c:dLbl>
              <c:idx val="0"/>
              <c:layout>
                <c:manualLayout>
                  <c:x val="-3.6640714525391124E-2"/>
                  <c:y val="-3.41213915507052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BC0-4FE9-96D1-4E7B750965FC}"/>
                </c:ext>
              </c:extLst>
            </c:dLbl>
            <c:dLbl>
              <c:idx val="2"/>
              <c:layout>
                <c:manualLayout>
                  <c:x val="-3.6640714525391201E-2"/>
                  <c:y val="-2.113516649294893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BC0-4FE9-96D1-4E7B750965FC}"/>
                </c:ext>
              </c:extLst>
            </c:dLbl>
            <c:numFmt formatCode="#,##0" sourceLinked="0"/>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'INDICADORES PRODUCCION'!$C$20:$N$20</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INVENTARIOS!$C$114:$N$114</c:f>
              <c:numCache>
                <c:formatCode>0.000</c:formatCode>
                <c:ptCount val="12"/>
                <c:pt idx="0">
                  <c:v>706.07</c:v>
                </c:pt>
                <c:pt idx="1">
                  <c:v>608.27</c:v>
                </c:pt>
                <c:pt idx="2">
                  <c:v>869.19</c:v>
                </c:pt>
                <c:pt idx="3">
                  <c:v>753.13</c:v>
                </c:pt>
                <c:pt idx="4">
                  <c:v>591.42999999999995</c:v>
                </c:pt>
                <c:pt idx="5">
                  <c:v>904.25</c:v>
                </c:pt>
                <c:pt idx="6">
                  <c:v>893.77</c:v>
                </c:pt>
                <c:pt idx="7">
                  <c:v>735.81</c:v>
                </c:pt>
                <c:pt idx="8">
                  <c:v>789.86</c:v>
                </c:pt>
                <c:pt idx="9">
                  <c:v>709.91</c:v>
                </c:pt>
                <c:pt idx="10">
                  <c:v>1020.49</c:v>
                </c:pt>
                <c:pt idx="11">
                  <c:v>1195.8900000000001</c:v>
                </c:pt>
              </c:numCache>
            </c:numRef>
          </c:val>
          <c:smooth val="0"/>
          <c:extLst>
            <c:ext xmlns:c16="http://schemas.microsoft.com/office/drawing/2014/chart" uri="{C3380CC4-5D6E-409C-BE32-E72D297353CC}">
              <c16:uniqueId val="{00000000-74F6-4F33-B78D-C408FE7C5FCC}"/>
            </c:ext>
          </c:extLst>
        </c:ser>
        <c:ser>
          <c:idx val="2"/>
          <c:order val="2"/>
          <c:tx>
            <c:v>B100 - P1</c:v>
          </c:tx>
          <c:cat>
            <c:numRef>
              <c:f>'INDICADORES PRODUCCION'!$C$20:$N$20</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'INDICADORES PRODUCCION'!$C$8:$N$8</c:f>
              <c:numCache>
                <c:formatCode>_-* #,##0.00\ _€_-;\-* #,##0.00\ _€_-;_-* "-"??\ _€_-;_-@_-</c:formatCode>
                <c:ptCount val="12"/>
                <c:pt idx="0">
                  <c:v>5964.8959999999997</c:v>
                </c:pt>
                <c:pt idx="1">
                  <c:v>5355.1750000000002</c:v>
                </c:pt>
                <c:pt idx="2">
                  <c:v>9342.1239999999998</c:v>
                </c:pt>
                <c:pt idx="3">
                  <c:v>7241.7730000000001</c:v>
                </c:pt>
                <c:pt idx="4">
                  <c:v>5968.9849999999997</c:v>
                </c:pt>
                <c:pt idx="5">
                  <c:v>9049.3320000000003</c:v>
                </c:pt>
                <c:pt idx="6">
                  <c:v>9116.6720000000005</c:v>
                </c:pt>
                <c:pt idx="7">
                  <c:v>7164.6769999999997</c:v>
                </c:pt>
                <c:pt idx="8">
                  <c:v>8011.2389999999996</c:v>
                </c:pt>
                <c:pt idx="9">
                  <c:v>7086.6459999999997</c:v>
                </c:pt>
                <c:pt idx="10">
                  <c:v>8166.1139999999996</c:v>
                </c:pt>
                <c:pt idx="11">
                  <c:v>8361.0120000000006</c:v>
                </c:pt>
              </c:numCache>
            </c:numRef>
          </c:val>
          <c:smooth val="0"/>
          <c:extLst>
            <c:ext xmlns:c16="http://schemas.microsoft.com/office/drawing/2014/chart" uri="{C3380CC4-5D6E-409C-BE32-E72D297353CC}">
              <c16:uniqueId val="{00000001-74F6-4F33-B78D-C408FE7C5FCC}"/>
            </c:ext>
          </c:extLst>
        </c:ser>
        <c:ser>
          <c:idx val="3"/>
          <c:order val="3"/>
          <c:tx>
            <c:v>Viajes</c:v>
          </c:tx>
          <c:spPr>
            <a:ln>
              <a:noFill/>
            </a:ln>
          </c:spPr>
          <c:marker>
            <c:symbol val="none"/>
          </c:marker>
          <c:cat>
            <c:numRef>
              <c:f>'INDICADORES PRODUCCION'!$C$20:$N$20</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INVENTARIOS!$C$115:$N$115</c:f>
              <c:numCache>
                <c:formatCode>0</c:formatCode>
                <c:ptCount val="12"/>
                <c:pt idx="0">
                  <c:v>21</c:v>
                </c:pt>
                <c:pt idx="1">
                  <c:v>18</c:v>
                </c:pt>
                <c:pt idx="2">
                  <c:v>26</c:v>
                </c:pt>
                <c:pt idx="3">
                  <c:v>22</c:v>
                </c:pt>
                <c:pt idx="4">
                  <c:v>17</c:v>
                </c:pt>
                <c:pt idx="5">
                  <c:v>27</c:v>
                </c:pt>
                <c:pt idx="6">
                  <c:v>26</c:v>
                </c:pt>
                <c:pt idx="7">
                  <c:v>22</c:v>
                </c:pt>
                <c:pt idx="8">
                  <c:v>23</c:v>
                </c:pt>
                <c:pt idx="9">
                  <c:v>21</c:v>
                </c:pt>
                <c:pt idx="10">
                  <c:v>30</c:v>
                </c:pt>
                <c:pt idx="11">
                  <c:v>35</c:v>
                </c:pt>
              </c:numCache>
            </c:numRef>
          </c:val>
          <c:smooth val="0"/>
          <c:extLst>
            <c:ext xmlns:c16="http://schemas.microsoft.com/office/drawing/2014/chart" uri="{C3380CC4-5D6E-409C-BE32-E72D297353CC}">
              <c16:uniqueId val="{00000002-74F6-4F33-B78D-C408FE7C5FCC}"/>
            </c:ext>
          </c:extLst>
        </c:ser>
        <c:dLbls>
          <c:showLegendKey val="0"/>
          <c:showVal val="0"/>
          <c:showCatName val="0"/>
          <c:showSerName val="0"/>
          <c:showPercent val="0"/>
          <c:showBubbleSize val="0"/>
        </c:dLbls>
        <c:marker val="1"/>
        <c:smooth val="0"/>
        <c:axId val="145375232"/>
        <c:axId val="145376768"/>
      </c:lineChart>
      <c:lineChart>
        <c:grouping val="standard"/>
        <c:varyColors val="0"/>
        <c:ser>
          <c:idx val="1"/>
          <c:order val="0"/>
          <c:tx>
            <c:v>AR (m3/Ton B100)</c:v>
          </c:tx>
          <c:spPr>
            <a:ln w="22225"/>
          </c:spPr>
          <c:marker>
            <c:symbol val="circle"/>
            <c:size val="4"/>
          </c:marker>
          <c:dLbls>
            <c:numFmt formatCode="#,##0.00" sourceLinked="0"/>
            <c:spPr>
              <a:noFill/>
              <a:ln>
                <a:noFill/>
              </a:ln>
              <a:effectLst/>
            </c:sp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'INDICADORES PRODUCCION'!$C$20:$N$20</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'INDICADORES PRODUCCION'!$C$61:$N$61</c:f>
              <c:numCache>
                <c:formatCode>0.000</c:formatCode>
                <c:ptCount val="12"/>
                <c:pt idx="0">
                  <c:v>0.10181994480925508</c:v>
                </c:pt>
                <c:pt idx="1">
                  <c:v>0.10472346253536936</c:v>
                </c:pt>
                <c:pt idx="2">
                  <c:v>8.2341972076921108E-2</c:v>
                </c:pt>
                <c:pt idx="3">
                  <c:v>9.544085620888941E-2</c:v>
                </c:pt>
                <c:pt idx="4">
                  <c:v>9.0380359146665631E-2</c:v>
                </c:pt>
                <c:pt idx="5">
                  <c:v>9.1432402207522481E-2</c:v>
                </c:pt>
                <c:pt idx="6">
                  <c:v>8.9305841105806888E-2</c:v>
                </c:pt>
                <c:pt idx="7">
                  <c:v>9.4788933883749218E-2</c:v>
                </c:pt>
                <c:pt idx="8">
                  <c:v>9.1376191195650741E-2</c:v>
                </c:pt>
                <c:pt idx="9">
                  <c:v>9.0049476410071341E-2</c:v>
                </c:pt>
                <c:pt idx="10">
                  <c:v>0.11607322204905537</c:v>
                </c:pt>
                <c:pt idx="11">
                  <c:v>0.12630905874513504</c:v>
                </c:pt>
              </c:numCache>
            </c:numRef>
          </c:val>
          <c:smooth val="0"/>
          <c:extLst>
            <c:ext xmlns:c16="http://schemas.microsoft.com/office/drawing/2014/chart" uri="{C3380CC4-5D6E-409C-BE32-E72D297353CC}">
              <c16:uniqueId val="{00000003-74F6-4F33-B78D-C408FE7C5FCC}"/>
            </c:ext>
          </c:extLst>
        </c:ser>
        <c:dLbls>
          <c:showLegendKey val="0"/>
          <c:showVal val="0"/>
          <c:showCatName val="0"/>
          <c:showSerName val="0"/>
          <c:showPercent val="0"/>
          <c:showBubbleSize val="0"/>
        </c:dLbls>
        <c:marker val="1"/>
        <c:smooth val="0"/>
        <c:axId val="145380864"/>
        <c:axId val="145378688"/>
      </c:lineChart>
      <c:dateAx>
        <c:axId val="145375232"/>
        <c:scaling>
          <c:orientation val="minMax"/>
        </c:scaling>
        <c:delete val="0"/>
        <c:axPos val="b"/>
        <c:numFmt formatCode="mmm\-yy" sourceLinked="0"/>
        <c:majorTickMark val="none"/>
        <c:minorTickMark val="none"/>
        <c:tickLblPos val="nextTo"/>
        <c:txPr>
          <a:bodyPr rot="0" vert="horz"/>
          <a:lstStyle/>
          <a:p>
            <a:pPr>
              <a:defRPr/>
            </a:pPr>
            <a:endParaRPr lang="es-CO"/>
          </a:p>
        </c:txPr>
        <c:crossAx val="145376768"/>
        <c:crosses val="autoZero"/>
        <c:auto val="1"/>
        <c:lblOffset val="100"/>
        <c:baseTimeUnit val="months"/>
      </c:dateAx>
      <c:valAx>
        <c:axId val="145376768"/>
        <c:scaling>
          <c:orientation val="minMax"/>
          <c:max val="600"/>
          <c:min val="0"/>
        </c:scaling>
        <c:delete val="0"/>
        <c:axPos val="l"/>
        <c:majorGridlines/>
        <c:title>
          <c:tx>
            <c:rich>
              <a:bodyPr/>
              <a:lstStyle/>
              <a:p>
                <a:pPr>
                  <a:defRPr/>
                </a:pPr>
                <a:r>
                  <a:rPr lang="es-CO"/>
                  <a:t>m3</a:t>
                </a:r>
              </a:p>
            </c:rich>
          </c:tx>
          <c:layout>
            <c:manualLayout>
              <c:xMode val="edge"/>
              <c:yMode val="edge"/>
              <c:x val="8.7695832724131048E-2"/>
              <c:y val="0.32259471217867192"/>
            </c:manualLayout>
          </c:layout>
          <c:overlay val="0"/>
        </c:title>
        <c:numFmt formatCode="General" sourceLinked="0"/>
        <c:majorTickMark val="none"/>
        <c:minorTickMark val="none"/>
        <c:tickLblPos val="nextTo"/>
        <c:txPr>
          <a:bodyPr rot="0" vert="horz"/>
          <a:lstStyle/>
          <a:p>
            <a:pPr>
              <a:defRPr/>
            </a:pPr>
            <a:endParaRPr lang="es-CO"/>
          </a:p>
        </c:txPr>
        <c:crossAx val="145375232"/>
        <c:crosses val="autoZero"/>
        <c:crossBetween val="between"/>
        <c:majorUnit val="100"/>
      </c:valAx>
      <c:valAx>
        <c:axId val="145378688"/>
        <c:scaling>
          <c:orientation val="minMax"/>
          <c:max val="0.15000000000000024"/>
          <c:min val="0"/>
        </c:scaling>
        <c:delete val="0"/>
        <c:axPos val="r"/>
        <c:title>
          <c:tx>
            <c:rich>
              <a:bodyPr rot="-5400000" vert="horz"/>
              <a:lstStyle/>
              <a:p>
                <a:pPr>
                  <a:defRPr/>
                </a:pPr>
                <a:r>
                  <a:rPr lang="es-CO"/>
                  <a:t>m3/Ton</a:t>
                </a:r>
                <a:r>
                  <a:rPr lang="es-CO" baseline="0"/>
                  <a:t> B100</a:t>
                </a:r>
                <a:endParaRPr lang="es-CO"/>
              </a:p>
            </c:rich>
          </c:tx>
          <c:overlay val="0"/>
        </c:title>
        <c:numFmt formatCode="#,##0.00" sourceLinked="0"/>
        <c:majorTickMark val="out"/>
        <c:minorTickMark val="none"/>
        <c:tickLblPos val="nextTo"/>
        <c:crossAx val="145380864"/>
        <c:crosses val="max"/>
        <c:crossBetween val="between"/>
        <c:majorUnit val="3.0000000000000016E-2"/>
      </c:valAx>
      <c:dateAx>
        <c:axId val="145380864"/>
        <c:scaling>
          <c:orientation val="minMax"/>
        </c:scaling>
        <c:delete val="1"/>
        <c:axPos val="b"/>
        <c:numFmt formatCode="mmm\-yy" sourceLinked="1"/>
        <c:majorTickMark val="out"/>
        <c:minorTickMark val="none"/>
        <c:tickLblPos val="none"/>
        <c:crossAx val="145378688"/>
        <c:crosses val="autoZero"/>
        <c:auto val="1"/>
        <c:lblOffset val="100"/>
        <c:baseTimeUnit val="months"/>
      </c:dateAx>
      <c:dTable>
        <c:showHorzBorder val="1"/>
        <c:showVertBorder val="1"/>
        <c:showOutline val="1"/>
        <c:showKeys val="1"/>
      </c:dTable>
      <c:spPr>
        <a:ln>
          <a:solidFill>
            <a:sysClr val="windowText" lastClr="000000"/>
          </a:solidFill>
        </a:ln>
      </c:spPr>
    </c:plotArea>
    <c:plotVisOnly val="1"/>
    <c:dispBlanksAs val="gap"/>
    <c:showDLblsOverMax val="0"/>
  </c:chart>
  <c:txPr>
    <a:bodyPr/>
    <a:lstStyle/>
    <a:p>
      <a:pPr>
        <a:defRPr sz="800"/>
      </a:pPr>
      <a:endParaRPr lang="es-CO"/>
    </a:p>
  </c:txPr>
  <c:printSettings>
    <c:headerFooter/>
    <c:pageMargins b="0.75000000000001465" l="0.70000000000000062" r="0.70000000000000062" t="0.7500000000000146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s-CO"/>
              <a:t>Enero</a:t>
            </a:r>
          </a:p>
        </c:rich>
      </c:tx>
      <c:overlay val="0"/>
    </c:title>
    <c:autoTitleDeleted val="0"/>
    <c:view3D>
      <c:rotX val="75"/>
      <c:rotY val="0"/>
      <c:rAngAx val="0"/>
    </c:view3D>
    <c:floor>
      <c:thickness val="0"/>
    </c:floor>
    <c:sideWall>
      <c:thickness val="0"/>
    </c:sideWall>
    <c:backWall>
      <c:thickness val="0"/>
    </c:backWall>
    <c:plotArea>
      <c:layout>
        <c:manualLayout>
          <c:layoutTarget val="inner"/>
          <c:xMode val="edge"/>
          <c:yMode val="edge"/>
          <c:x val="9.0570152415158617E-2"/>
          <c:y val="0.49674059492563438"/>
          <c:w val="0.77207606943870077"/>
          <c:h val="0.4045236220472504"/>
        </c:manualLayout>
      </c:layout>
      <c:pie3DChart>
        <c:varyColors val="1"/>
        <c:ser>
          <c:idx val="0"/>
          <c:order val="0"/>
          <c:tx>
            <c:strRef>
              <c:f>ENERGIA!$A$19</c:f>
              <c:strCache>
                <c:ptCount val="1"/>
                <c:pt idx="0">
                  <c:v>Enero</c:v>
                </c:pt>
              </c:strCache>
            </c:strRef>
          </c:tx>
          <c:dLbls>
            <c:dLbl>
              <c:idx val="1"/>
              <c:layout>
                <c:manualLayout>
                  <c:x val="6.6462499999999994E-2"/>
                  <c:y val="9.132685185185185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0-7543-49D6-93F3-CC416E20DE85}"/>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ENERGIA!$B$18:$C$18</c:f>
              <c:strCache>
                <c:ptCount val="2"/>
                <c:pt idx="0">
                  <c:v>Energia Generada [Kw.h/mes ]</c:v>
                </c:pt>
                <c:pt idx="1">
                  <c:v>Energia comprada [Kw.h/mes ]</c:v>
                </c:pt>
              </c:strCache>
            </c:strRef>
          </c:cat>
          <c:val>
            <c:numRef>
              <c:f>ENERGIA!$B$19:$C$19</c:f>
              <c:numCache>
                <c:formatCode>#,##0</c:formatCode>
                <c:ptCount val="2"/>
                <c:pt idx="0">
                  <c:v>230897</c:v>
                </c:pt>
                <c:pt idx="1">
                  <c:v>130777</c:v>
                </c:pt>
              </c:numCache>
            </c:numRef>
          </c:val>
          <c:extLst>
            <c:ext xmlns:c16="http://schemas.microsoft.com/office/drawing/2014/chart" uri="{C3380CC4-5D6E-409C-BE32-E72D297353CC}">
              <c16:uniqueId val="{00000001-7543-49D6-93F3-CC416E20DE85}"/>
            </c:ext>
          </c:extLst>
        </c:ser>
        <c:dLbls>
          <c:showLegendKey val="0"/>
          <c:showVal val="0"/>
          <c:showCatName val="0"/>
          <c:showSerName val="0"/>
          <c:showPercent val="1"/>
          <c:showBubbleSize val="0"/>
          <c:showLeaderLines val="1"/>
        </c:dLbls>
      </c:pie3DChart>
    </c:plotArea>
    <c:legend>
      <c:legendPos val="t"/>
      <c:overlay val="0"/>
    </c:legend>
    <c:plotVisOnly val="1"/>
    <c:dispBlanksAs val="zero"/>
    <c:showDLblsOverMax val="0"/>
  </c:chart>
  <c:printSettings>
    <c:headerFooter/>
    <c:pageMargins b="0.75000000000001132" l="0.70000000000000062" r="0.70000000000000062" t="0.75000000000001132"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ENERGIA!$A$18</c:f>
              <c:strCache>
                <c:ptCount val="1"/>
                <c:pt idx="0">
                  <c:v>Periodo de generacion</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ENERGIA!$A$19:$A$30</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ENERGIA!$A$19:$A$30</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0902-4225-A453-E530A1D6F492}"/>
            </c:ext>
          </c:extLst>
        </c:ser>
        <c:ser>
          <c:idx val="3"/>
          <c:order val="1"/>
          <c:tx>
            <c:strRef>
              <c:f>ENERGIA!$D$18</c:f>
              <c:strCache>
                <c:ptCount val="1"/>
                <c:pt idx="0">
                  <c:v>Total Energia
[Kw.h/mes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ENERGIA!$A$19:$A$30</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ENERGIA!$D$19:$D$30</c:f>
              <c:numCache>
                <c:formatCode>#,##0</c:formatCode>
                <c:ptCount val="12"/>
                <c:pt idx="0">
                  <c:v>361674</c:v>
                </c:pt>
                <c:pt idx="1">
                  <c:v>333867</c:v>
                </c:pt>
                <c:pt idx="2">
                  <c:v>375797</c:v>
                </c:pt>
                <c:pt idx="3">
                  <c:v>377901</c:v>
                </c:pt>
              </c:numCache>
            </c:numRef>
          </c:val>
          <c:extLst>
            <c:ext xmlns:c16="http://schemas.microsoft.com/office/drawing/2014/chart" uri="{C3380CC4-5D6E-409C-BE32-E72D297353CC}">
              <c16:uniqueId val="{00000001-0902-4225-A453-E530A1D6F492}"/>
            </c:ext>
          </c:extLst>
        </c:ser>
        <c:ser>
          <c:idx val="1"/>
          <c:order val="2"/>
          <c:tx>
            <c:strRef>
              <c:f>ENERGIA!$B$18</c:f>
              <c:strCache>
                <c:ptCount val="1"/>
                <c:pt idx="0">
                  <c:v>Energia Generada [Kw.h/mes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ENERGIA!$A$19:$A$30</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ENERGIA!$B$19:$B$30</c:f>
              <c:numCache>
                <c:formatCode>#,##0</c:formatCode>
                <c:ptCount val="12"/>
                <c:pt idx="0">
                  <c:v>230897</c:v>
                </c:pt>
                <c:pt idx="1">
                  <c:v>215869</c:v>
                </c:pt>
                <c:pt idx="2">
                  <c:v>256831</c:v>
                </c:pt>
                <c:pt idx="3">
                  <c:v>252702</c:v>
                </c:pt>
              </c:numCache>
            </c:numRef>
          </c:val>
          <c:extLst>
            <c:ext xmlns:c16="http://schemas.microsoft.com/office/drawing/2014/chart" uri="{C3380CC4-5D6E-409C-BE32-E72D297353CC}">
              <c16:uniqueId val="{00000002-0902-4225-A453-E530A1D6F492}"/>
            </c:ext>
          </c:extLst>
        </c:ser>
        <c:ser>
          <c:idx val="2"/>
          <c:order val="3"/>
          <c:tx>
            <c:strRef>
              <c:f>ENERGIA!$C$18</c:f>
              <c:strCache>
                <c:ptCount val="1"/>
                <c:pt idx="0">
                  <c:v>Energia comprada [Kw.h/mes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ENERGIA!$A$19:$A$30</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ENERGIA!$C$19:$C$30</c:f>
              <c:numCache>
                <c:formatCode>#,##0</c:formatCode>
                <c:ptCount val="12"/>
                <c:pt idx="0">
                  <c:v>130777</c:v>
                </c:pt>
                <c:pt idx="1">
                  <c:v>117998</c:v>
                </c:pt>
                <c:pt idx="2">
                  <c:v>118966</c:v>
                </c:pt>
                <c:pt idx="3">
                  <c:v>125199</c:v>
                </c:pt>
              </c:numCache>
            </c:numRef>
          </c:val>
          <c:extLst>
            <c:ext xmlns:c16="http://schemas.microsoft.com/office/drawing/2014/chart" uri="{C3380CC4-5D6E-409C-BE32-E72D297353CC}">
              <c16:uniqueId val="{00000003-0902-4225-A453-E530A1D6F492}"/>
            </c:ext>
          </c:extLst>
        </c:ser>
        <c:dLbls>
          <c:showLegendKey val="0"/>
          <c:showVal val="1"/>
          <c:showCatName val="0"/>
          <c:showSerName val="0"/>
          <c:showPercent val="0"/>
          <c:showBubbleSize val="0"/>
        </c:dLbls>
        <c:gapWidth val="150"/>
        <c:shape val="box"/>
        <c:axId val="145679488"/>
        <c:axId val="145681024"/>
        <c:axId val="0"/>
      </c:bar3DChart>
      <c:catAx>
        <c:axId val="145679488"/>
        <c:scaling>
          <c:orientation val="minMax"/>
        </c:scaling>
        <c:delete val="0"/>
        <c:axPos val="b"/>
        <c:numFmt formatCode="General" sourceLinked="1"/>
        <c:majorTickMark val="none"/>
        <c:minorTickMark val="none"/>
        <c:tickLblPos val="nextTo"/>
        <c:crossAx val="145681024"/>
        <c:crosses val="autoZero"/>
        <c:auto val="1"/>
        <c:lblAlgn val="ctr"/>
        <c:lblOffset val="100"/>
        <c:noMultiLvlLbl val="0"/>
      </c:catAx>
      <c:valAx>
        <c:axId val="145681024"/>
        <c:scaling>
          <c:orientation val="minMax"/>
        </c:scaling>
        <c:delete val="1"/>
        <c:axPos val="l"/>
        <c:numFmt formatCode="General" sourceLinked="1"/>
        <c:majorTickMark val="none"/>
        <c:minorTickMark val="none"/>
        <c:tickLblPos val="none"/>
        <c:crossAx val="145679488"/>
        <c:crosses val="autoZero"/>
        <c:crossBetween val="between"/>
      </c:valAx>
    </c:plotArea>
    <c:legend>
      <c:legendPos val="t"/>
      <c:overlay val="0"/>
    </c:legend>
    <c:plotVisOnly val="1"/>
    <c:dispBlanksAs val="gap"/>
    <c:showDLblsOverMax val="0"/>
  </c:chart>
  <c:printSettings>
    <c:headerFooter/>
    <c:pageMargins b="0.75000000000001132" l="0.70000000000000062" r="0.70000000000000062" t="0.75000000000001132"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s-CO"/>
              <a:t>Febrero</a:t>
            </a:r>
          </a:p>
        </c:rich>
      </c:tx>
      <c:overlay val="0"/>
    </c:title>
    <c:autoTitleDeleted val="0"/>
    <c:view3D>
      <c:rotX val="75"/>
      <c:rotY val="0"/>
      <c:rAngAx val="0"/>
    </c:view3D>
    <c:floor>
      <c:thickness val="0"/>
    </c:floor>
    <c:sideWall>
      <c:thickness val="0"/>
    </c:sideWall>
    <c:backWall>
      <c:thickness val="0"/>
    </c:backWall>
    <c:plotArea>
      <c:layout>
        <c:manualLayout>
          <c:layoutTarget val="inner"/>
          <c:xMode val="edge"/>
          <c:yMode val="edge"/>
          <c:x val="9.0570152415158617E-2"/>
          <c:y val="0.49674059492563438"/>
          <c:w val="0.77207606943870077"/>
          <c:h val="0.4045236220472504"/>
        </c:manualLayout>
      </c:layout>
      <c:pie3DChart>
        <c:varyColors val="1"/>
        <c:ser>
          <c:idx val="0"/>
          <c:order val="0"/>
          <c:tx>
            <c:strRef>
              <c:f>ENERGIA!$A$20</c:f>
              <c:strCache>
                <c:ptCount val="1"/>
                <c:pt idx="0">
                  <c:v>Febrero</c:v>
                </c:pt>
              </c:strCache>
            </c:strRef>
          </c:tx>
          <c:dLbls>
            <c:dLbl>
              <c:idx val="1"/>
              <c:layout>
                <c:manualLayout>
                  <c:x val="6.6462499999999994E-2"/>
                  <c:y val="9.132685185185185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0-942F-44BB-9E3B-7876B183D14F}"/>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ENERGIA!$B$18:$C$18</c:f>
              <c:strCache>
                <c:ptCount val="2"/>
                <c:pt idx="0">
                  <c:v>Energia Generada [Kw.h/mes ]</c:v>
                </c:pt>
                <c:pt idx="1">
                  <c:v>Energia comprada [Kw.h/mes ]</c:v>
                </c:pt>
              </c:strCache>
            </c:strRef>
          </c:cat>
          <c:val>
            <c:numRef>
              <c:f>ENERGIA!$B$20:$C$20</c:f>
              <c:numCache>
                <c:formatCode>#,##0</c:formatCode>
                <c:ptCount val="2"/>
                <c:pt idx="0">
                  <c:v>215869</c:v>
                </c:pt>
                <c:pt idx="1">
                  <c:v>117998</c:v>
                </c:pt>
              </c:numCache>
            </c:numRef>
          </c:val>
          <c:extLst>
            <c:ext xmlns:c16="http://schemas.microsoft.com/office/drawing/2014/chart" uri="{C3380CC4-5D6E-409C-BE32-E72D297353CC}">
              <c16:uniqueId val="{00000001-942F-44BB-9E3B-7876B183D14F}"/>
            </c:ext>
          </c:extLst>
        </c:ser>
        <c:dLbls>
          <c:showLegendKey val="0"/>
          <c:showVal val="0"/>
          <c:showCatName val="0"/>
          <c:showSerName val="0"/>
          <c:showPercent val="1"/>
          <c:showBubbleSize val="0"/>
          <c:showLeaderLines val="1"/>
        </c:dLbls>
      </c:pie3DChart>
    </c:plotArea>
    <c:legend>
      <c:legendPos val="t"/>
      <c:overlay val="0"/>
    </c:legend>
    <c:plotVisOnly val="1"/>
    <c:dispBlanksAs val="zero"/>
    <c:showDLblsOverMax val="0"/>
  </c:chart>
  <c:printSettings>
    <c:headerFooter/>
    <c:pageMargins b="0.75000000000001132" l="0.70000000000000062" r="0.70000000000000062" t="0.75000000000001132"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s-CO"/>
              <a:t>Marzo</a:t>
            </a:r>
          </a:p>
        </c:rich>
      </c:tx>
      <c:overlay val="0"/>
    </c:title>
    <c:autoTitleDeleted val="0"/>
    <c:view3D>
      <c:rotX val="75"/>
      <c:rotY val="0"/>
      <c:rAngAx val="0"/>
    </c:view3D>
    <c:floor>
      <c:thickness val="0"/>
    </c:floor>
    <c:sideWall>
      <c:thickness val="0"/>
    </c:sideWall>
    <c:backWall>
      <c:thickness val="0"/>
    </c:backWall>
    <c:plotArea>
      <c:layout>
        <c:manualLayout>
          <c:layoutTarget val="inner"/>
          <c:xMode val="edge"/>
          <c:yMode val="edge"/>
          <c:x val="9.0570152415158617E-2"/>
          <c:y val="0.49674059492563438"/>
          <c:w val="0.77207606943870077"/>
          <c:h val="0.4045236220472504"/>
        </c:manualLayout>
      </c:layout>
      <c:pie3DChart>
        <c:varyColors val="1"/>
        <c:ser>
          <c:idx val="0"/>
          <c:order val="0"/>
          <c:tx>
            <c:strRef>
              <c:f>ENERGIA!$A$21</c:f>
              <c:strCache>
                <c:ptCount val="1"/>
                <c:pt idx="0">
                  <c:v>Marzo</c:v>
                </c:pt>
              </c:strCache>
            </c:strRef>
          </c:tx>
          <c:dLbls>
            <c:dLbl>
              <c:idx val="1"/>
              <c:layout>
                <c:manualLayout>
                  <c:x val="6.6462499999999994E-2"/>
                  <c:y val="9.132685185185185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0-8DAD-4898-8425-552D4DE3BF20}"/>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ENERGIA!$B$18:$C$18</c:f>
              <c:strCache>
                <c:ptCount val="2"/>
                <c:pt idx="0">
                  <c:v>Energia Generada [Kw.h/mes ]</c:v>
                </c:pt>
                <c:pt idx="1">
                  <c:v>Energia comprada [Kw.h/mes ]</c:v>
                </c:pt>
              </c:strCache>
            </c:strRef>
          </c:cat>
          <c:val>
            <c:numRef>
              <c:f>ENERGIA!$B$21:$C$21</c:f>
              <c:numCache>
                <c:formatCode>#,##0</c:formatCode>
                <c:ptCount val="2"/>
                <c:pt idx="0">
                  <c:v>256831</c:v>
                </c:pt>
                <c:pt idx="1">
                  <c:v>118966</c:v>
                </c:pt>
              </c:numCache>
            </c:numRef>
          </c:val>
          <c:extLst>
            <c:ext xmlns:c16="http://schemas.microsoft.com/office/drawing/2014/chart" uri="{C3380CC4-5D6E-409C-BE32-E72D297353CC}">
              <c16:uniqueId val="{00000001-8DAD-4898-8425-552D4DE3BF20}"/>
            </c:ext>
          </c:extLst>
        </c:ser>
        <c:dLbls>
          <c:showLegendKey val="0"/>
          <c:showVal val="0"/>
          <c:showCatName val="0"/>
          <c:showSerName val="0"/>
          <c:showPercent val="1"/>
          <c:showBubbleSize val="0"/>
          <c:showLeaderLines val="1"/>
        </c:dLbls>
      </c:pie3DChart>
    </c:plotArea>
    <c:legend>
      <c:legendPos val="t"/>
      <c:overlay val="0"/>
    </c:legend>
    <c:plotVisOnly val="1"/>
    <c:dispBlanksAs val="zero"/>
    <c:showDLblsOverMax val="0"/>
  </c:chart>
  <c:printSettings>
    <c:headerFooter/>
    <c:pageMargins b="0.75000000000001132" l="0.70000000000000062" r="0.70000000000000062" t="0.75000000000001132"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s-CO"/>
              <a:t>Abril</a:t>
            </a:r>
          </a:p>
        </c:rich>
      </c:tx>
      <c:overlay val="0"/>
    </c:title>
    <c:autoTitleDeleted val="0"/>
    <c:view3D>
      <c:rotX val="75"/>
      <c:rotY val="0"/>
      <c:rAngAx val="0"/>
    </c:view3D>
    <c:floor>
      <c:thickness val="0"/>
    </c:floor>
    <c:sideWall>
      <c:thickness val="0"/>
    </c:sideWall>
    <c:backWall>
      <c:thickness val="0"/>
    </c:backWall>
    <c:plotArea>
      <c:layout>
        <c:manualLayout>
          <c:layoutTarget val="inner"/>
          <c:xMode val="edge"/>
          <c:yMode val="edge"/>
          <c:x val="9.0570152415158617E-2"/>
          <c:y val="0.49674059492563438"/>
          <c:w val="0.77207606943870077"/>
          <c:h val="0.4045236220472504"/>
        </c:manualLayout>
      </c:layout>
      <c:pie3DChart>
        <c:varyColors val="1"/>
        <c:ser>
          <c:idx val="0"/>
          <c:order val="0"/>
          <c:tx>
            <c:strRef>
              <c:f>ENERGIA!$A$22</c:f>
              <c:strCache>
                <c:ptCount val="1"/>
                <c:pt idx="0">
                  <c:v>Abril</c:v>
                </c:pt>
              </c:strCache>
            </c:strRef>
          </c:tx>
          <c:dLbls>
            <c:dLbl>
              <c:idx val="1"/>
              <c:layout>
                <c:manualLayout>
                  <c:x val="6.6462499999999994E-2"/>
                  <c:y val="9.132685185185185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0-8059-4348-9AC6-8015EA2E4291}"/>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ENERGIA!$B$18:$C$18</c:f>
              <c:strCache>
                <c:ptCount val="2"/>
                <c:pt idx="0">
                  <c:v>Energia Generada [Kw.h/mes ]</c:v>
                </c:pt>
                <c:pt idx="1">
                  <c:v>Energia comprada [Kw.h/mes ]</c:v>
                </c:pt>
              </c:strCache>
            </c:strRef>
          </c:cat>
          <c:val>
            <c:numRef>
              <c:f>ENERGIA!$B$22:$C$22</c:f>
              <c:numCache>
                <c:formatCode>#,##0</c:formatCode>
                <c:ptCount val="2"/>
                <c:pt idx="0">
                  <c:v>252702</c:v>
                </c:pt>
                <c:pt idx="1">
                  <c:v>125199</c:v>
                </c:pt>
              </c:numCache>
            </c:numRef>
          </c:val>
          <c:extLst>
            <c:ext xmlns:c16="http://schemas.microsoft.com/office/drawing/2014/chart" uri="{C3380CC4-5D6E-409C-BE32-E72D297353CC}">
              <c16:uniqueId val="{00000001-8059-4348-9AC6-8015EA2E4291}"/>
            </c:ext>
          </c:extLst>
        </c:ser>
        <c:dLbls>
          <c:showLegendKey val="0"/>
          <c:showVal val="0"/>
          <c:showCatName val="0"/>
          <c:showSerName val="0"/>
          <c:showPercent val="1"/>
          <c:showBubbleSize val="0"/>
          <c:showLeaderLines val="1"/>
        </c:dLbls>
      </c:pie3DChart>
    </c:plotArea>
    <c:legend>
      <c:legendPos val="t"/>
      <c:overlay val="0"/>
    </c:legend>
    <c:plotVisOnly val="1"/>
    <c:dispBlanksAs val="zero"/>
    <c:showDLblsOverMax val="0"/>
  </c:chart>
  <c:printSettings>
    <c:headerFooter/>
    <c:pageMargins b="0.75000000000001132" l="0.70000000000000062" r="0.70000000000000062" t="0.75000000000001132"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s-CO"/>
              <a:t>Mayo</a:t>
            </a:r>
          </a:p>
        </c:rich>
      </c:tx>
      <c:overlay val="0"/>
    </c:title>
    <c:autoTitleDeleted val="0"/>
    <c:view3D>
      <c:rotX val="75"/>
      <c:rotY val="0"/>
      <c:rAngAx val="0"/>
    </c:view3D>
    <c:floor>
      <c:thickness val="0"/>
    </c:floor>
    <c:sideWall>
      <c:thickness val="0"/>
    </c:sideWall>
    <c:backWall>
      <c:thickness val="0"/>
    </c:backWall>
    <c:plotArea>
      <c:layout>
        <c:manualLayout>
          <c:layoutTarget val="inner"/>
          <c:xMode val="edge"/>
          <c:yMode val="edge"/>
          <c:x val="9.0570152415158617E-2"/>
          <c:y val="0.49674059492563438"/>
          <c:w val="0.77207606943870077"/>
          <c:h val="0.4045236220472504"/>
        </c:manualLayout>
      </c:layout>
      <c:pie3DChart>
        <c:varyColors val="1"/>
        <c:ser>
          <c:idx val="0"/>
          <c:order val="0"/>
          <c:tx>
            <c:strRef>
              <c:f>ENERGIA!$A$23</c:f>
              <c:strCache>
                <c:ptCount val="1"/>
                <c:pt idx="0">
                  <c:v>Mayo</c:v>
                </c:pt>
              </c:strCache>
            </c:strRef>
          </c:tx>
          <c:dLbls>
            <c:dLbl>
              <c:idx val="1"/>
              <c:layout>
                <c:manualLayout>
                  <c:x val="6.6462499999999994E-2"/>
                  <c:y val="9.132685185185185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0-AA02-4A89-8BAE-EC0986D742FB}"/>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ENERGIA!$B$18:$C$18</c:f>
              <c:strCache>
                <c:ptCount val="2"/>
                <c:pt idx="0">
                  <c:v>Energia Generada [Kw.h/mes ]</c:v>
                </c:pt>
                <c:pt idx="1">
                  <c:v>Energia comprada [Kw.h/mes ]</c:v>
                </c:pt>
              </c:strCache>
            </c:strRef>
          </c:cat>
          <c:val>
            <c:numRef>
              <c:f>ENERGIA!$B$23:$C$23</c:f>
              <c:numCache>
                <c:formatCode>#,##0</c:formatCode>
                <c:ptCount val="2"/>
              </c:numCache>
            </c:numRef>
          </c:val>
          <c:extLst>
            <c:ext xmlns:c16="http://schemas.microsoft.com/office/drawing/2014/chart" uri="{C3380CC4-5D6E-409C-BE32-E72D297353CC}">
              <c16:uniqueId val="{00000001-AA02-4A89-8BAE-EC0986D742FB}"/>
            </c:ext>
          </c:extLst>
        </c:ser>
        <c:dLbls>
          <c:showLegendKey val="0"/>
          <c:showVal val="0"/>
          <c:showCatName val="0"/>
          <c:showSerName val="0"/>
          <c:showPercent val="1"/>
          <c:showBubbleSize val="0"/>
          <c:showLeaderLines val="1"/>
        </c:dLbls>
      </c:pie3DChart>
    </c:plotArea>
    <c:legend>
      <c:legendPos val="t"/>
      <c:overlay val="0"/>
    </c:legend>
    <c:plotVisOnly val="1"/>
    <c:dispBlanksAs val="zero"/>
    <c:showDLblsOverMax val="0"/>
  </c:chart>
  <c:printSettings>
    <c:headerFooter/>
    <c:pageMargins b="0.75000000000001132" l="0.70000000000000062" r="0.70000000000000062" t="0.7500000000000113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4"/>
    </mc:Choice>
    <mc:Fallback>
      <c:style val="4"/>
    </mc:Fallback>
  </mc:AlternateContent>
  <c:chart>
    <c:title>
      <c:layout>
        <c:manualLayout>
          <c:xMode val="edge"/>
          <c:yMode val="edge"/>
          <c:x val="0.37328756377365407"/>
          <c:y val="1.7660056103302273E-2"/>
        </c:manualLayout>
      </c:layout>
      <c:overlay val="0"/>
      <c:txPr>
        <a:bodyPr/>
        <a:lstStyle/>
        <a:p>
          <a:pPr>
            <a:defRPr sz="1800" b="1" i="0" u="none" strike="noStrike" baseline="0">
              <a:solidFill>
                <a:srgbClr val="000000"/>
              </a:solidFill>
              <a:latin typeface="Calibri"/>
              <a:ea typeface="Calibri"/>
              <a:cs typeface="Calibri"/>
            </a:defRPr>
          </a:pPr>
          <a:endParaRPr lang="es-CO"/>
        </a:p>
      </c:txPr>
    </c:title>
    <c:autoTitleDeleted val="0"/>
    <c:plotArea>
      <c:layout/>
      <c:lineChart>
        <c:grouping val="stacked"/>
        <c:varyColors val="0"/>
        <c:ser>
          <c:idx val="0"/>
          <c:order val="0"/>
          <c:tx>
            <c:v>Rendimiento (%)</c:v>
          </c:tx>
          <c:spPr>
            <a:ln>
              <a:solidFill>
                <a:srgbClr val="7030A0"/>
              </a:solidFill>
            </a:ln>
          </c:spPr>
          <c:marker>
            <c:spPr>
              <a:solidFill>
                <a:srgbClr val="FF0000"/>
              </a:solidFill>
            </c:spPr>
          </c:marker>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'REFINACION ACEITE DE PALMA'!$A$7:$A$19</c:f>
              <c:strCache>
                <c:ptCount val="13"/>
                <c:pt idx="0">
                  <c:v>may-20</c:v>
                </c:pt>
                <c:pt idx="1">
                  <c:v>jun-20</c:v>
                </c:pt>
                <c:pt idx="2">
                  <c:v>jul-20</c:v>
                </c:pt>
                <c:pt idx="3">
                  <c:v>ago-20</c:v>
                </c:pt>
                <c:pt idx="4">
                  <c:v>sep-20</c:v>
                </c:pt>
                <c:pt idx="5">
                  <c:v>oct-20</c:v>
                </c:pt>
                <c:pt idx="6">
                  <c:v>nov-20</c:v>
                </c:pt>
                <c:pt idx="7">
                  <c:v>dic-20</c:v>
                </c:pt>
                <c:pt idx="8">
                  <c:v>ene-21</c:v>
                </c:pt>
                <c:pt idx="9">
                  <c:v>feb-21</c:v>
                </c:pt>
                <c:pt idx="10">
                  <c:v>mar-21</c:v>
                </c:pt>
                <c:pt idx="11">
                  <c:v>abr-21</c:v>
                </c:pt>
                <c:pt idx="12">
                  <c:v>Totales</c:v>
                </c:pt>
              </c:strCache>
            </c:strRef>
          </c:cat>
          <c:val>
            <c:numRef>
              <c:f>'REFINACION ACEITE DE PALMA'!$F$7:$F$19</c:f>
              <c:numCache>
                <c:formatCode>0.00</c:formatCode>
                <c:ptCount val="13"/>
                <c:pt idx="0">
                  <c:v>92.975804965379254</c:v>
                </c:pt>
                <c:pt idx="1">
                  <c:v>93.294115826876819</c:v>
                </c:pt>
                <c:pt idx="2">
                  <c:v>91.426026507308521</c:v>
                </c:pt>
                <c:pt idx="3">
                  <c:v>93.656600400318695</c:v>
                </c:pt>
                <c:pt idx="4">
                  <c:v>94.858068850547284</c:v>
                </c:pt>
                <c:pt idx="5">
                  <c:v>95.200496816217338</c:v>
                </c:pt>
                <c:pt idx="6">
                  <c:v>93.293271545518934</c:v>
                </c:pt>
                <c:pt idx="7">
                  <c:v>92.594565178023345</c:v>
                </c:pt>
                <c:pt idx="8">
                  <c:v>94.691666083833255</c:v>
                </c:pt>
                <c:pt idx="9">
                  <c:v>95.059024794037583</c:v>
                </c:pt>
                <c:pt idx="10">
                  <c:v>94.796426982467679</c:v>
                </c:pt>
                <c:pt idx="11">
                  <c:v>94.059359304448137</c:v>
                </c:pt>
                <c:pt idx="12">
                  <c:v>94.123820149352781</c:v>
                </c:pt>
              </c:numCache>
            </c:numRef>
          </c:val>
          <c:smooth val="0"/>
          <c:extLst>
            <c:ext xmlns:c16="http://schemas.microsoft.com/office/drawing/2014/chart" uri="{C3380CC4-5D6E-409C-BE32-E72D297353CC}">
              <c16:uniqueId val="{00000000-BB82-4FA5-8AB8-2D036B6FC121}"/>
            </c:ext>
          </c:extLst>
        </c:ser>
        <c:dLbls>
          <c:showLegendKey val="0"/>
          <c:showVal val="0"/>
          <c:showCatName val="0"/>
          <c:showSerName val="0"/>
          <c:showPercent val="0"/>
          <c:showBubbleSize val="0"/>
        </c:dLbls>
        <c:marker val="1"/>
        <c:smooth val="0"/>
        <c:axId val="154396160"/>
        <c:axId val="154397696"/>
      </c:lineChart>
      <c:catAx>
        <c:axId val="154396160"/>
        <c:scaling>
          <c:orientation val="minMax"/>
        </c:scaling>
        <c:delete val="0"/>
        <c:axPos val="b"/>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154397696"/>
        <c:crosses val="autoZero"/>
        <c:auto val="1"/>
        <c:lblAlgn val="ctr"/>
        <c:lblOffset val="100"/>
        <c:noMultiLvlLbl val="0"/>
      </c:catAx>
      <c:valAx>
        <c:axId val="154397696"/>
        <c:scaling>
          <c:orientation val="minMax"/>
          <c:max val="96.5"/>
          <c:min val="92"/>
        </c:scaling>
        <c:delete val="0"/>
        <c:axPos val="l"/>
        <c:majorGridlines/>
        <c:numFmt formatCode="0.0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154396160"/>
        <c:crosses val="autoZero"/>
        <c:crossBetween val="between"/>
      </c:valAx>
      <c:dTable>
        <c:showHorzBorder val="1"/>
        <c:showVertBorder val="1"/>
        <c:showOutline val="1"/>
        <c:showKeys val="1"/>
        <c:txPr>
          <a:bodyPr/>
          <a:lstStyle/>
          <a:p>
            <a:pPr rtl="0">
              <a:defRPr sz="900" b="0" i="0" u="none" strike="noStrike" baseline="0">
                <a:solidFill>
                  <a:srgbClr val="000000"/>
                </a:solidFill>
                <a:latin typeface="Calibri"/>
                <a:ea typeface="Calibri"/>
                <a:cs typeface="Calibri"/>
              </a:defRPr>
            </a:pPr>
            <a:endParaRPr lang="es-CO"/>
          </a:p>
        </c:txPr>
      </c:dTable>
    </c:plotArea>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1465" l="0.70000000000000062" r="0.70000000000000062" t="0.75000000000001465"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s-CO"/>
              <a:t>Junio</a:t>
            </a:r>
          </a:p>
        </c:rich>
      </c:tx>
      <c:overlay val="0"/>
    </c:title>
    <c:autoTitleDeleted val="0"/>
    <c:view3D>
      <c:rotX val="75"/>
      <c:rotY val="0"/>
      <c:rAngAx val="0"/>
    </c:view3D>
    <c:floor>
      <c:thickness val="0"/>
    </c:floor>
    <c:sideWall>
      <c:thickness val="0"/>
    </c:sideWall>
    <c:backWall>
      <c:thickness val="0"/>
    </c:backWall>
    <c:plotArea>
      <c:layout>
        <c:manualLayout>
          <c:layoutTarget val="inner"/>
          <c:xMode val="edge"/>
          <c:yMode val="edge"/>
          <c:x val="9.0570152415158617E-2"/>
          <c:y val="0.49674059492563438"/>
          <c:w val="0.77207606943870077"/>
          <c:h val="0.4045236220472504"/>
        </c:manualLayout>
      </c:layout>
      <c:pie3DChart>
        <c:varyColors val="1"/>
        <c:ser>
          <c:idx val="0"/>
          <c:order val="0"/>
          <c:tx>
            <c:strRef>
              <c:f>ENERGIA!$A$24</c:f>
              <c:strCache>
                <c:ptCount val="1"/>
                <c:pt idx="0">
                  <c:v>Junio</c:v>
                </c:pt>
              </c:strCache>
            </c:strRef>
          </c:tx>
          <c:dLbls>
            <c:dLbl>
              <c:idx val="1"/>
              <c:layout>
                <c:manualLayout>
                  <c:x val="6.6462499999999994E-2"/>
                  <c:y val="9.132685185185185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0-8C00-4552-9356-24D99B464C3D}"/>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ENERGIA!$B$18:$C$18</c:f>
              <c:strCache>
                <c:ptCount val="2"/>
                <c:pt idx="0">
                  <c:v>Energia Generada [Kw.h/mes ]</c:v>
                </c:pt>
                <c:pt idx="1">
                  <c:v>Energia comprada [Kw.h/mes ]</c:v>
                </c:pt>
              </c:strCache>
            </c:strRef>
          </c:cat>
          <c:val>
            <c:numRef>
              <c:f>ENERGIA!$B$24:$C$24</c:f>
              <c:numCache>
                <c:formatCode>#,##0</c:formatCode>
                <c:ptCount val="2"/>
              </c:numCache>
            </c:numRef>
          </c:val>
          <c:extLst>
            <c:ext xmlns:c16="http://schemas.microsoft.com/office/drawing/2014/chart" uri="{C3380CC4-5D6E-409C-BE32-E72D297353CC}">
              <c16:uniqueId val="{00000001-8C00-4552-9356-24D99B464C3D}"/>
            </c:ext>
          </c:extLst>
        </c:ser>
        <c:dLbls>
          <c:showLegendKey val="0"/>
          <c:showVal val="0"/>
          <c:showCatName val="0"/>
          <c:showSerName val="0"/>
          <c:showPercent val="1"/>
          <c:showBubbleSize val="0"/>
          <c:showLeaderLines val="1"/>
        </c:dLbls>
      </c:pie3DChart>
    </c:plotArea>
    <c:legend>
      <c:legendPos val="t"/>
      <c:overlay val="0"/>
    </c:legend>
    <c:plotVisOnly val="1"/>
    <c:dispBlanksAs val="zero"/>
    <c:showDLblsOverMax val="0"/>
  </c:chart>
  <c:printSettings>
    <c:headerFooter/>
    <c:pageMargins b="0.75000000000001132" l="0.70000000000000062" r="0.70000000000000062" t="0.75000000000001132"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s-CO"/>
              <a:t>Julio</a:t>
            </a:r>
          </a:p>
        </c:rich>
      </c:tx>
      <c:overlay val="0"/>
    </c:title>
    <c:autoTitleDeleted val="0"/>
    <c:view3D>
      <c:rotX val="75"/>
      <c:rotY val="0"/>
      <c:rAngAx val="0"/>
    </c:view3D>
    <c:floor>
      <c:thickness val="0"/>
    </c:floor>
    <c:sideWall>
      <c:thickness val="0"/>
    </c:sideWall>
    <c:backWall>
      <c:thickness val="0"/>
    </c:backWall>
    <c:plotArea>
      <c:layout>
        <c:manualLayout>
          <c:layoutTarget val="inner"/>
          <c:xMode val="edge"/>
          <c:yMode val="edge"/>
          <c:x val="9.0570152415158617E-2"/>
          <c:y val="0.49674059492563438"/>
          <c:w val="0.77207606943870077"/>
          <c:h val="0.4045236220472504"/>
        </c:manualLayout>
      </c:layout>
      <c:pie3DChart>
        <c:varyColors val="1"/>
        <c:ser>
          <c:idx val="0"/>
          <c:order val="0"/>
          <c:tx>
            <c:strRef>
              <c:f>ENERGIA!$A$25</c:f>
              <c:strCache>
                <c:ptCount val="1"/>
                <c:pt idx="0">
                  <c:v>Julio</c:v>
                </c:pt>
              </c:strCache>
            </c:strRef>
          </c:tx>
          <c:dLbls>
            <c:dLbl>
              <c:idx val="1"/>
              <c:layout>
                <c:manualLayout>
                  <c:x val="6.6462499999999994E-2"/>
                  <c:y val="9.132685185185185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0-87E0-4A9A-ADF4-D59531151401}"/>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ENERGIA!$B$18:$C$18</c:f>
              <c:strCache>
                <c:ptCount val="2"/>
                <c:pt idx="0">
                  <c:v>Energia Generada [Kw.h/mes ]</c:v>
                </c:pt>
                <c:pt idx="1">
                  <c:v>Energia comprada [Kw.h/mes ]</c:v>
                </c:pt>
              </c:strCache>
            </c:strRef>
          </c:cat>
          <c:val>
            <c:numRef>
              <c:f>ENERGIA!$B$25:$C$25</c:f>
              <c:numCache>
                <c:formatCode>#,##0</c:formatCode>
                <c:ptCount val="2"/>
              </c:numCache>
            </c:numRef>
          </c:val>
          <c:extLst>
            <c:ext xmlns:c16="http://schemas.microsoft.com/office/drawing/2014/chart" uri="{C3380CC4-5D6E-409C-BE32-E72D297353CC}">
              <c16:uniqueId val="{00000001-87E0-4A9A-ADF4-D59531151401}"/>
            </c:ext>
          </c:extLst>
        </c:ser>
        <c:dLbls>
          <c:showLegendKey val="0"/>
          <c:showVal val="0"/>
          <c:showCatName val="0"/>
          <c:showSerName val="0"/>
          <c:showPercent val="1"/>
          <c:showBubbleSize val="0"/>
          <c:showLeaderLines val="1"/>
        </c:dLbls>
      </c:pie3DChart>
    </c:plotArea>
    <c:legend>
      <c:legendPos val="t"/>
      <c:overlay val="0"/>
    </c:legend>
    <c:plotVisOnly val="1"/>
    <c:dispBlanksAs val="zero"/>
    <c:showDLblsOverMax val="0"/>
  </c:chart>
  <c:printSettings>
    <c:headerFooter/>
    <c:pageMargins b="0.75000000000001132" l="0.70000000000000062" r="0.70000000000000062" t="0.75000000000001132"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s-CO"/>
              <a:t>Agosto</a:t>
            </a:r>
          </a:p>
        </c:rich>
      </c:tx>
      <c:overlay val="0"/>
    </c:title>
    <c:autoTitleDeleted val="0"/>
    <c:view3D>
      <c:rotX val="75"/>
      <c:rotY val="0"/>
      <c:rAngAx val="0"/>
    </c:view3D>
    <c:floor>
      <c:thickness val="0"/>
    </c:floor>
    <c:sideWall>
      <c:thickness val="0"/>
    </c:sideWall>
    <c:backWall>
      <c:thickness val="0"/>
    </c:backWall>
    <c:plotArea>
      <c:layout>
        <c:manualLayout>
          <c:layoutTarget val="inner"/>
          <c:xMode val="edge"/>
          <c:yMode val="edge"/>
          <c:x val="9.0570152415158617E-2"/>
          <c:y val="0.49674059492563438"/>
          <c:w val="0.77207606943870077"/>
          <c:h val="0.4045236220472504"/>
        </c:manualLayout>
      </c:layout>
      <c:pie3DChart>
        <c:varyColors val="1"/>
        <c:ser>
          <c:idx val="0"/>
          <c:order val="0"/>
          <c:tx>
            <c:strRef>
              <c:f>ENERGIA!$A$26</c:f>
              <c:strCache>
                <c:ptCount val="1"/>
                <c:pt idx="0">
                  <c:v>Agosto</c:v>
                </c:pt>
              </c:strCache>
            </c:strRef>
          </c:tx>
          <c:dLbls>
            <c:dLbl>
              <c:idx val="1"/>
              <c:layout>
                <c:manualLayout>
                  <c:x val="6.6462499999999994E-2"/>
                  <c:y val="9.132685185185185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0-8137-4E78-9C82-A35CFA083BAE}"/>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ENERGIA!$B$18:$C$18</c:f>
              <c:strCache>
                <c:ptCount val="2"/>
                <c:pt idx="0">
                  <c:v>Energia Generada [Kw.h/mes ]</c:v>
                </c:pt>
                <c:pt idx="1">
                  <c:v>Energia comprada [Kw.h/mes ]</c:v>
                </c:pt>
              </c:strCache>
            </c:strRef>
          </c:cat>
          <c:val>
            <c:numRef>
              <c:f>ENERGIA!$B$26:$C$26</c:f>
              <c:numCache>
                <c:formatCode>#,##0</c:formatCode>
                <c:ptCount val="2"/>
              </c:numCache>
            </c:numRef>
          </c:val>
          <c:extLst>
            <c:ext xmlns:c16="http://schemas.microsoft.com/office/drawing/2014/chart" uri="{C3380CC4-5D6E-409C-BE32-E72D297353CC}">
              <c16:uniqueId val="{00000001-8137-4E78-9C82-A35CFA083BAE}"/>
            </c:ext>
          </c:extLst>
        </c:ser>
        <c:dLbls>
          <c:showLegendKey val="0"/>
          <c:showVal val="0"/>
          <c:showCatName val="0"/>
          <c:showSerName val="0"/>
          <c:showPercent val="1"/>
          <c:showBubbleSize val="0"/>
          <c:showLeaderLines val="1"/>
        </c:dLbls>
      </c:pie3DChart>
    </c:plotArea>
    <c:legend>
      <c:legendPos val="t"/>
      <c:overlay val="0"/>
    </c:legend>
    <c:plotVisOnly val="1"/>
    <c:dispBlanksAs val="zero"/>
    <c:showDLblsOverMax val="0"/>
  </c:chart>
  <c:printSettings>
    <c:headerFooter/>
    <c:pageMargins b="0.75000000000001132" l="0.70000000000000062" r="0.70000000000000062" t="0.75000000000001132"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800" b="1" i="0" u="none" strike="noStrike" baseline="0">
              <a:solidFill>
                <a:srgbClr val="000000"/>
              </a:solidFill>
              <a:latin typeface="Calibri"/>
              <a:ea typeface="Calibri"/>
              <a:cs typeface="Calibri"/>
            </a:defRPr>
          </a:pPr>
          <a:endParaRPr lang="es-CO"/>
        </a:p>
      </c:txPr>
    </c:title>
    <c:autoTitleDeleted val="0"/>
    <c:plotArea>
      <c:layout/>
      <c:lineChart>
        <c:grouping val="standard"/>
        <c:varyColors val="0"/>
        <c:ser>
          <c:idx val="0"/>
          <c:order val="0"/>
          <c:tx>
            <c:v>% MONOGLICÉRIDOS</c:v>
          </c:tx>
          <c:dLbls>
            <c:spPr>
              <a:noFill/>
              <a:ln w="25400">
                <a:noFill/>
              </a:ln>
            </c:spPr>
            <c:txPr>
              <a:bodyPr/>
              <a:lstStyle/>
              <a:p>
                <a:pPr>
                  <a:defRPr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CALIDAD!$E$6:$N$7</c:f>
              <c:strCache>
                <c:ptCount val="10"/>
                <c:pt idx="0">
                  <c:v>jul-20</c:v>
                </c:pt>
                <c:pt idx="1">
                  <c:v>ago-20</c:v>
                </c:pt>
                <c:pt idx="2">
                  <c:v>sep-20</c:v>
                </c:pt>
                <c:pt idx="3">
                  <c:v>oct-20</c:v>
                </c:pt>
                <c:pt idx="4">
                  <c:v>nov-20</c:v>
                </c:pt>
                <c:pt idx="5">
                  <c:v>dic-20</c:v>
                </c:pt>
                <c:pt idx="6">
                  <c:v>ene-21</c:v>
                </c:pt>
                <c:pt idx="7">
                  <c:v>feb-21</c:v>
                </c:pt>
                <c:pt idx="8">
                  <c:v>mar-21</c:v>
                </c:pt>
                <c:pt idx="9">
                  <c:v>abr-21</c:v>
                </c:pt>
              </c:strCache>
            </c:strRef>
          </c:cat>
          <c:val>
            <c:numRef>
              <c:f>CALIDAD!$E$12:$N$12</c:f>
              <c:numCache>
                <c:formatCode>0.00</c:formatCode>
                <c:ptCount val="10"/>
                <c:pt idx="0">
                  <c:v>0.24099999999999999</c:v>
                </c:pt>
                <c:pt idx="1">
                  <c:v>0.24199999999999999</c:v>
                </c:pt>
                <c:pt idx="2">
                  <c:v>0.24</c:v>
                </c:pt>
                <c:pt idx="3">
                  <c:v>0.25700000000000001</c:v>
                </c:pt>
                <c:pt idx="4">
                  <c:v>0.307</c:v>
                </c:pt>
                <c:pt idx="5">
                  <c:v>0.315</c:v>
                </c:pt>
                <c:pt idx="6">
                  <c:v>0.28842500000000004</c:v>
                </c:pt>
                <c:pt idx="7">
                  <c:v>0.29799999999999999</c:v>
                </c:pt>
                <c:pt idx="8">
                  <c:v>0.32</c:v>
                </c:pt>
                <c:pt idx="9">
                  <c:v>0.33340000000000003</c:v>
                </c:pt>
              </c:numCache>
            </c:numRef>
          </c:val>
          <c:smooth val="0"/>
          <c:extLst>
            <c:ext xmlns:c16="http://schemas.microsoft.com/office/drawing/2014/chart" uri="{C3380CC4-5D6E-409C-BE32-E72D297353CC}">
              <c16:uniqueId val="{00000000-2C14-480C-A3F5-0881F3330024}"/>
            </c:ext>
          </c:extLst>
        </c:ser>
        <c:dLbls>
          <c:showLegendKey val="0"/>
          <c:showVal val="0"/>
          <c:showCatName val="0"/>
          <c:showSerName val="0"/>
          <c:showPercent val="0"/>
          <c:showBubbleSize val="0"/>
        </c:dLbls>
        <c:marker val="1"/>
        <c:smooth val="0"/>
        <c:axId val="146451456"/>
        <c:axId val="146461440"/>
      </c:lineChart>
      <c:dateAx>
        <c:axId val="146451456"/>
        <c:scaling>
          <c:orientation val="minMax"/>
        </c:scaling>
        <c:delete val="0"/>
        <c:axPos val="b"/>
        <c:numFmt formatCode="mmm\-yy"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146461440"/>
        <c:crosses val="autoZero"/>
        <c:auto val="1"/>
        <c:lblOffset val="100"/>
        <c:baseTimeUnit val="months"/>
        <c:majorUnit val="1"/>
        <c:minorUnit val="1"/>
      </c:dateAx>
      <c:valAx>
        <c:axId val="146461440"/>
        <c:scaling>
          <c:orientation val="minMax"/>
          <c:min val="0.25"/>
        </c:scaling>
        <c:delete val="0"/>
        <c:axPos val="l"/>
        <c:majorGridlines/>
        <c:minorGridlines/>
        <c:numFmt formatCode="0.00"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146451456"/>
        <c:crosses val="autoZero"/>
        <c:crossBetween val="between"/>
      </c:valAx>
      <c:spPr>
        <a:ln>
          <a:solidFill>
            <a:schemeClr val="bg2">
              <a:lumMod val="75000"/>
            </a:schemeClr>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1465" l="0.70000000000000062" r="0.70000000000000062" t="0.75000000000001465" header="0.30000000000000032" footer="0.3000000000000003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s-CO"/>
              <a:t>% DIGLICÉRIDOS</a:t>
            </a:r>
          </a:p>
        </c:rich>
      </c:tx>
      <c:overlay val="0"/>
    </c:title>
    <c:autoTitleDeleted val="0"/>
    <c:plotArea>
      <c:layout/>
      <c:lineChart>
        <c:grouping val="standard"/>
        <c:varyColors val="0"/>
        <c:ser>
          <c:idx val="0"/>
          <c:order val="0"/>
          <c:tx>
            <c:v>%DIGLICÉRIDOS</c:v>
          </c:tx>
          <c:spPr>
            <a:ln>
              <a:solidFill>
                <a:srgbClr val="FF0000"/>
              </a:solidFill>
            </a:ln>
          </c:spPr>
          <c:marker>
            <c:spPr>
              <a:solidFill>
                <a:srgbClr val="FF0000"/>
              </a:solidFill>
            </c:spPr>
          </c:marker>
          <c:dLbls>
            <c:spPr>
              <a:noFill/>
              <a:ln w="25400">
                <a:noFill/>
              </a:ln>
            </c:spPr>
            <c:txPr>
              <a:bodyPr/>
              <a:lstStyle/>
              <a:p>
                <a:pPr>
                  <a:defRPr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CALIDAD!$E$6:$N$7</c:f>
              <c:strCache>
                <c:ptCount val="10"/>
                <c:pt idx="0">
                  <c:v>jul-20</c:v>
                </c:pt>
                <c:pt idx="1">
                  <c:v>ago-20</c:v>
                </c:pt>
                <c:pt idx="2">
                  <c:v>sep-20</c:v>
                </c:pt>
                <c:pt idx="3">
                  <c:v>oct-20</c:v>
                </c:pt>
                <c:pt idx="4">
                  <c:v>nov-20</c:v>
                </c:pt>
                <c:pt idx="5">
                  <c:v>dic-20</c:v>
                </c:pt>
                <c:pt idx="6">
                  <c:v>ene-21</c:v>
                </c:pt>
                <c:pt idx="7">
                  <c:v>feb-21</c:v>
                </c:pt>
                <c:pt idx="8">
                  <c:v>mar-21</c:v>
                </c:pt>
                <c:pt idx="9">
                  <c:v>abr-21</c:v>
                </c:pt>
              </c:strCache>
            </c:strRef>
          </c:cat>
          <c:val>
            <c:numRef>
              <c:f>CALIDAD!$E$13:$N$13</c:f>
              <c:numCache>
                <c:formatCode>0.00</c:formatCode>
                <c:ptCount val="10"/>
                <c:pt idx="0">
                  <c:v>0.113</c:v>
                </c:pt>
                <c:pt idx="1">
                  <c:v>9.8000000000000004E-2</c:v>
                </c:pt>
                <c:pt idx="2">
                  <c:v>9.7000000000000003E-2</c:v>
                </c:pt>
                <c:pt idx="3">
                  <c:v>0.107</c:v>
                </c:pt>
                <c:pt idx="4">
                  <c:v>0.159</c:v>
                </c:pt>
                <c:pt idx="5">
                  <c:v>0.19600000000000001</c:v>
                </c:pt>
                <c:pt idx="6">
                  <c:v>0.167825</c:v>
                </c:pt>
                <c:pt idx="7">
                  <c:v>0.16600000000000001</c:v>
                </c:pt>
                <c:pt idx="8">
                  <c:v>0.2</c:v>
                </c:pt>
                <c:pt idx="9">
                  <c:v>0.20046666666666668</c:v>
                </c:pt>
              </c:numCache>
            </c:numRef>
          </c:val>
          <c:smooth val="0"/>
          <c:extLst>
            <c:ext xmlns:c16="http://schemas.microsoft.com/office/drawing/2014/chart" uri="{C3380CC4-5D6E-409C-BE32-E72D297353CC}">
              <c16:uniqueId val="{00000000-20C1-4160-9B69-CAC747D0E774}"/>
            </c:ext>
          </c:extLst>
        </c:ser>
        <c:dLbls>
          <c:showLegendKey val="0"/>
          <c:showVal val="0"/>
          <c:showCatName val="0"/>
          <c:showSerName val="0"/>
          <c:showPercent val="0"/>
          <c:showBubbleSize val="0"/>
        </c:dLbls>
        <c:marker val="1"/>
        <c:smooth val="0"/>
        <c:axId val="146494208"/>
        <c:axId val="146495744"/>
      </c:lineChart>
      <c:dateAx>
        <c:axId val="146494208"/>
        <c:scaling>
          <c:orientation val="minMax"/>
        </c:scaling>
        <c:delete val="0"/>
        <c:axPos val="b"/>
        <c:numFmt formatCode="mmm\-yy"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146495744"/>
        <c:crosses val="autoZero"/>
        <c:auto val="1"/>
        <c:lblOffset val="100"/>
        <c:baseTimeUnit val="months"/>
        <c:majorUnit val="1"/>
        <c:minorUnit val="1"/>
      </c:dateAx>
      <c:valAx>
        <c:axId val="146495744"/>
        <c:scaling>
          <c:orientation val="minMax"/>
          <c:min val="9.0000000000000024E-2"/>
        </c:scaling>
        <c:delete val="0"/>
        <c:axPos val="l"/>
        <c:majorGridlines/>
        <c:minorGridlines/>
        <c:numFmt formatCode="0.00"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146494208"/>
        <c:crosses val="autoZero"/>
        <c:crossBetween val="between"/>
      </c:valAx>
      <c:spPr>
        <a:ln>
          <a:solidFill>
            <a:schemeClr val="bg2">
              <a:lumMod val="75000"/>
            </a:schemeClr>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1465" l="0.70000000000000062" r="0.70000000000000062" t="0.75000000000001465" header="0.30000000000000032" footer="0.3000000000000003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s-CO"/>
              <a:t>% TRIGLICÉRIDOS</a:t>
            </a:r>
          </a:p>
        </c:rich>
      </c:tx>
      <c:overlay val="0"/>
    </c:title>
    <c:autoTitleDeleted val="0"/>
    <c:plotArea>
      <c:layout/>
      <c:lineChart>
        <c:grouping val="standard"/>
        <c:varyColors val="0"/>
        <c:ser>
          <c:idx val="0"/>
          <c:order val="0"/>
          <c:tx>
            <c:v>%TRIGLICÉRIDOS</c:v>
          </c:tx>
          <c:spPr>
            <a:ln>
              <a:solidFill>
                <a:srgbClr val="00B050"/>
              </a:solidFill>
            </a:ln>
          </c:spPr>
          <c:marker>
            <c:spPr>
              <a:solidFill>
                <a:srgbClr val="00B050"/>
              </a:solidFill>
            </c:spPr>
          </c:marker>
          <c:dLbls>
            <c:spPr>
              <a:noFill/>
              <a:ln w="25400">
                <a:noFill/>
              </a:ln>
            </c:spPr>
            <c:txPr>
              <a:bodyPr/>
              <a:lstStyle/>
              <a:p>
                <a:pPr>
                  <a:defRPr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CALIDAD!$E$6:$N$7</c:f>
              <c:strCache>
                <c:ptCount val="10"/>
                <c:pt idx="0">
                  <c:v>jul-20</c:v>
                </c:pt>
                <c:pt idx="1">
                  <c:v>ago-20</c:v>
                </c:pt>
                <c:pt idx="2">
                  <c:v>sep-20</c:v>
                </c:pt>
                <c:pt idx="3">
                  <c:v>oct-20</c:v>
                </c:pt>
                <c:pt idx="4">
                  <c:v>nov-20</c:v>
                </c:pt>
                <c:pt idx="5">
                  <c:v>dic-20</c:v>
                </c:pt>
                <c:pt idx="6">
                  <c:v>ene-21</c:v>
                </c:pt>
                <c:pt idx="7">
                  <c:v>feb-21</c:v>
                </c:pt>
                <c:pt idx="8">
                  <c:v>mar-21</c:v>
                </c:pt>
                <c:pt idx="9">
                  <c:v>abr-21</c:v>
                </c:pt>
              </c:strCache>
            </c:strRef>
          </c:cat>
          <c:val>
            <c:numRef>
              <c:f>CALIDAD!$E$14:$N$14</c:f>
              <c:numCache>
                <c:formatCode>0.00</c:formatCode>
                <c:ptCount val="10"/>
                <c:pt idx="0">
                  <c:v>5.3999999999999999E-2</c:v>
                </c:pt>
                <c:pt idx="1">
                  <c:v>4.3999999999999997E-2</c:v>
                </c:pt>
                <c:pt idx="2">
                  <c:v>2.3E-2</c:v>
                </c:pt>
                <c:pt idx="3">
                  <c:v>2.5999999999999999E-2</c:v>
                </c:pt>
                <c:pt idx="4">
                  <c:v>8.8999999999999996E-2</c:v>
                </c:pt>
                <c:pt idx="5">
                  <c:v>0.13300000000000001</c:v>
                </c:pt>
                <c:pt idx="6">
                  <c:v>0.1292875</c:v>
                </c:pt>
                <c:pt idx="7">
                  <c:v>0.129</c:v>
                </c:pt>
                <c:pt idx="8">
                  <c:v>0.16</c:v>
                </c:pt>
                <c:pt idx="9">
                  <c:v>0.17019999999999999</c:v>
                </c:pt>
              </c:numCache>
            </c:numRef>
          </c:val>
          <c:smooth val="0"/>
          <c:extLst>
            <c:ext xmlns:c16="http://schemas.microsoft.com/office/drawing/2014/chart" uri="{C3380CC4-5D6E-409C-BE32-E72D297353CC}">
              <c16:uniqueId val="{00000000-1E76-4EF7-A81F-2124EE12619F}"/>
            </c:ext>
          </c:extLst>
        </c:ser>
        <c:dLbls>
          <c:showLegendKey val="0"/>
          <c:showVal val="0"/>
          <c:showCatName val="0"/>
          <c:showSerName val="0"/>
          <c:showPercent val="0"/>
          <c:showBubbleSize val="0"/>
        </c:dLbls>
        <c:marker val="1"/>
        <c:smooth val="0"/>
        <c:axId val="146508032"/>
        <c:axId val="146526208"/>
      </c:lineChart>
      <c:dateAx>
        <c:axId val="146508032"/>
        <c:scaling>
          <c:orientation val="minMax"/>
        </c:scaling>
        <c:delete val="0"/>
        <c:axPos val="b"/>
        <c:numFmt formatCode="mmm\-yy"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146526208"/>
        <c:crosses val="autoZero"/>
        <c:auto val="1"/>
        <c:lblOffset val="100"/>
        <c:baseTimeUnit val="months"/>
        <c:majorUnit val="1"/>
        <c:minorUnit val="1"/>
      </c:dateAx>
      <c:valAx>
        <c:axId val="146526208"/>
        <c:scaling>
          <c:orientation val="minMax"/>
        </c:scaling>
        <c:delete val="0"/>
        <c:axPos val="l"/>
        <c:majorGridlines/>
        <c:minorGridlines/>
        <c:numFmt formatCode="0.00"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146508032"/>
        <c:crosses val="autoZero"/>
        <c:crossBetween val="between"/>
        <c:majorUnit val="1.0000000000000005E-2"/>
      </c:valAx>
      <c:spPr>
        <a:ln>
          <a:solidFill>
            <a:schemeClr val="bg2">
              <a:lumMod val="75000"/>
            </a:schemeClr>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1465" l="0.70000000000000062" r="0.70000000000000062" t="0.75000000000001465" header="0.30000000000000032" footer="0.30000000000000032"/>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s-CO"/>
              <a:t>% FAME</a:t>
            </a:r>
          </a:p>
        </c:rich>
      </c:tx>
      <c:overlay val="0"/>
    </c:title>
    <c:autoTitleDeleted val="0"/>
    <c:plotArea>
      <c:layout/>
      <c:lineChart>
        <c:grouping val="standard"/>
        <c:varyColors val="0"/>
        <c:ser>
          <c:idx val="0"/>
          <c:order val="0"/>
          <c:tx>
            <c:v>FAME</c:v>
          </c:tx>
          <c:spPr>
            <a:ln>
              <a:solidFill>
                <a:schemeClr val="accent4">
                  <a:lumMod val="75000"/>
                </a:schemeClr>
              </a:solidFill>
            </a:ln>
          </c:spPr>
          <c:marker>
            <c:spPr>
              <a:solidFill>
                <a:schemeClr val="accent4">
                  <a:lumMod val="75000"/>
                </a:schemeClr>
              </a:solidFill>
            </c:spPr>
          </c:marker>
          <c:dLbls>
            <c:spPr>
              <a:noFill/>
              <a:ln w="25400">
                <a:noFill/>
              </a:ln>
            </c:spPr>
            <c:txPr>
              <a:bodyPr/>
              <a:lstStyle/>
              <a:p>
                <a:pPr>
                  <a:defRPr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CALIDAD!$E$6:$N$7</c:f>
              <c:strCache>
                <c:ptCount val="10"/>
                <c:pt idx="0">
                  <c:v>jul-20</c:v>
                </c:pt>
                <c:pt idx="1">
                  <c:v>ago-20</c:v>
                </c:pt>
                <c:pt idx="2">
                  <c:v>sep-20</c:v>
                </c:pt>
                <c:pt idx="3">
                  <c:v>oct-20</c:v>
                </c:pt>
                <c:pt idx="4">
                  <c:v>nov-20</c:v>
                </c:pt>
                <c:pt idx="5">
                  <c:v>dic-20</c:v>
                </c:pt>
                <c:pt idx="6">
                  <c:v>ene-21</c:v>
                </c:pt>
                <c:pt idx="7">
                  <c:v>feb-21</c:v>
                </c:pt>
                <c:pt idx="8">
                  <c:v>mar-21</c:v>
                </c:pt>
                <c:pt idx="9">
                  <c:v>abr-21</c:v>
                </c:pt>
              </c:strCache>
            </c:strRef>
          </c:cat>
          <c:val>
            <c:numRef>
              <c:f>CALIDAD!$E$16:$N$16</c:f>
              <c:numCache>
                <c:formatCode>0.00%</c:formatCode>
                <c:ptCount val="10"/>
                <c:pt idx="0">
                  <c:v>0.99</c:v>
                </c:pt>
                <c:pt idx="1">
                  <c:v>0.98399999999999999</c:v>
                </c:pt>
                <c:pt idx="2">
                  <c:v>0.98799999999999999</c:v>
                </c:pt>
                <c:pt idx="3">
                  <c:v>0.98399999999999999</c:v>
                </c:pt>
                <c:pt idx="4">
                  <c:v>0.98399999999999999</c:v>
                </c:pt>
                <c:pt idx="5">
                  <c:v>0.98399999999999999</c:v>
                </c:pt>
                <c:pt idx="6">
                  <c:v>0.98499999999999999</c:v>
                </c:pt>
                <c:pt idx="7">
                  <c:v>0.98499999999999999</c:v>
                </c:pt>
                <c:pt idx="8">
                  <c:v>0.98799999999999999</c:v>
                </c:pt>
                <c:pt idx="9">
                  <c:v>0.98599999999999999</c:v>
                </c:pt>
              </c:numCache>
            </c:numRef>
          </c:val>
          <c:smooth val="0"/>
          <c:extLst>
            <c:ext xmlns:c16="http://schemas.microsoft.com/office/drawing/2014/chart" uri="{C3380CC4-5D6E-409C-BE32-E72D297353CC}">
              <c16:uniqueId val="{00000000-20A9-41EB-AE1C-76B548153636}"/>
            </c:ext>
          </c:extLst>
        </c:ser>
        <c:dLbls>
          <c:showLegendKey val="0"/>
          <c:showVal val="0"/>
          <c:showCatName val="0"/>
          <c:showSerName val="0"/>
          <c:showPercent val="0"/>
          <c:showBubbleSize val="0"/>
        </c:dLbls>
        <c:marker val="1"/>
        <c:smooth val="0"/>
        <c:axId val="146554880"/>
        <c:axId val="146556416"/>
      </c:lineChart>
      <c:dateAx>
        <c:axId val="146554880"/>
        <c:scaling>
          <c:orientation val="minMax"/>
        </c:scaling>
        <c:delete val="0"/>
        <c:axPos val="b"/>
        <c:numFmt formatCode="mmm\-yy"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146556416"/>
        <c:crossesAt val="0.96501000000000003"/>
        <c:auto val="1"/>
        <c:lblOffset val="100"/>
        <c:baseTimeUnit val="months"/>
        <c:majorUnit val="1"/>
        <c:minorUnit val="1"/>
      </c:dateAx>
      <c:valAx>
        <c:axId val="146556416"/>
        <c:scaling>
          <c:orientation val="minMax"/>
          <c:min val="0.96501000000000003"/>
        </c:scaling>
        <c:delete val="0"/>
        <c:axPos val="l"/>
        <c:majorGridlines/>
        <c:minorGridlines/>
        <c:numFmt formatCode="0.000"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146554880"/>
        <c:crosses val="autoZero"/>
        <c:crossBetween val="between"/>
        <c:majorUnit val="5.0000000000000114E-3"/>
      </c:valAx>
      <c:spPr>
        <a:ln>
          <a:solidFill>
            <a:schemeClr val="bg2">
              <a:lumMod val="75000"/>
            </a:schemeClr>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1465" l="0.70000000000000062" r="0.70000000000000062" t="0.75000000000001465" header="0.30000000000000032" footer="0.3000000000000003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s-CO"/>
              <a:t>HUMEDAD (PPM)</a:t>
            </a:r>
          </a:p>
        </c:rich>
      </c:tx>
      <c:overlay val="0"/>
    </c:title>
    <c:autoTitleDeleted val="0"/>
    <c:plotArea>
      <c:layout/>
      <c:lineChart>
        <c:grouping val="standard"/>
        <c:varyColors val="0"/>
        <c:ser>
          <c:idx val="0"/>
          <c:order val="0"/>
          <c:tx>
            <c:v>HUMEDAD</c:v>
          </c:tx>
          <c:spPr>
            <a:ln>
              <a:solidFill>
                <a:schemeClr val="tx2">
                  <a:lumMod val="60000"/>
                  <a:lumOff val="40000"/>
                </a:schemeClr>
              </a:solidFill>
            </a:ln>
          </c:spPr>
          <c:marker>
            <c:spPr>
              <a:solidFill>
                <a:schemeClr val="tx2">
                  <a:lumMod val="60000"/>
                  <a:lumOff val="40000"/>
                </a:schemeClr>
              </a:solidFill>
            </c:spPr>
          </c:marker>
          <c:dLbls>
            <c:spPr>
              <a:noFill/>
              <a:ln w="25400">
                <a:noFill/>
              </a:ln>
            </c:spPr>
            <c:txPr>
              <a:bodyPr/>
              <a:lstStyle/>
              <a:p>
                <a:pPr>
                  <a:defRPr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CALIDAD!$E$6:$N$7</c:f>
              <c:strCache>
                <c:ptCount val="10"/>
                <c:pt idx="0">
                  <c:v>jul-20</c:v>
                </c:pt>
                <c:pt idx="1">
                  <c:v>ago-20</c:v>
                </c:pt>
                <c:pt idx="2">
                  <c:v>sep-20</c:v>
                </c:pt>
                <c:pt idx="3">
                  <c:v>oct-20</c:v>
                </c:pt>
                <c:pt idx="4">
                  <c:v>nov-20</c:v>
                </c:pt>
                <c:pt idx="5">
                  <c:v>dic-20</c:v>
                </c:pt>
                <c:pt idx="6">
                  <c:v>ene-21</c:v>
                </c:pt>
                <c:pt idx="7">
                  <c:v>feb-21</c:v>
                </c:pt>
                <c:pt idx="8">
                  <c:v>mar-21</c:v>
                </c:pt>
                <c:pt idx="9">
                  <c:v>abr-21</c:v>
                </c:pt>
              </c:strCache>
            </c:strRef>
          </c:cat>
          <c:val>
            <c:numRef>
              <c:f>CALIDAD!$E$11:$N$11</c:f>
              <c:numCache>
                <c:formatCode>0</c:formatCode>
                <c:ptCount val="10"/>
                <c:pt idx="0">
                  <c:v>175</c:v>
                </c:pt>
                <c:pt idx="1">
                  <c:v>182</c:v>
                </c:pt>
                <c:pt idx="2">
                  <c:v>163</c:v>
                </c:pt>
                <c:pt idx="3">
                  <c:v>160</c:v>
                </c:pt>
                <c:pt idx="4">
                  <c:v>166</c:v>
                </c:pt>
                <c:pt idx="5">
                  <c:v>180</c:v>
                </c:pt>
                <c:pt idx="6">
                  <c:v>183</c:v>
                </c:pt>
                <c:pt idx="7">
                  <c:v>202</c:v>
                </c:pt>
                <c:pt idx="8">
                  <c:v>195</c:v>
                </c:pt>
                <c:pt idx="9">
                  <c:v>176</c:v>
                </c:pt>
              </c:numCache>
            </c:numRef>
          </c:val>
          <c:smooth val="0"/>
          <c:extLst>
            <c:ext xmlns:c16="http://schemas.microsoft.com/office/drawing/2014/chart" uri="{C3380CC4-5D6E-409C-BE32-E72D297353CC}">
              <c16:uniqueId val="{00000000-CD63-4D2A-882F-43EE43A53C05}"/>
            </c:ext>
          </c:extLst>
        </c:ser>
        <c:dLbls>
          <c:showLegendKey val="0"/>
          <c:showVal val="0"/>
          <c:showCatName val="0"/>
          <c:showSerName val="0"/>
          <c:showPercent val="0"/>
          <c:showBubbleSize val="0"/>
        </c:dLbls>
        <c:marker val="1"/>
        <c:smooth val="0"/>
        <c:axId val="124245504"/>
        <c:axId val="124247040"/>
      </c:lineChart>
      <c:dateAx>
        <c:axId val="124245504"/>
        <c:scaling>
          <c:orientation val="minMax"/>
        </c:scaling>
        <c:delete val="0"/>
        <c:axPos val="b"/>
        <c:numFmt formatCode="mmm\-yy"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124247040"/>
        <c:crosses val="autoZero"/>
        <c:auto val="1"/>
        <c:lblOffset val="100"/>
        <c:baseTimeUnit val="months"/>
        <c:majorUnit val="1"/>
        <c:minorUnit val="1"/>
      </c:dateAx>
      <c:valAx>
        <c:axId val="124247040"/>
        <c:scaling>
          <c:orientation val="minMax"/>
          <c:min val="150"/>
        </c:scaling>
        <c:delete val="0"/>
        <c:axPos val="l"/>
        <c:majorGridlines/>
        <c:minorGridlines/>
        <c:numFmt formatCode="0.000"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124245504"/>
        <c:crosses val="autoZero"/>
        <c:crossBetween val="between"/>
        <c:minorUnit val="10"/>
      </c:valAx>
      <c:spPr>
        <a:ln>
          <a:solidFill>
            <a:schemeClr val="bg2">
              <a:lumMod val="75000"/>
            </a:schemeClr>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1465" l="0.70000000000000062" r="0.70000000000000062" t="0.75000000000001465" header="0.30000000000000032" footer="0.30000000000000032"/>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s-CO"/>
              <a:t>CONTAMINACIÓN TOTAL (PPM)</a:t>
            </a:r>
          </a:p>
        </c:rich>
      </c:tx>
      <c:overlay val="0"/>
    </c:title>
    <c:autoTitleDeleted val="0"/>
    <c:plotArea>
      <c:layout/>
      <c:lineChart>
        <c:grouping val="standard"/>
        <c:varyColors val="0"/>
        <c:ser>
          <c:idx val="0"/>
          <c:order val="0"/>
          <c:tx>
            <c:v>CONTAMINACION TOTAL</c:v>
          </c:tx>
          <c:spPr>
            <a:ln>
              <a:solidFill>
                <a:srgbClr val="D1DF4B"/>
              </a:solidFill>
            </a:ln>
          </c:spPr>
          <c:marker>
            <c:spPr>
              <a:solidFill>
                <a:srgbClr val="CCCC00"/>
              </a:solidFill>
            </c:spPr>
          </c:marker>
          <c:dLbls>
            <c:spPr>
              <a:noFill/>
              <a:ln w="25400">
                <a:noFill/>
              </a:ln>
            </c:spPr>
            <c:txPr>
              <a:bodyPr/>
              <a:lstStyle/>
              <a:p>
                <a:pPr>
                  <a:defRPr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CALIDAD!$E$6:$N$7</c:f>
              <c:strCache>
                <c:ptCount val="10"/>
                <c:pt idx="0">
                  <c:v>jul-20</c:v>
                </c:pt>
                <c:pt idx="1">
                  <c:v>ago-20</c:v>
                </c:pt>
                <c:pt idx="2">
                  <c:v>sep-20</c:v>
                </c:pt>
                <c:pt idx="3">
                  <c:v>oct-20</c:v>
                </c:pt>
                <c:pt idx="4">
                  <c:v>nov-20</c:v>
                </c:pt>
                <c:pt idx="5">
                  <c:v>dic-20</c:v>
                </c:pt>
                <c:pt idx="6">
                  <c:v>ene-21</c:v>
                </c:pt>
                <c:pt idx="7">
                  <c:v>feb-21</c:v>
                </c:pt>
                <c:pt idx="8">
                  <c:v>mar-21</c:v>
                </c:pt>
                <c:pt idx="9">
                  <c:v>abr-21</c:v>
                </c:pt>
              </c:strCache>
            </c:strRef>
          </c:cat>
          <c:val>
            <c:numRef>
              <c:f>CALIDAD!$E$20:$N$20</c:f>
              <c:numCache>
                <c:formatCode>0.0</c:formatCode>
                <c:ptCount val="10"/>
                <c:pt idx="0">
                  <c:v>12.7</c:v>
                </c:pt>
                <c:pt idx="1">
                  <c:v>13.7</c:v>
                </c:pt>
                <c:pt idx="2">
                  <c:v>15.1</c:v>
                </c:pt>
                <c:pt idx="3">
                  <c:v>15.7</c:v>
                </c:pt>
                <c:pt idx="4">
                  <c:v>15.4</c:v>
                </c:pt>
                <c:pt idx="5">
                  <c:v>15.1</c:v>
                </c:pt>
                <c:pt idx="6">
                  <c:v>15</c:v>
                </c:pt>
                <c:pt idx="7">
                  <c:v>14.8</c:v>
                </c:pt>
                <c:pt idx="8">
                  <c:v>16.8</c:v>
                </c:pt>
                <c:pt idx="9">
                  <c:v>15.8</c:v>
                </c:pt>
              </c:numCache>
            </c:numRef>
          </c:val>
          <c:smooth val="0"/>
          <c:extLst>
            <c:ext xmlns:c16="http://schemas.microsoft.com/office/drawing/2014/chart" uri="{C3380CC4-5D6E-409C-BE32-E72D297353CC}">
              <c16:uniqueId val="{00000000-F807-444B-95D2-3FC17059DBA3}"/>
            </c:ext>
          </c:extLst>
        </c:ser>
        <c:dLbls>
          <c:showLegendKey val="0"/>
          <c:showVal val="0"/>
          <c:showCatName val="0"/>
          <c:showSerName val="0"/>
          <c:showPercent val="0"/>
          <c:showBubbleSize val="0"/>
        </c:dLbls>
        <c:marker val="1"/>
        <c:smooth val="0"/>
        <c:axId val="146582528"/>
        <c:axId val="146596608"/>
      </c:lineChart>
      <c:dateAx>
        <c:axId val="146582528"/>
        <c:scaling>
          <c:orientation val="minMax"/>
        </c:scaling>
        <c:delete val="0"/>
        <c:axPos val="b"/>
        <c:numFmt formatCode="mmm\-yy"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146596608"/>
        <c:crosses val="autoZero"/>
        <c:auto val="1"/>
        <c:lblOffset val="100"/>
        <c:baseTimeUnit val="months"/>
        <c:majorUnit val="1"/>
        <c:minorUnit val="1"/>
      </c:dateAx>
      <c:valAx>
        <c:axId val="146596608"/>
        <c:scaling>
          <c:orientation val="minMax"/>
          <c:max val="24.5"/>
          <c:min val="5"/>
        </c:scaling>
        <c:delete val="0"/>
        <c:axPos val="l"/>
        <c:majorGridlines/>
        <c:minorGridlines/>
        <c:numFmt formatCode="0.000"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146582528"/>
        <c:crosses val="autoZero"/>
        <c:crossBetween val="between"/>
        <c:majorUnit val="1"/>
        <c:minorUnit val="1"/>
      </c:valAx>
      <c:spPr>
        <a:ln>
          <a:solidFill>
            <a:schemeClr val="bg2">
              <a:lumMod val="75000"/>
            </a:schemeClr>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1465" l="0.70000000000000062" r="0.70000000000000062" t="0.75000000000001465" header="0.30000000000000032" footer="0.30000000000000032"/>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s-CO"/>
              <a:t>NÚMERO ÁCIDO </a:t>
            </a:r>
          </a:p>
        </c:rich>
      </c:tx>
      <c:overlay val="0"/>
    </c:title>
    <c:autoTitleDeleted val="0"/>
    <c:plotArea>
      <c:layout/>
      <c:lineChart>
        <c:grouping val="standard"/>
        <c:varyColors val="0"/>
        <c:ser>
          <c:idx val="0"/>
          <c:order val="0"/>
          <c:tx>
            <c:v>NUMERO DE ÁCIDO</c:v>
          </c:tx>
          <c:spPr>
            <a:ln>
              <a:solidFill>
                <a:schemeClr val="accent6">
                  <a:lumMod val="75000"/>
                </a:schemeClr>
              </a:solidFill>
            </a:ln>
          </c:spPr>
          <c:marker>
            <c:spPr>
              <a:solidFill>
                <a:schemeClr val="accent6">
                  <a:lumMod val="75000"/>
                </a:schemeClr>
              </a:solidFill>
              <a:ln>
                <a:solidFill>
                  <a:schemeClr val="accent6">
                    <a:lumMod val="75000"/>
                  </a:schemeClr>
                </a:solidFill>
              </a:ln>
            </c:spPr>
          </c:marker>
          <c:dLbls>
            <c:spPr>
              <a:noFill/>
              <a:ln w="25400">
                <a:noFill/>
              </a:ln>
            </c:spPr>
            <c:txPr>
              <a:bodyPr/>
              <a:lstStyle/>
              <a:p>
                <a:pPr>
                  <a:defRPr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CALIDAD!$E$6:$N$7</c:f>
              <c:strCache>
                <c:ptCount val="10"/>
                <c:pt idx="0">
                  <c:v>jul-20</c:v>
                </c:pt>
                <c:pt idx="1">
                  <c:v>ago-20</c:v>
                </c:pt>
                <c:pt idx="2">
                  <c:v>sep-20</c:v>
                </c:pt>
                <c:pt idx="3">
                  <c:v>oct-20</c:v>
                </c:pt>
                <c:pt idx="4">
                  <c:v>nov-20</c:v>
                </c:pt>
                <c:pt idx="5">
                  <c:v>dic-20</c:v>
                </c:pt>
                <c:pt idx="6">
                  <c:v>ene-21</c:v>
                </c:pt>
                <c:pt idx="7">
                  <c:v>feb-21</c:v>
                </c:pt>
                <c:pt idx="8">
                  <c:v>mar-21</c:v>
                </c:pt>
                <c:pt idx="9">
                  <c:v>abr-21</c:v>
                </c:pt>
              </c:strCache>
            </c:strRef>
          </c:cat>
          <c:val>
            <c:numRef>
              <c:f>CALIDAD!$E$9:$N$9</c:f>
              <c:numCache>
                <c:formatCode>0.00</c:formatCode>
                <c:ptCount val="10"/>
                <c:pt idx="0">
                  <c:v>0.14000000000000001</c:v>
                </c:pt>
                <c:pt idx="1">
                  <c:v>0.17</c:v>
                </c:pt>
                <c:pt idx="2">
                  <c:v>0.18</c:v>
                </c:pt>
                <c:pt idx="3">
                  <c:v>0.18</c:v>
                </c:pt>
                <c:pt idx="4">
                  <c:v>0.14000000000000001</c:v>
                </c:pt>
                <c:pt idx="5">
                  <c:v>0.13</c:v>
                </c:pt>
                <c:pt idx="6">
                  <c:v>0.12</c:v>
                </c:pt>
                <c:pt idx="7">
                  <c:v>0.13</c:v>
                </c:pt>
                <c:pt idx="8">
                  <c:v>0.14000000000000001</c:v>
                </c:pt>
                <c:pt idx="9">
                  <c:v>0.16</c:v>
                </c:pt>
              </c:numCache>
            </c:numRef>
          </c:val>
          <c:smooth val="0"/>
          <c:extLst>
            <c:ext xmlns:c16="http://schemas.microsoft.com/office/drawing/2014/chart" uri="{C3380CC4-5D6E-409C-BE32-E72D297353CC}">
              <c16:uniqueId val="{00000000-2434-4596-8DCF-F850082BAAF7}"/>
            </c:ext>
          </c:extLst>
        </c:ser>
        <c:dLbls>
          <c:showLegendKey val="0"/>
          <c:showVal val="0"/>
          <c:showCatName val="0"/>
          <c:showSerName val="0"/>
          <c:showPercent val="0"/>
          <c:showBubbleSize val="0"/>
        </c:dLbls>
        <c:marker val="1"/>
        <c:smooth val="0"/>
        <c:axId val="146633472"/>
        <c:axId val="146635008"/>
      </c:lineChart>
      <c:dateAx>
        <c:axId val="146633472"/>
        <c:scaling>
          <c:orientation val="minMax"/>
        </c:scaling>
        <c:delete val="0"/>
        <c:axPos val="b"/>
        <c:numFmt formatCode="mmm\-yy"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146635008"/>
        <c:crosses val="autoZero"/>
        <c:auto val="1"/>
        <c:lblOffset val="100"/>
        <c:baseTimeUnit val="months"/>
        <c:majorUnit val="1"/>
        <c:minorUnit val="1"/>
      </c:dateAx>
      <c:valAx>
        <c:axId val="146635008"/>
        <c:scaling>
          <c:orientation val="minMax"/>
          <c:max val="0.30000000000011001"/>
          <c:min val="0.1"/>
        </c:scaling>
        <c:delete val="0"/>
        <c:axPos val="l"/>
        <c:majorGridlines/>
        <c:minorGridlines/>
        <c:numFmt formatCode="0.000"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146633472"/>
        <c:crosses val="autoZero"/>
        <c:crossBetween val="between"/>
        <c:majorUnit val="2.0000000000000011E-2"/>
        <c:minorUnit val="4.0000000000000114E-3"/>
      </c:valAx>
      <c:spPr>
        <a:ln>
          <a:solidFill>
            <a:schemeClr val="bg2">
              <a:lumMod val="75000"/>
            </a:schemeClr>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s-CO" sz="1000"/>
              <a:t>CONSUMO</a:t>
            </a:r>
            <a:r>
              <a:rPr lang="es-CO" sz="1000" baseline="0"/>
              <a:t> DE </a:t>
            </a:r>
            <a:r>
              <a:rPr lang="es-CO" sz="1000"/>
              <a:t>METANOL</a:t>
            </a:r>
          </a:p>
        </c:rich>
      </c:tx>
      <c:overlay val="0"/>
    </c:title>
    <c:autoTitleDeleted val="0"/>
    <c:plotArea>
      <c:layout>
        <c:manualLayout>
          <c:layoutTarget val="inner"/>
          <c:xMode val="edge"/>
          <c:yMode val="edge"/>
          <c:x val="0.18513350854030144"/>
          <c:y val="0.13858383613248992"/>
          <c:w val="0.75945238005988469"/>
          <c:h val="0.5062902554153057"/>
        </c:manualLayout>
      </c:layout>
      <c:lineChart>
        <c:grouping val="standard"/>
        <c:varyColors val="0"/>
        <c:ser>
          <c:idx val="1"/>
          <c:order val="0"/>
          <c:tx>
            <c:strRef>
              <c:f>'INDICADORES PRODUCCION'!$A$21</c:f>
              <c:strCache>
                <c:ptCount val="1"/>
                <c:pt idx="0">
                  <c:v>Metanol</c:v>
                </c:pt>
              </c:strCache>
            </c:strRef>
          </c:tx>
          <c:spPr>
            <a:ln w="22225"/>
          </c:spPr>
          <c:marker>
            <c:symbol val="circle"/>
            <c:size val="4"/>
          </c:marker>
          <c:dLbls>
            <c:numFmt formatCode="#,##0.0" sourceLinked="0"/>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'INDICADORES PRODUCCION'!$C$20:$N$20</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'INDICADORES PRODUCCION'!$C$21:$N$21</c:f>
              <c:numCache>
                <c:formatCode>0.00</c:formatCode>
                <c:ptCount val="12"/>
                <c:pt idx="0">
                  <c:v>100.09394966819202</c:v>
                </c:pt>
                <c:pt idx="1">
                  <c:v>100.10690593678078</c:v>
                </c:pt>
                <c:pt idx="2">
                  <c:v>102.4724141961721</c:v>
                </c:pt>
                <c:pt idx="3">
                  <c:v>96.932063460149891</c:v>
                </c:pt>
                <c:pt idx="4">
                  <c:v>98.304820668840676</c:v>
                </c:pt>
                <c:pt idx="5">
                  <c:v>99.879195503049289</c:v>
                </c:pt>
                <c:pt idx="6">
                  <c:v>101.42297540155003</c:v>
                </c:pt>
                <c:pt idx="7">
                  <c:v>103.27681206005519</c:v>
                </c:pt>
                <c:pt idx="8">
                  <c:v>101.61224749380214</c:v>
                </c:pt>
                <c:pt idx="9">
                  <c:v>102.82438264871703</c:v>
                </c:pt>
                <c:pt idx="10">
                  <c:v>102.8653286006049</c:v>
                </c:pt>
                <c:pt idx="11">
                  <c:v>105.81410479975389</c:v>
                </c:pt>
              </c:numCache>
            </c:numRef>
          </c:val>
          <c:smooth val="0"/>
          <c:extLst>
            <c:ext xmlns:c16="http://schemas.microsoft.com/office/drawing/2014/chart" uri="{C3380CC4-5D6E-409C-BE32-E72D297353CC}">
              <c16:uniqueId val="{00000000-38F0-4A1B-B5CD-E9DD95B779EB}"/>
            </c:ext>
          </c:extLst>
        </c:ser>
        <c:ser>
          <c:idx val="0"/>
          <c:order val="1"/>
          <c:tx>
            <c:v>Promedio</c:v>
          </c:tx>
          <c:spPr>
            <a:ln w="22225"/>
          </c:spPr>
          <c:marker>
            <c:symbol val="none"/>
          </c:marker>
          <c:cat>
            <c:numRef>
              <c:f>'INDICADORES PRODUCCION'!$C$20:$N$20</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('INDICADORES PRODUCCION'!$O$21,'INDICADORES PRODUCCION'!$O$21,'INDICADORES PRODUCCION'!$O$21,'INDICADORES PRODUCCION'!$O$21,'INDICADORES PRODUCCION'!$O$21,'INDICADORES PRODUCCION'!$O$21,'INDICADORES PRODUCCION'!$O$21,'INDICADORES PRODUCCION'!$O$21,'INDICADORES PRODUCCION'!$O$21,'INDICADORES PRODUCCION'!$O$21,'INDICADORES PRODUCCION'!$O$21,'INDICADORES PRODUCCION'!$O$21)</c:f>
              <c:numCache>
                <c:formatCode>0.00</c:formatCode>
                <c:ptCount val="12"/>
                <c:pt idx="0">
                  <c:v>101.45541640525407</c:v>
                </c:pt>
                <c:pt idx="1">
                  <c:v>101.45541640525407</c:v>
                </c:pt>
                <c:pt idx="2">
                  <c:v>101.45541640525407</c:v>
                </c:pt>
                <c:pt idx="3">
                  <c:v>101.45541640525407</c:v>
                </c:pt>
                <c:pt idx="4">
                  <c:v>101.45541640525407</c:v>
                </c:pt>
                <c:pt idx="5">
                  <c:v>101.45541640525407</c:v>
                </c:pt>
                <c:pt idx="6">
                  <c:v>101.45541640525407</c:v>
                </c:pt>
                <c:pt idx="7">
                  <c:v>101.45541640525407</c:v>
                </c:pt>
                <c:pt idx="8">
                  <c:v>101.45541640525407</c:v>
                </c:pt>
                <c:pt idx="9">
                  <c:v>101.45541640525407</c:v>
                </c:pt>
                <c:pt idx="10">
                  <c:v>101.45541640525407</c:v>
                </c:pt>
                <c:pt idx="11">
                  <c:v>101.45541640525407</c:v>
                </c:pt>
              </c:numCache>
            </c:numRef>
          </c:val>
          <c:smooth val="0"/>
          <c:extLst>
            <c:ext xmlns:c16="http://schemas.microsoft.com/office/drawing/2014/chart" uri="{C3380CC4-5D6E-409C-BE32-E72D297353CC}">
              <c16:uniqueId val="{00000001-38F0-4A1B-B5CD-E9DD95B779EB}"/>
            </c:ext>
          </c:extLst>
        </c:ser>
        <c:dLbls>
          <c:showLegendKey val="0"/>
          <c:showVal val="0"/>
          <c:showCatName val="0"/>
          <c:showSerName val="0"/>
          <c:showPercent val="0"/>
          <c:showBubbleSize val="0"/>
        </c:dLbls>
        <c:marker val="1"/>
        <c:smooth val="0"/>
        <c:axId val="167756160"/>
        <c:axId val="167757696"/>
      </c:lineChart>
      <c:lineChart>
        <c:grouping val="standard"/>
        <c:varyColors val="0"/>
        <c:ser>
          <c:idx val="2"/>
          <c:order val="2"/>
          <c:tx>
            <c:v>B100 - P1</c:v>
          </c:tx>
          <c:cat>
            <c:numRef>
              <c:f>'INDICADORES PRODUCCION'!$C$7:$N$7</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'INDICADORES PRODUCCION'!$C$8:$N$8</c:f>
              <c:numCache>
                <c:formatCode>_-* #,##0.00\ _€_-;\-* #,##0.00\ _€_-;_-* "-"??\ _€_-;_-@_-</c:formatCode>
                <c:ptCount val="12"/>
                <c:pt idx="0">
                  <c:v>5964.8959999999997</c:v>
                </c:pt>
                <c:pt idx="1">
                  <c:v>5355.1750000000002</c:v>
                </c:pt>
                <c:pt idx="2">
                  <c:v>9342.1239999999998</c:v>
                </c:pt>
                <c:pt idx="3">
                  <c:v>7241.7730000000001</c:v>
                </c:pt>
                <c:pt idx="4">
                  <c:v>5968.9849999999997</c:v>
                </c:pt>
                <c:pt idx="5">
                  <c:v>9049.3320000000003</c:v>
                </c:pt>
                <c:pt idx="6">
                  <c:v>9116.6720000000005</c:v>
                </c:pt>
                <c:pt idx="7">
                  <c:v>7164.6769999999997</c:v>
                </c:pt>
                <c:pt idx="8">
                  <c:v>8011.2389999999996</c:v>
                </c:pt>
                <c:pt idx="9">
                  <c:v>7086.6459999999997</c:v>
                </c:pt>
                <c:pt idx="10">
                  <c:v>8166.1139999999996</c:v>
                </c:pt>
                <c:pt idx="11">
                  <c:v>8361.0120000000006</c:v>
                </c:pt>
              </c:numCache>
            </c:numRef>
          </c:val>
          <c:smooth val="0"/>
          <c:extLst>
            <c:ext xmlns:c16="http://schemas.microsoft.com/office/drawing/2014/chart" uri="{C3380CC4-5D6E-409C-BE32-E72D297353CC}">
              <c16:uniqueId val="{00000002-38F0-4A1B-B5CD-E9DD95B779EB}"/>
            </c:ext>
          </c:extLst>
        </c:ser>
        <c:dLbls>
          <c:showLegendKey val="0"/>
          <c:showVal val="0"/>
          <c:showCatName val="0"/>
          <c:showSerName val="0"/>
          <c:showPercent val="0"/>
          <c:showBubbleSize val="0"/>
        </c:dLbls>
        <c:marker val="1"/>
        <c:smooth val="0"/>
        <c:axId val="167798656"/>
        <c:axId val="167797120"/>
      </c:lineChart>
      <c:dateAx>
        <c:axId val="167756160"/>
        <c:scaling>
          <c:orientation val="minMax"/>
        </c:scaling>
        <c:delete val="0"/>
        <c:axPos val="b"/>
        <c:numFmt formatCode="mmm\-yy" sourceLinked="0"/>
        <c:majorTickMark val="none"/>
        <c:minorTickMark val="none"/>
        <c:tickLblPos val="nextTo"/>
        <c:txPr>
          <a:bodyPr rot="0" vert="horz"/>
          <a:lstStyle/>
          <a:p>
            <a:pPr>
              <a:defRPr/>
            </a:pPr>
            <a:endParaRPr lang="es-CO"/>
          </a:p>
        </c:txPr>
        <c:crossAx val="167757696"/>
        <c:crosses val="autoZero"/>
        <c:auto val="1"/>
        <c:lblOffset val="100"/>
        <c:baseTimeUnit val="months"/>
      </c:dateAx>
      <c:valAx>
        <c:axId val="167757696"/>
        <c:scaling>
          <c:orientation val="minMax"/>
          <c:max val="106"/>
          <c:min val="95"/>
        </c:scaling>
        <c:delete val="0"/>
        <c:axPos val="l"/>
        <c:majorGridlines/>
        <c:title>
          <c:tx>
            <c:rich>
              <a:bodyPr/>
              <a:lstStyle/>
              <a:p>
                <a:pPr>
                  <a:defRPr/>
                </a:pPr>
                <a:r>
                  <a:rPr lang="es-CO"/>
                  <a:t>kg/Ton B100</a:t>
                </a:r>
              </a:p>
            </c:rich>
          </c:tx>
          <c:layout>
            <c:manualLayout>
              <c:xMode val="edge"/>
              <c:yMode val="edge"/>
              <c:x val="9.7222222222222224E-2"/>
              <c:y val="0.25217306599562517"/>
            </c:manualLayout>
          </c:layout>
          <c:overlay val="0"/>
        </c:title>
        <c:numFmt formatCode="0" sourceLinked="0"/>
        <c:majorTickMark val="none"/>
        <c:minorTickMark val="none"/>
        <c:tickLblPos val="nextTo"/>
        <c:txPr>
          <a:bodyPr rot="0" vert="horz"/>
          <a:lstStyle/>
          <a:p>
            <a:pPr>
              <a:defRPr/>
            </a:pPr>
            <a:endParaRPr lang="es-CO"/>
          </a:p>
        </c:txPr>
        <c:crossAx val="167756160"/>
        <c:crosses val="autoZero"/>
        <c:crossBetween val="between"/>
        <c:majorUnit val="2"/>
      </c:valAx>
      <c:valAx>
        <c:axId val="167797120"/>
        <c:scaling>
          <c:orientation val="minMax"/>
          <c:min val="0"/>
        </c:scaling>
        <c:delete val="1"/>
        <c:axPos val="r"/>
        <c:numFmt formatCode="_-* #,##0.00\ _€_-;\-* #,##0.00\ _€_-;_-* &quot;-&quot;??\ _€_-;_-@_-" sourceLinked="1"/>
        <c:majorTickMark val="out"/>
        <c:minorTickMark val="none"/>
        <c:tickLblPos val="none"/>
        <c:crossAx val="167798656"/>
        <c:crosses val="max"/>
        <c:crossBetween val="between"/>
      </c:valAx>
      <c:dateAx>
        <c:axId val="167798656"/>
        <c:scaling>
          <c:orientation val="minMax"/>
        </c:scaling>
        <c:delete val="1"/>
        <c:axPos val="b"/>
        <c:numFmt formatCode="mmm\-yy" sourceLinked="1"/>
        <c:majorTickMark val="out"/>
        <c:minorTickMark val="none"/>
        <c:tickLblPos val="none"/>
        <c:crossAx val="167797120"/>
        <c:crosses val="autoZero"/>
        <c:auto val="1"/>
        <c:lblOffset val="100"/>
        <c:baseTimeUnit val="months"/>
      </c:dateAx>
      <c:dTable>
        <c:showHorzBorder val="1"/>
        <c:showVertBorder val="1"/>
        <c:showOutline val="1"/>
        <c:showKeys val="1"/>
      </c:dTable>
      <c:spPr>
        <a:ln>
          <a:solidFill>
            <a:schemeClr val="tx1"/>
          </a:solidFill>
        </a:ln>
      </c:spPr>
    </c:plotArea>
    <c:plotVisOnly val="1"/>
    <c:dispBlanksAs val="gap"/>
    <c:showDLblsOverMax val="0"/>
  </c:chart>
  <c:txPr>
    <a:bodyPr/>
    <a:lstStyle/>
    <a:p>
      <a:pPr>
        <a:defRPr sz="800"/>
      </a:pPr>
      <a:endParaRPr lang="es-CO"/>
    </a:p>
  </c:txPr>
  <c:printSettings>
    <c:headerFooter/>
    <c:pageMargins b="0.75000000000001465" l="0.70000000000000062" r="0.70000000000000062" t="0.75000000000001465" header="0.30000000000000032" footer="0.3000000000000003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'PARADAS P1'!$A$29</c:f>
              <c:strCache>
                <c:ptCount val="1"/>
                <c:pt idx="0">
                  <c:v>Disponibilidad planta por mantenimiento</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P1'!$B$6:$M$6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 P1'!$B$29:$M$29</c:f>
              <c:numCache>
                <c:formatCode>0.00</c:formatCode>
                <c:ptCount val="12"/>
                <c:pt idx="0">
                  <c:v>100</c:v>
                </c:pt>
                <c:pt idx="1">
                  <c:v>100</c:v>
                </c:pt>
                <c:pt idx="2">
                  <c:v>99.9</c:v>
                </c:pt>
                <c:pt idx="3">
                  <c:v>97.7</c:v>
                </c:pt>
                <c:pt idx="4">
                  <c:v>98.54</c:v>
                </c:pt>
                <c:pt idx="5">
                  <c:v>96.5</c:v>
                </c:pt>
                <c:pt idx="6">
                  <c:v>99.3</c:v>
                </c:pt>
                <c:pt idx="7">
                  <c:v>93.27</c:v>
                </c:pt>
                <c:pt idx="8">
                  <c:v>100</c:v>
                </c:pt>
                <c:pt idx="9">
                  <c:v>100</c:v>
                </c:pt>
                <c:pt idx="10">
                  <c:v>99.5</c:v>
                </c:pt>
                <c:pt idx="11">
                  <c:v>0</c:v>
                </c:pt>
              </c:numCache>
            </c:numRef>
          </c:val>
          <c:extLst>
            <c:ext xmlns:c16="http://schemas.microsoft.com/office/drawing/2014/chart" uri="{C3380CC4-5D6E-409C-BE32-E72D297353CC}">
              <c16:uniqueId val="{00000000-56B5-41C4-8C4F-E219B52C7D1E}"/>
            </c:ext>
          </c:extLst>
        </c:ser>
        <c:dLbls>
          <c:showLegendKey val="0"/>
          <c:showVal val="0"/>
          <c:showCatName val="0"/>
          <c:showSerName val="0"/>
          <c:showPercent val="0"/>
          <c:showBubbleSize val="0"/>
        </c:dLbls>
        <c:gapWidth val="75"/>
        <c:axId val="147588992"/>
        <c:axId val="147590528"/>
      </c:barChart>
      <c:lineChart>
        <c:grouping val="stacked"/>
        <c:varyColors val="0"/>
        <c:ser>
          <c:idx val="1"/>
          <c:order val="1"/>
          <c:tx>
            <c:strRef>
              <c:f>'PARADAS P1'!$A$30</c:f>
              <c:strCache>
                <c:ptCount val="1"/>
                <c:pt idx="0">
                  <c:v>Paradas por mantenimiento correctivo</c:v>
                </c:pt>
              </c:strCache>
            </c:strRef>
          </c:tx>
          <c:marker>
            <c:symbol val="none"/>
          </c:marker>
          <c:dLbls>
            <c:spPr>
              <a:noFill/>
              <a:ln w="25400">
                <a:noFill/>
              </a:ln>
            </c:spPr>
            <c:txPr>
              <a:bodyPr/>
              <a:lstStyle/>
              <a:p>
                <a:pPr>
                  <a:defRPr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P1'!$B$6:$M$6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 P1'!$B$30:$M$30</c:f>
              <c:numCache>
                <c:formatCode>0.00</c:formatCode>
                <c:ptCount val="12"/>
                <c:pt idx="0">
                  <c:v>0</c:v>
                </c:pt>
                <c:pt idx="1">
                  <c:v>0</c:v>
                </c:pt>
                <c:pt idx="2">
                  <c:v>0.14000000000000001</c:v>
                </c:pt>
                <c:pt idx="3">
                  <c:v>0.33</c:v>
                </c:pt>
                <c:pt idx="4">
                  <c:v>1.46</c:v>
                </c:pt>
                <c:pt idx="5">
                  <c:v>0.27</c:v>
                </c:pt>
                <c:pt idx="6">
                  <c:v>0</c:v>
                </c:pt>
                <c:pt idx="7">
                  <c:v>6.7</c:v>
                </c:pt>
                <c:pt idx="8">
                  <c:v>0</c:v>
                </c:pt>
                <c:pt idx="9">
                  <c:v>0</c:v>
                </c:pt>
                <c:pt idx="10">
                  <c:v>3.2</c:v>
                </c:pt>
                <c:pt idx="11">
                  <c:v>0</c:v>
                </c:pt>
              </c:numCache>
            </c:numRef>
          </c:val>
          <c:smooth val="0"/>
          <c:extLst>
            <c:ext xmlns:c16="http://schemas.microsoft.com/office/drawing/2014/chart" uri="{C3380CC4-5D6E-409C-BE32-E72D297353CC}">
              <c16:uniqueId val="{00000001-56B5-41C4-8C4F-E219B52C7D1E}"/>
            </c:ext>
          </c:extLst>
        </c:ser>
        <c:dLbls>
          <c:showLegendKey val="0"/>
          <c:showVal val="0"/>
          <c:showCatName val="0"/>
          <c:showSerName val="0"/>
          <c:showPercent val="0"/>
          <c:showBubbleSize val="0"/>
        </c:dLbls>
        <c:marker val="1"/>
        <c:smooth val="0"/>
        <c:axId val="147596416"/>
        <c:axId val="147597952"/>
      </c:lineChart>
      <c:dateAx>
        <c:axId val="147588992"/>
        <c:scaling>
          <c:orientation val="minMax"/>
        </c:scaling>
        <c:delete val="0"/>
        <c:axPos val="b"/>
        <c:numFmt formatCode="mmm\-yy" sourceLinked="0"/>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CO"/>
          </a:p>
        </c:txPr>
        <c:crossAx val="147590528"/>
        <c:crossesAt val="0"/>
        <c:auto val="1"/>
        <c:lblOffset val="100"/>
        <c:baseTimeUnit val="months"/>
      </c:dateAx>
      <c:valAx>
        <c:axId val="147590528"/>
        <c:scaling>
          <c:orientation val="minMax"/>
          <c:min val="0"/>
        </c:scaling>
        <c:delete val="0"/>
        <c:axPos val="l"/>
        <c:numFmt formatCode="0.00%" sourceLinked="0"/>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CO"/>
          </a:p>
        </c:txPr>
        <c:crossAx val="147588992"/>
        <c:crosses val="autoZero"/>
        <c:crossBetween val="between"/>
        <c:majorUnit val="0.1"/>
      </c:valAx>
      <c:dateAx>
        <c:axId val="147596416"/>
        <c:scaling>
          <c:orientation val="minMax"/>
        </c:scaling>
        <c:delete val="1"/>
        <c:axPos val="b"/>
        <c:numFmt formatCode="mmm\-yy" sourceLinked="1"/>
        <c:majorTickMark val="out"/>
        <c:minorTickMark val="none"/>
        <c:tickLblPos val="none"/>
        <c:crossAx val="147597952"/>
        <c:crosses val="autoZero"/>
        <c:auto val="1"/>
        <c:lblOffset val="100"/>
        <c:baseTimeUnit val="months"/>
      </c:dateAx>
      <c:valAx>
        <c:axId val="147597952"/>
        <c:scaling>
          <c:orientation val="minMax"/>
        </c:scaling>
        <c:delete val="0"/>
        <c:axPos val="r"/>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147596416"/>
        <c:crosses val="max"/>
        <c:crossBetween val="between"/>
      </c:valAx>
    </c:plotArea>
    <c:legend>
      <c:legendPos val="b"/>
      <c:overlay val="0"/>
      <c:txPr>
        <a:bodyPr/>
        <a:lstStyle/>
        <a:p>
          <a:pPr>
            <a:defRPr sz="900" b="0" i="0" u="none" strike="noStrike" baseline="0">
              <a:solidFill>
                <a:srgbClr val="000000"/>
              </a:solidFill>
              <a:latin typeface="Calibri"/>
              <a:ea typeface="Calibri"/>
              <a:cs typeface="Calibri"/>
            </a:defRPr>
          </a:pPr>
          <a:endParaRPr lang="es-CO"/>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1465" l="0.70000000000000062" r="0.70000000000000062" t="0.75000000000001465" header="0.30000000000000032" footer="0.30000000000000032"/>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20"/>
    </mc:Choice>
    <mc:Fallback>
      <c:style val="20"/>
    </mc:Fallback>
  </mc:AlternateContent>
  <c:chart>
    <c:autoTitleDeleted val="1"/>
    <c:view3D>
      <c:rotX val="15"/>
      <c:rotY val="20"/>
      <c:depthPercent val="100"/>
      <c:rAngAx val="1"/>
    </c:view3D>
    <c:floor>
      <c:thickness val="0"/>
    </c:floor>
    <c:sideWall>
      <c:thickness val="0"/>
    </c:sideWall>
    <c:backWall>
      <c:thickness val="0"/>
    </c:backWall>
    <c:plotArea>
      <c:layout/>
      <c:bar3DChart>
        <c:barDir val="col"/>
        <c:grouping val="clustered"/>
        <c:varyColors val="0"/>
        <c:ser>
          <c:idx val="6"/>
          <c:order val="0"/>
          <c:tx>
            <c:strRef>
              <c:f>'PARADAS P1'!$A$32</c:f>
              <c:strCache>
                <c:ptCount val="1"/>
                <c:pt idx="0">
                  <c:v>Cumplimiento actividades de mantenimiento preventivo</c:v>
                </c:pt>
              </c:strCache>
            </c:strRef>
          </c:tx>
          <c:spPr>
            <a:solidFill>
              <a:schemeClr val="accent5">
                <a:lumMod val="60000"/>
                <a:lumOff val="40000"/>
              </a:schemeClr>
            </a:solidFill>
          </c:spPr>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P1'!$B$6:$M$6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 P1'!$B$32:$M$32</c:f>
              <c:numCache>
                <c:formatCode>0.00</c:formatCode>
                <c:ptCount val="12"/>
                <c:pt idx="0">
                  <c:v>90</c:v>
                </c:pt>
                <c:pt idx="1">
                  <c:v>91</c:v>
                </c:pt>
                <c:pt idx="2">
                  <c:v>90.1</c:v>
                </c:pt>
                <c:pt idx="3">
                  <c:v>91.5</c:v>
                </c:pt>
                <c:pt idx="4">
                  <c:v>91.5</c:v>
                </c:pt>
                <c:pt idx="5">
                  <c:v>93.7</c:v>
                </c:pt>
                <c:pt idx="6">
                  <c:v>93.6</c:v>
                </c:pt>
                <c:pt idx="7">
                  <c:v>94.1</c:v>
                </c:pt>
                <c:pt idx="8">
                  <c:v>94</c:v>
                </c:pt>
                <c:pt idx="9">
                  <c:v>100</c:v>
                </c:pt>
                <c:pt idx="10">
                  <c:v>100</c:v>
                </c:pt>
                <c:pt idx="11">
                  <c:v>0</c:v>
                </c:pt>
              </c:numCache>
            </c:numRef>
          </c:val>
          <c:extLst>
            <c:ext xmlns:c16="http://schemas.microsoft.com/office/drawing/2014/chart" uri="{C3380CC4-5D6E-409C-BE32-E72D297353CC}">
              <c16:uniqueId val="{00000000-321B-4BA7-87CD-C12FD05C0A8E}"/>
            </c:ext>
          </c:extLst>
        </c:ser>
        <c:dLbls>
          <c:showLegendKey val="0"/>
          <c:showVal val="0"/>
          <c:showCatName val="0"/>
          <c:showSerName val="0"/>
          <c:showPercent val="0"/>
          <c:showBubbleSize val="0"/>
        </c:dLbls>
        <c:gapWidth val="75"/>
        <c:shape val="box"/>
        <c:axId val="147614720"/>
        <c:axId val="147624704"/>
        <c:axId val="0"/>
      </c:bar3DChart>
      <c:dateAx>
        <c:axId val="147614720"/>
        <c:scaling>
          <c:orientation val="minMax"/>
        </c:scaling>
        <c:delete val="0"/>
        <c:axPos val="b"/>
        <c:numFmt formatCode="mmm\-yy" sourceLinked="0"/>
        <c:majorTickMark val="none"/>
        <c:minorTickMark val="none"/>
        <c:tickLblPos val="nextTo"/>
        <c:txPr>
          <a:bodyPr rot="0" vert="horz"/>
          <a:lstStyle/>
          <a:p>
            <a:pPr>
              <a:defRPr sz="800" b="0" i="0" u="none" strike="noStrike" baseline="0">
                <a:solidFill>
                  <a:srgbClr val="000000"/>
                </a:solidFill>
                <a:latin typeface="Calibri"/>
                <a:ea typeface="Calibri"/>
                <a:cs typeface="Calibri"/>
              </a:defRPr>
            </a:pPr>
            <a:endParaRPr lang="es-CO"/>
          </a:p>
        </c:txPr>
        <c:crossAx val="147624704"/>
        <c:crosses val="autoZero"/>
        <c:auto val="1"/>
        <c:lblOffset val="100"/>
        <c:baseTimeUnit val="months"/>
        <c:majorUnit val="1"/>
      </c:dateAx>
      <c:valAx>
        <c:axId val="147624704"/>
        <c:scaling>
          <c:orientation val="minMax"/>
          <c:max val="1"/>
        </c:scaling>
        <c:delete val="0"/>
        <c:axPos val="l"/>
        <c:numFmt formatCode="0.0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147614720"/>
        <c:crosses val="autoZero"/>
        <c:crossBetween val="between"/>
      </c:valAx>
      <c:spPr>
        <a:noFill/>
        <a:ln w="25400">
          <a:noFill/>
        </a:ln>
      </c:spPr>
    </c:plotArea>
    <c:legend>
      <c:legendPos val="b"/>
      <c:overlay val="0"/>
      <c:txPr>
        <a:bodyPr/>
        <a:lstStyle/>
        <a:p>
          <a:pPr>
            <a:defRPr sz="900" b="1" i="0" u="none" strike="noStrike" baseline="0">
              <a:solidFill>
                <a:srgbClr val="000000"/>
              </a:solidFill>
              <a:latin typeface="Calibri"/>
              <a:ea typeface="Calibri"/>
              <a:cs typeface="Calibri"/>
            </a:defRPr>
          </a:pPr>
          <a:endParaRPr lang="es-CO"/>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1465" l="0.70000000000000062" r="0.70000000000000062" t="0.75000000000001465" header="0.30000000000000032" footer="0.30000000000000032"/>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Calibri"/>
                <a:ea typeface="Calibri"/>
                <a:cs typeface="Calibri"/>
              </a:defRPr>
            </a:pPr>
            <a:r>
              <a:rPr lang="es-CO"/>
              <a:t>Cuadro Resumen de Horas de Parada</a:t>
            </a:r>
          </a:p>
        </c:rich>
      </c:tx>
      <c:overlay val="0"/>
    </c:title>
    <c:autoTitleDeleted val="0"/>
    <c:view3D>
      <c:rotX val="10"/>
      <c:rotY val="10"/>
      <c:depthPercent val="100"/>
      <c:rAngAx val="1"/>
    </c:view3D>
    <c:floor>
      <c:thickness val="0"/>
    </c:floor>
    <c:sideWall>
      <c:thickness val="0"/>
      <c:spPr>
        <a:ln>
          <a:solidFill>
            <a:schemeClr val="accent1"/>
          </a:solidFill>
        </a:ln>
      </c:spPr>
    </c:sideWall>
    <c:backWall>
      <c:thickness val="0"/>
      <c:spPr>
        <a:ln>
          <a:solidFill>
            <a:schemeClr val="accent1"/>
          </a:solidFill>
        </a:ln>
      </c:spPr>
    </c:backWall>
    <c:plotArea>
      <c:layout/>
      <c:bar3DChart>
        <c:barDir val="col"/>
        <c:grouping val="clustered"/>
        <c:varyColors val="0"/>
        <c:ser>
          <c:idx val="0"/>
          <c:order val="0"/>
          <c:tx>
            <c:strRef>
              <c:f>'PARADAS P1'!$A$7</c:f>
              <c:strCache>
                <c:ptCount val="1"/>
                <c:pt idx="0">
                  <c:v>Arranque/Parada-Post/Pre
Matenimiento programado</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P1'!$B$6:$M$6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 P1'!$B$7:$M$7</c:f>
              <c:numCache>
                <c:formatCode>0.00</c:formatCode>
                <c:ptCount val="12"/>
                <c:pt idx="0">
                  <c:v>0</c:v>
                </c:pt>
                <c:pt idx="1">
                  <c:v>0</c:v>
                </c:pt>
                <c:pt idx="2">
                  <c:v>0</c:v>
                </c:pt>
                <c:pt idx="3">
                  <c:v>0</c:v>
                </c:pt>
                <c:pt idx="4">
                  <c:v>6</c:v>
                </c:pt>
                <c:pt idx="5">
                  <c:v>0</c:v>
                </c:pt>
                <c:pt idx="6">
                  <c:v>6</c:v>
                </c:pt>
                <c:pt idx="7">
                  <c:v>6</c:v>
                </c:pt>
                <c:pt idx="8">
                  <c:v>8</c:v>
                </c:pt>
                <c:pt idx="9">
                  <c:v>0</c:v>
                </c:pt>
                <c:pt idx="10">
                  <c:v>0</c:v>
                </c:pt>
                <c:pt idx="11">
                  <c:v>0</c:v>
                </c:pt>
              </c:numCache>
            </c:numRef>
          </c:val>
          <c:extLst>
            <c:ext xmlns:c16="http://schemas.microsoft.com/office/drawing/2014/chart" uri="{C3380CC4-5D6E-409C-BE32-E72D297353CC}">
              <c16:uniqueId val="{00000000-080C-409D-88A2-433577A912EF}"/>
            </c:ext>
          </c:extLst>
        </c:ser>
        <c:ser>
          <c:idx val="1"/>
          <c:order val="1"/>
          <c:tx>
            <c:strRef>
              <c:f>'PARADAS P1'!$A$8</c:f>
              <c:strCache>
                <c:ptCount val="1"/>
                <c:pt idx="0">
                  <c:v>Mantenimiento programado</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P1'!$B$6:$M$6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 P1'!$B$8:$M$8</c:f>
              <c:numCache>
                <c:formatCode>0.00</c:formatCode>
                <c:ptCount val="12"/>
                <c:pt idx="0">
                  <c:v>0</c:v>
                </c:pt>
                <c:pt idx="1">
                  <c:v>0</c:v>
                </c:pt>
                <c:pt idx="2">
                  <c:v>0</c:v>
                </c:pt>
                <c:pt idx="3">
                  <c:v>168</c:v>
                </c:pt>
                <c:pt idx="4">
                  <c:v>62</c:v>
                </c:pt>
                <c:pt idx="5">
                  <c:v>24</c:v>
                </c:pt>
                <c:pt idx="6">
                  <c:v>5</c:v>
                </c:pt>
                <c:pt idx="7">
                  <c:v>0</c:v>
                </c:pt>
                <c:pt idx="8">
                  <c:v>12</c:v>
                </c:pt>
                <c:pt idx="9">
                  <c:v>0</c:v>
                </c:pt>
                <c:pt idx="10">
                  <c:v>0</c:v>
                </c:pt>
                <c:pt idx="11">
                  <c:v>0</c:v>
                </c:pt>
              </c:numCache>
            </c:numRef>
          </c:val>
          <c:extLst>
            <c:ext xmlns:c16="http://schemas.microsoft.com/office/drawing/2014/chart" uri="{C3380CC4-5D6E-409C-BE32-E72D297353CC}">
              <c16:uniqueId val="{00000001-080C-409D-88A2-433577A912EF}"/>
            </c:ext>
          </c:extLst>
        </c:ser>
        <c:ser>
          <c:idx val="2"/>
          <c:order val="2"/>
          <c:tx>
            <c:strRef>
              <c:f>'PARADAS P1'!$A$9</c:f>
              <c:strCache>
                <c:ptCount val="1"/>
                <c:pt idx="0">
                  <c:v>Mecánicas</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P1'!$B$6:$M$6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 P1'!$B$9:$M$9</c:f>
              <c:numCache>
                <c:formatCode>0.00</c:formatCode>
                <c:ptCount val="12"/>
                <c:pt idx="0">
                  <c:v>0</c:v>
                </c:pt>
                <c:pt idx="1">
                  <c:v>0</c:v>
                </c:pt>
                <c:pt idx="2">
                  <c:v>0</c:v>
                </c:pt>
                <c:pt idx="3">
                  <c:v>2.5</c:v>
                </c:pt>
                <c:pt idx="4">
                  <c:v>0</c:v>
                </c:pt>
                <c:pt idx="5">
                  <c:v>2</c:v>
                </c:pt>
                <c:pt idx="6">
                  <c:v>0</c:v>
                </c:pt>
                <c:pt idx="7">
                  <c:v>23</c:v>
                </c:pt>
                <c:pt idx="8">
                  <c:v>0</c:v>
                </c:pt>
                <c:pt idx="9">
                  <c:v>0</c:v>
                </c:pt>
                <c:pt idx="10">
                  <c:v>2</c:v>
                </c:pt>
                <c:pt idx="11">
                  <c:v>0</c:v>
                </c:pt>
              </c:numCache>
            </c:numRef>
          </c:val>
          <c:extLst>
            <c:ext xmlns:c16="http://schemas.microsoft.com/office/drawing/2014/chart" uri="{C3380CC4-5D6E-409C-BE32-E72D297353CC}">
              <c16:uniqueId val="{00000002-080C-409D-88A2-433577A912EF}"/>
            </c:ext>
          </c:extLst>
        </c:ser>
        <c:ser>
          <c:idx val="3"/>
          <c:order val="3"/>
          <c:tx>
            <c:strRef>
              <c:f>'PARADAS P1'!$A$10</c:f>
              <c:strCache>
                <c:ptCount val="1"/>
                <c:pt idx="0">
                  <c:v>Operativas</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P1'!$B$6:$M$6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 P1'!$B$10:$M$10</c:f>
              <c:numCache>
                <c:formatCode>0.00</c:formatCode>
                <c:ptCount val="12"/>
                <c:pt idx="0">
                  <c:v>0</c:v>
                </c:pt>
                <c:pt idx="1">
                  <c:v>0</c:v>
                </c:pt>
                <c:pt idx="2">
                  <c:v>0</c:v>
                </c:pt>
                <c:pt idx="3">
                  <c:v>4</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080C-409D-88A2-433577A912EF}"/>
            </c:ext>
          </c:extLst>
        </c:ser>
        <c:ser>
          <c:idx val="4"/>
          <c:order val="4"/>
          <c:tx>
            <c:strRef>
              <c:f>'PARADAS P1'!$A$11</c:f>
              <c:strCache>
                <c:ptCount val="1"/>
                <c:pt idx="0">
                  <c:v>Programada No Operativa</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P1'!$B$6:$M$6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 P1'!$B$11:$M$11</c:f>
              <c:numCache>
                <c:formatCode>0.00</c:formatCode>
                <c:ptCount val="12"/>
                <c:pt idx="0">
                  <c:v>281</c:v>
                </c:pt>
                <c:pt idx="1">
                  <c:v>297</c:v>
                </c:pt>
                <c:pt idx="2">
                  <c:v>9</c:v>
                </c:pt>
                <c:pt idx="3">
                  <c:v>6</c:v>
                </c:pt>
                <c:pt idx="4">
                  <c:v>168</c:v>
                </c:pt>
                <c:pt idx="5">
                  <c:v>5</c:v>
                </c:pt>
                <c:pt idx="6">
                  <c:v>0</c:v>
                </c:pt>
                <c:pt idx="7">
                  <c:v>116</c:v>
                </c:pt>
                <c:pt idx="8">
                  <c:v>67</c:v>
                </c:pt>
                <c:pt idx="9">
                  <c:v>108</c:v>
                </c:pt>
                <c:pt idx="10">
                  <c:v>80</c:v>
                </c:pt>
                <c:pt idx="11">
                  <c:v>27</c:v>
                </c:pt>
              </c:numCache>
            </c:numRef>
          </c:val>
          <c:extLst>
            <c:ext xmlns:c16="http://schemas.microsoft.com/office/drawing/2014/chart" uri="{C3380CC4-5D6E-409C-BE32-E72D297353CC}">
              <c16:uniqueId val="{00000004-080C-409D-88A2-433577A912EF}"/>
            </c:ext>
          </c:extLst>
        </c:ser>
        <c:ser>
          <c:idx val="5"/>
          <c:order val="5"/>
          <c:tx>
            <c:strRef>
              <c:f>'PARADAS P1'!$A$12</c:f>
              <c:strCache>
                <c:ptCount val="1"/>
                <c:pt idx="0">
                  <c:v>Eléctricas internas</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P1'!$B$6:$M$6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 P1'!$B$12:$M$12</c:f>
              <c:numCache>
                <c:formatCode>0.00</c:formatCode>
                <c:ptCount val="12"/>
                <c:pt idx="0">
                  <c:v>0</c:v>
                </c:pt>
                <c:pt idx="1">
                  <c:v>0</c:v>
                </c:pt>
                <c:pt idx="2">
                  <c:v>0</c:v>
                </c:pt>
                <c:pt idx="3">
                  <c:v>0</c:v>
                </c:pt>
                <c:pt idx="4">
                  <c:v>0</c:v>
                </c:pt>
                <c:pt idx="5">
                  <c:v>0</c:v>
                </c:pt>
                <c:pt idx="6">
                  <c:v>1.5</c:v>
                </c:pt>
                <c:pt idx="7">
                  <c:v>1</c:v>
                </c:pt>
                <c:pt idx="8">
                  <c:v>0</c:v>
                </c:pt>
                <c:pt idx="9">
                  <c:v>0.5</c:v>
                </c:pt>
                <c:pt idx="10">
                  <c:v>0</c:v>
                </c:pt>
                <c:pt idx="11">
                  <c:v>0</c:v>
                </c:pt>
              </c:numCache>
            </c:numRef>
          </c:val>
          <c:extLst>
            <c:ext xmlns:c16="http://schemas.microsoft.com/office/drawing/2014/chart" uri="{C3380CC4-5D6E-409C-BE32-E72D297353CC}">
              <c16:uniqueId val="{00000005-080C-409D-88A2-433577A912EF}"/>
            </c:ext>
          </c:extLst>
        </c:ser>
        <c:ser>
          <c:idx val="6"/>
          <c:order val="6"/>
          <c:tx>
            <c:strRef>
              <c:f>'PARADAS P1'!$A$13</c:f>
              <c:strCache>
                <c:ptCount val="1"/>
                <c:pt idx="0">
                  <c:v>Eléctricas externas</c:v>
                </c:pt>
              </c:strCache>
            </c:strRef>
          </c:tx>
          <c:invertIfNegative val="0"/>
          <c:cat>
            <c:numRef>
              <c:f>'PARADAS P1'!$B$6:$M$6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 P1'!$B$13:$M$13</c:f>
              <c:numCache>
                <c:formatCode>0.00</c:formatCode>
                <c:ptCount val="12"/>
                <c:pt idx="0">
                  <c:v>3.75</c:v>
                </c:pt>
                <c:pt idx="1">
                  <c:v>0</c:v>
                </c:pt>
                <c:pt idx="2">
                  <c:v>0</c:v>
                </c:pt>
                <c:pt idx="3">
                  <c:v>2</c:v>
                </c:pt>
                <c:pt idx="4">
                  <c:v>11.149999999999999</c:v>
                </c:pt>
                <c:pt idx="5">
                  <c:v>3.5</c:v>
                </c:pt>
                <c:pt idx="6">
                  <c:v>0</c:v>
                </c:pt>
                <c:pt idx="7">
                  <c:v>0</c:v>
                </c:pt>
                <c:pt idx="8">
                  <c:v>0</c:v>
                </c:pt>
                <c:pt idx="9">
                  <c:v>0</c:v>
                </c:pt>
                <c:pt idx="10">
                  <c:v>0</c:v>
                </c:pt>
                <c:pt idx="11">
                  <c:v>0</c:v>
                </c:pt>
              </c:numCache>
            </c:numRef>
          </c:val>
          <c:extLst>
            <c:ext xmlns:c16="http://schemas.microsoft.com/office/drawing/2014/chart" uri="{C3380CC4-5D6E-409C-BE32-E72D297353CC}">
              <c16:uniqueId val="{00000006-080C-409D-88A2-433577A912EF}"/>
            </c:ext>
          </c:extLst>
        </c:ser>
        <c:ser>
          <c:idx val="7"/>
          <c:order val="7"/>
          <c:tx>
            <c:strRef>
              <c:f>'PARADAS P1'!$A$14</c:f>
              <c:strCache>
                <c:ptCount val="1"/>
                <c:pt idx="0">
                  <c:v>Fallas/mantenimiento calderas</c:v>
                </c:pt>
              </c:strCache>
            </c:strRef>
          </c:tx>
          <c:invertIfNegative val="0"/>
          <c:cat>
            <c:numRef>
              <c:f>'PARADAS P1'!$B$6:$M$6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 P1'!$B$14:$M$14</c:f>
              <c:numCache>
                <c:formatCode>0.00</c:formatCode>
                <c:ptCount val="12"/>
                <c:pt idx="0">
                  <c:v>0</c:v>
                </c:pt>
                <c:pt idx="1">
                  <c:v>0</c:v>
                </c:pt>
                <c:pt idx="2">
                  <c:v>1</c:v>
                </c:pt>
                <c:pt idx="3">
                  <c:v>0</c:v>
                </c:pt>
                <c:pt idx="4">
                  <c:v>10.5</c:v>
                </c:pt>
                <c:pt idx="5">
                  <c:v>0</c:v>
                </c:pt>
                <c:pt idx="6">
                  <c:v>3</c:v>
                </c:pt>
                <c:pt idx="7">
                  <c:v>0</c:v>
                </c:pt>
                <c:pt idx="8">
                  <c:v>0</c:v>
                </c:pt>
                <c:pt idx="9">
                  <c:v>0</c:v>
                </c:pt>
                <c:pt idx="10">
                  <c:v>0</c:v>
                </c:pt>
                <c:pt idx="11">
                  <c:v>5</c:v>
                </c:pt>
              </c:numCache>
            </c:numRef>
          </c:val>
          <c:extLst>
            <c:ext xmlns:c16="http://schemas.microsoft.com/office/drawing/2014/chart" uri="{C3380CC4-5D6E-409C-BE32-E72D297353CC}">
              <c16:uniqueId val="{00000007-080C-409D-88A2-433577A912EF}"/>
            </c:ext>
          </c:extLst>
        </c:ser>
        <c:ser>
          <c:idx val="8"/>
          <c:order val="8"/>
          <c:tx>
            <c:strRef>
              <c:f>'PARADAS P1'!$A$15</c:f>
              <c:strCache>
                <c:ptCount val="1"/>
                <c:pt idx="0">
                  <c:v>Bajos inventarios - Aceite RBD</c:v>
                </c:pt>
              </c:strCache>
            </c:strRef>
          </c:tx>
          <c:invertIfNegative val="0"/>
          <c:cat>
            <c:numRef>
              <c:f>'PARADAS P1'!$B$6:$M$6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 P1'!$B$15:$M$15</c:f>
              <c:numCache>
                <c:formatCode>0.00</c:formatCode>
                <c:ptCount val="12"/>
                <c:pt idx="0">
                  <c:v>0</c:v>
                </c:pt>
                <c:pt idx="1">
                  <c:v>0</c:v>
                </c:pt>
                <c:pt idx="2">
                  <c:v>0</c:v>
                </c:pt>
                <c:pt idx="3">
                  <c:v>0</c:v>
                </c:pt>
                <c:pt idx="4">
                  <c:v>0</c:v>
                </c:pt>
                <c:pt idx="5">
                  <c:v>0</c:v>
                </c:pt>
                <c:pt idx="6">
                  <c:v>0</c:v>
                </c:pt>
                <c:pt idx="7">
                  <c:v>5</c:v>
                </c:pt>
                <c:pt idx="8">
                  <c:v>0</c:v>
                </c:pt>
                <c:pt idx="9">
                  <c:v>0</c:v>
                </c:pt>
                <c:pt idx="10">
                  <c:v>0</c:v>
                </c:pt>
                <c:pt idx="11">
                  <c:v>0</c:v>
                </c:pt>
              </c:numCache>
            </c:numRef>
          </c:val>
          <c:extLst>
            <c:ext xmlns:c16="http://schemas.microsoft.com/office/drawing/2014/chart" uri="{C3380CC4-5D6E-409C-BE32-E72D297353CC}">
              <c16:uniqueId val="{00000008-080C-409D-88A2-433577A912EF}"/>
            </c:ext>
          </c:extLst>
        </c:ser>
        <c:ser>
          <c:idx val="10"/>
          <c:order val="9"/>
          <c:tx>
            <c:strRef>
              <c:f>'PARADAS P1'!$A$16</c:f>
              <c:strCache>
                <c:ptCount val="1"/>
                <c:pt idx="0">
                  <c:v>Altos inventarios - Biodiesel</c:v>
                </c:pt>
              </c:strCache>
            </c:strRef>
          </c:tx>
          <c:invertIfNegative val="0"/>
          <c:val>
            <c:numRef>
              <c:f>'PARADAS P1'!$B$16:$M$16</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9-080C-409D-88A2-433577A912EF}"/>
            </c:ext>
          </c:extLst>
        </c:ser>
        <c:ser>
          <c:idx val="11"/>
          <c:order val="10"/>
          <c:tx>
            <c:strRef>
              <c:f>'PARADAS P1'!$A$17</c:f>
              <c:strCache>
                <c:ptCount val="1"/>
                <c:pt idx="0">
                  <c:v>Falta de insumos</c:v>
                </c:pt>
              </c:strCache>
            </c:strRef>
          </c:tx>
          <c:invertIfNegative val="0"/>
          <c:val>
            <c:numRef>
              <c:f>'PARADAS P1'!$B$17:$M$17</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A-080C-409D-88A2-433577A912EF}"/>
            </c:ext>
          </c:extLst>
        </c:ser>
        <c:ser>
          <c:idx val="12"/>
          <c:order val="11"/>
          <c:tx>
            <c:strRef>
              <c:f>'PARADAS P1'!$A$18</c:f>
              <c:strCache>
                <c:ptCount val="1"/>
                <c:pt idx="0">
                  <c:v>Lavado de reboilers / Drenaje de Planta</c:v>
                </c:pt>
              </c:strCache>
            </c:strRef>
          </c:tx>
          <c:invertIfNegative val="0"/>
          <c:val>
            <c:numRef>
              <c:f>'PARADAS P1'!$B$18:$M$18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B-080C-409D-88A2-433577A912EF}"/>
            </c:ext>
          </c:extLst>
        </c:ser>
        <c:ser>
          <c:idx val="9"/>
          <c:order val="12"/>
          <c:tx>
            <c:strRef>
              <c:f>'PARADAS P1'!$A$20</c:f>
              <c:strCache>
                <c:ptCount val="1"/>
                <c:pt idx="0">
                  <c:v>Eventos naturales (emergencias) / Pruebas y  Ensayos de Planta</c:v>
                </c:pt>
              </c:strCache>
            </c:strRef>
          </c:tx>
          <c:invertIfNegative val="0"/>
          <c:cat>
            <c:numRef>
              <c:f>'PARADAS P1'!$B$6:$M$6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 P1'!$B$20:$M$20</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C-080C-409D-88A2-433577A912EF}"/>
            </c:ext>
          </c:extLst>
        </c:ser>
        <c:dLbls>
          <c:showLegendKey val="0"/>
          <c:showVal val="0"/>
          <c:showCatName val="0"/>
          <c:showSerName val="0"/>
          <c:showPercent val="0"/>
          <c:showBubbleSize val="0"/>
        </c:dLbls>
        <c:gapWidth val="75"/>
        <c:shape val="box"/>
        <c:axId val="148100608"/>
        <c:axId val="148102144"/>
        <c:axId val="0"/>
      </c:bar3DChart>
      <c:dateAx>
        <c:axId val="148100608"/>
        <c:scaling>
          <c:orientation val="minMax"/>
        </c:scaling>
        <c:delete val="0"/>
        <c:axPos val="b"/>
        <c:numFmt formatCode="mmm\-yy" sourceLinked="0"/>
        <c:majorTickMark val="none"/>
        <c:minorTickMark val="none"/>
        <c:tickLblPos val="nextTo"/>
        <c:txPr>
          <a:bodyPr rot="0" vert="horz"/>
          <a:lstStyle/>
          <a:p>
            <a:pPr>
              <a:defRPr sz="800" b="0" i="0" u="none" strike="noStrike" baseline="0">
                <a:solidFill>
                  <a:srgbClr val="000000"/>
                </a:solidFill>
                <a:latin typeface="Calibri"/>
                <a:ea typeface="Calibri"/>
                <a:cs typeface="Calibri"/>
              </a:defRPr>
            </a:pPr>
            <a:endParaRPr lang="es-CO"/>
          </a:p>
        </c:txPr>
        <c:crossAx val="148102144"/>
        <c:crosses val="autoZero"/>
        <c:auto val="1"/>
        <c:lblOffset val="100"/>
        <c:baseTimeUnit val="months"/>
        <c:majorUnit val="1"/>
      </c:dateAx>
      <c:valAx>
        <c:axId val="148102144"/>
        <c:scaling>
          <c:orientation val="minMax"/>
        </c:scaling>
        <c:delete val="0"/>
        <c:axPos val="l"/>
        <c:majorGridlines/>
        <c:numFmt formatCode="#,##0" sourceLinked="0"/>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es-CO"/>
          </a:p>
        </c:txPr>
        <c:crossAx val="148100608"/>
        <c:crosses val="autoZero"/>
        <c:crossBetween val="between"/>
      </c:valAx>
      <c:spPr>
        <a:noFill/>
        <a:ln w="25400">
          <a:noFill/>
        </a:ln>
      </c:spPr>
    </c:plotArea>
    <c:legend>
      <c:legendPos val="b"/>
      <c:overlay val="0"/>
      <c:txPr>
        <a:bodyPr/>
        <a:lstStyle/>
        <a:p>
          <a:pPr>
            <a:defRPr sz="700" b="0" i="0" u="none" strike="noStrike" baseline="0">
              <a:solidFill>
                <a:srgbClr val="000000"/>
              </a:solidFill>
              <a:latin typeface="Calibri"/>
              <a:ea typeface="Calibri"/>
              <a:cs typeface="Calibri"/>
            </a:defRPr>
          </a:pPr>
          <a:endParaRPr lang="es-CO"/>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1465" l="0.70000000000000062" r="0.70000000000000062" t="0.75000000000001465" header="0.30000000000000032" footer="0.30000000000000032"/>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Calibri"/>
                <a:ea typeface="Calibri"/>
                <a:cs typeface="Calibri"/>
              </a:defRPr>
            </a:pPr>
            <a:r>
              <a:rPr lang="es-CO"/>
              <a:t>Cuadro Resumen de Toneladas perdidas por paradas</a:t>
            </a:r>
          </a:p>
        </c:rich>
      </c:tx>
      <c:overlay val="0"/>
    </c:title>
    <c:autoTitleDeleted val="0"/>
    <c:view3D>
      <c:rotX val="10"/>
      <c:rotY val="10"/>
      <c:depthPercent val="100"/>
      <c:rAngAx val="1"/>
    </c:view3D>
    <c:floor>
      <c:thickness val="0"/>
    </c:floor>
    <c:sideWall>
      <c:thickness val="0"/>
      <c:spPr>
        <a:ln>
          <a:solidFill>
            <a:schemeClr val="accent1"/>
          </a:solidFill>
        </a:ln>
      </c:spPr>
    </c:sideWall>
    <c:backWall>
      <c:thickness val="0"/>
      <c:spPr>
        <a:ln>
          <a:solidFill>
            <a:schemeClr val="accent1"/>
          </a:solidFill>
        </a:ln>
      </c:spPr>
    </c:backWall>
    <c:plotArea>
      <c:layout/>
      <c:bar3DChart>
        <c:barDir val="col"/>
        <c:grouping val="clustered"/>
        <c:varyColors val="0"/>
        <c:ser>
          <c:idx val="0"/>
          <c:order val="0"/>
          <c:tx>
            <c:strRef>
              <c:f>'PARADAS P1'!$A$7</c:f>
              <c:strCache>
                <c:ptCount val="1"/>
                <c:pt idx="0">
                  <c:v>Arranque/Parada-Post/Pre
Matenimiento programado</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P1'!$B$6:$M$6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 P1'!$X$7:$AI$7</c:f>
              <c:numCache>
                <c:formatCode>0.0</c:formatCode>
                <c:ptCount val="12"/>
              </c:numCache>
            </c:numRef>
          </c:val>
          <c:extLst>
            <c:ext xmlns:c16="http://schemas.microsoft.com/office/drawing/2014/chart" uri="{C3380CC4-5D6E-409C-BE32-E72D297353CC}">
              <c16:uniqueId val="{00000000-552B-489B-B8EC-E5E6382B1321}"/>
            </c:ext>
          </c:extLst>
        </c:ser>
        <c:ser>
          <c:idx val="1"/>
          <c:order val="1"/>
          <c:tx>
            <c:strRef>
              <c:f>PARADAS!#REF!</c:f>
              <c:strCache>
                <c:ptCount val="1"/>
                <c:pt idx="0">
                  <c:v>#REF!</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P1'!$B$6:$M$6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PARADAS!#REF!</c:f>
              <c:numCache>
                <c:formatCode>General</c:formatCode>
                <c:ptCount val="1"/>
                <c:pt idx="0">
                  <c:v>1</c:v>
                </c:pt>
              </c:numCache>
            </c:numRef>
          </c:val>
          <c:extLst>
            <c:ext xmlns:c16="http://schemas.microsoft.com/office/drawing/2014/chart" uri="{C3380CC4-5D6E-409C-BE32-E72D297353CC}">
              <c16:uniqueId val="{00000001-552B-489B-B8EC-E5E6382B1321}"/>
            </c:ext>
          </c:extLst>
        </c:ser>
        <c:ser>
          <c:idx val="2"/>
          <c:order val="2"/>
          <c:tx>
            <c:strRef>
              <c:f>PARADAS!#REF!</c:f>
              <c:strCache>
                <c:ptCount val="1"/>
                <c:pt idx="0">
                  <c:v>#REF!</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P1'!$B$6:$M$6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PARADAS!#REF!</c:f>
              <c:numCache>
                <c:formatCode>General</c:formatCode>
                <c:ptCount val="1"/>
                <c:pt idx="0">
                  <c:v>1</c:v>
                </c:pt>
              </c:numCache>
            </c:numRef>
          </c:val>
          <c:extLst>
            <c:ext xmlns:c16="http://schemas.microsoft.com/office/drawing/2014/chart" uri="{C3380CC4-5D6E-409C-BE32-E72D297353CC}">
              <c16:uniqueId val="{00000002-552B-489B-B8EC-E5E6382B1321}"/>
            </c:ext>
          </c:extLst>
        </c:ser>
        <c:ser>
          <c:idx val="3"/>
          <c:order val="3"/>
          <c:tx>
            <c:strRef>
              <c:f>PARADAS!#REF!</c:f>
              <c:strCache>
                <c:ptCount val="1"/>
                <c:pt idx="0">
                  <c:v>#REF!</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P1'!$B$6:$M$6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PARADAS!#REF!</c:f>
              <c:numCache>
                <c:formatCode>General</c:formatCode>
                <c:ptCount val="1"/>
                <c:pt idx="0">
                  <c:v>1</c:v>
                </c:pt>
              </c:numCache>
            </c:numRef>
          </c:val>
          <c:extLst>
            <c:ext xmlns:c16="http://schemas.microsoft.com/office/drawing/2014/chart" uri="{C3380CC4-5D6E-409C-BE32-E72D297353CC}">
              <c16:uniqueId val="{00000003-552B-489B-B8EC-E5E6382B1321}"/>
            </c:ext>
          </c:extLst>
        </c:ser>
        <c:ser>
          <c:idx val="4"/>
          <c:order val="4"/>
          <c:tx>
            <c:strRef>
              <c:f>PARADAS!#REF!</c:f>
              <c:strCache>
                <c:ptCount val="1"/>
                <c:pt idx="0">
                  <c:v>#REF!</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P1'!$B$6:$M$6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PARADAS!#REF!</c:f>
              <c:numCache>
                <c:formatCode>General</c:formatCode>
                <c:ptCount val="1"/>
                <c:pt idx="0">
                  <c:v>1</c:v>
                </c:pt>
              </c:numCache>
            </c:numRef>
          </c:val>
          <c:extLst>
            <c:ext xmlns:c16="http://schemas.microsoft.com/office/drawing/2014/chart" uri="{C3380CC4-5D6E-409C-BE32-E72D297353CC}">
              <c16:uniqueId val="{00000004-552B-489B-B8EC-E5E6382B1321}"/>
            </c:ext>
          </c:extLst>
        </c:ser>
        <c:ser>
          <c:idx val="5"/>
          <c:order val="5"/>
          <c:tx>
            <c:strRef>
              <c:f>PARADAS!#REF!</c:f>
              <c:strCache>
                <c:ptCount val="1"/>
                <c:pt idx="0">
                  <c:v>#REF!</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P1'!$B$6:$M$6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PARADAS!#REF!</c:f>
              <c:numCache>
                <c:formatCode>General</c:formatCode>
                <c:ptCount val="1"/>
                <c:pt idx="0">
                  <c:v>1</c:v>
                </c:pt>
              </c:numCache>
            </c:numRef>
          </c:val>
          <c:extLst>
            <c:ext xmlns:c16="http://schemas.microsoft.com/office/drawing/2014/chart" uri="{C3380CC4-5D6E-409C-BE32-E72D297353CC}">
              <c16:uniqueId val="{00000005-552B-489B-B8EC-E5E6382B1321}"/>
            </c:ext>
          </c:extLst>
        </c:ser>
        <c:ser>
          <c:idx val="6"/>
          <c:order val="6"/>
          <c:tx>
            <c:strRef>
              <c:f>PARADAS!#REF!</c:f>
              <c:strCache>
                <c:ptCount val="1"/>
                <c:pt idx="0">
                  <c:v>#REF!</c:v>
                </c:pt>
              </c:strCache>
            </c:strRef>
          </c:tx>
          <c:invertIfNegative val="0"/>
          <c:cat>
            <c:numRef>
              <c:f>'PARADAS P1'!$B$6:$M$6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PARADAS!#REF!</c:f>
              <c:numCache>
                <c:formatCode>General</c:formatCode>
                <c:ptCount val="1"/>
                <c:pt idx="0">
                  <c:v>1</c:v>
                </c:pt>
              </c:numCache>
            </c:numRef>
          </c:val>
          <c:extLst>
            <c:ext xmlns:c16="http://schemas.microsoft.com/office/drawing/2014/chart" uri="{C3380CC4-5D6E-409C-BE32-E72D297353CC}">
              <c16:uniqueId val="{00000006-552B-489B-B8EC-E5E6382B1321}"/>
            </c:ext>
          </c:extLst>
        </c:ser>
        <c:ser>
          <c:idx val="7"/>
          <c:order val="7"/>
          <c:tx>
            <c:strRef>
              <c:f>PARADAS!#REF!</c:f>
              <c:strCache>
                <c:ptCount val="1"/>
                <c:pt idx="0">
                  <c:v>#REF!</c:v>
                </c:pt>
              </c:strCache>
            </c:strRef>
          </c:tx>
          <c:invertIfNegative val="0"/>
          <c:cat>
            <c:numRef>
              <c:f>'PARADAS P1'!$B$6:$M$6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PARADAS!#REF!</c:f>
              <c:numCache>
                <c:formatCode>General</c:formatCode>
                <c:ptCount val="1"/>
                <c:pt idx="0">
                  <c:v>1</c:v>
                </c:pt>
              </c:numCache>
            </c:numRef>
          </c:val>
          <c:extLst>
            <c:ext xmlns:c16="http://schemas.microsoft.com/office/drawing/2014/chart" uri="{C3380CC4-5D6E-409C-BE32-E72D297353CC}">
              <c16:uniqueId val="{00000007-552B-489B-B8EC-E5E6382B1321}"/>
            </c:ext>
          </c:extLst>
        </c:ser>
        <c:ser>
          <c:idx val="8"/>
          <c:order val="8"/>
          <c:tx>
            <c:strRef>
              <c:f>PARADAS!#REF!</c:f>
              <c:strCache>
                <c:ptCount val="1"/>
                <c:pt idx="0">
                  <c:v>#REF!</c:v>
                </c:pt>
              </c:strCache>
            </c:strRef>
          </c:tx>
          <c:invertIfNegative val="0"/>
          <c:cat>
            <c:numRef>
              <c:f>'PARADAS P1'!$B$6:$M$6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PARADAS!#REF!</c:f>
              <c:numCache>
                <c:formatCode>General</c:formatCode>
                <c:ptCount val="1"/>
                <c:pt idx="0">
                  <c:v>1</c:v>
                </c:pt>
              </c:numCache>
            </c:numRef>
          </c:val>
          <c:extLst>
            <c:ext xmlns:c16="http://schemas.microsoft.com/office/drawing/2014/chart" uri="{C3380CC4-5D6E-409C-BE32-E72D297353CC}">
              <c16:uniqueId val="{00000008-552B-489B-B8EC-E5E6382B1321}"/>
            </c:ext>
          </c:extLst>
        </c:ser>
        <c:ser>
          <c:idx val="9"/>
          <c:order val="9"/>
          <c:tx>
            <c:strRef>
              <c:f>'PARADAS P1'!$A$21</c:f>
              <c:strCache>
                <c:ptCount val="1"/>
                <c:pt idx="0">
                  <c:v>Vacaciones colectivas</c:v>
                </c:pt>
              </c:strCache>
            </c:strRef>
          </c:tx>
          <c:invertIfNegative val="0"/>
          <c:cat>
            <c:numRef>
              <c:f>'PARADAS P1'!$B$6:$M$6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 P1'!$X$21:$AI$21</c:f>
              <c:numCache>
                <c:formatCode>0.0</c:formatCode>
                <c:ptCount val="12"/>
              </c:numCache>
            </c:numRef>
          </c:val>
          <c:extLst>
            <c:ext xmlns:c16="http://schemas.microsoft.com/office/drawing/2014/chart" uri="{C3380CC4-5D6E-409C-BE32-E72D297353CC}">
              <c16:uniqueId val="{00000009-552B-489B-B8EC-E5E6382B1321}"/>
            </c:ext>
          </c:extLst>
        </c:ser>
        <c:dLbls>
          <c:showLegendKey val="0"/>
          <c:showVal val="0"/>
          <c:showCatName val="0"/>
          <c:showSerName val="0"/>
          <c:showPercent val="0"/>
          <c:showBubbleSize val="0"/>
        </c:dLbls>
        <c:gapWidth val="75"/>
        <c:shape val="box"/>
        <c:axId val="148206720"/>
        <c:axId val="148208256"/>
        <c:axId val="0"/>
      </c:bar3DChart>
      <c:dateAx>
        <c:axId val="148206720"/>
        <c:scaling>
          <c:orientation val="minMax"/>
        </c:scaling>
        <c:delete val="0"/>
        <c:axPos val="b"/>
        <c:numFmt formatCode="mmm\-yy" sourceLinked="0"/>
        <c:majorTickMark val="none"/>
        <c:minorTickMark val="none"/>
        <c:tickLblPos val="nextTo"/>
        <c:txPr>
          <a:bodyPr rot="0" vert="horz"/>
          <a:lstStyle/>
          <a:p>
            <a:pPr>
              <a:defRPr sz="800" b="0" i="0" u="none" strike="noStrike" baseline="0">
                <a:solidFill>
                  <a:srgbClr val="000000"/>
                </a:solidFill>
                <a:latin typeface="Calibri"/>
                <a:ea typeface="Calibri"/>
                <a:cs typeface="Calibri"/>
              </a:defRPr>
            </a:pPr>
            <a:endParaRPr lang="es-CO"/>
          </a:p>
        </c:txPr>
        <c:crossAx val="148208256"/>
        <c:crosses val="autoZero"/>
        <c:auto val="1"/>
        <c:lblOffset val="100"/>
        <c:baseTimeUnit val="months"/>
        <c:majorUnit val="1"/>
      </c:dateAx>
      <c:valAx>
        <c:axId val="148208256"/>
        <c:scaling>
          <c:orientation val="minMax"/>
        </c:scaling>
        <c:delete val="0"/>
        <c:axPos val="l"/>
        <c:majorGridlines/>
        <c:numFmt formatCode="#,##0" sourceLinked="0"/>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es-CO"/>
          </a:p>
        </c:txPr>
        <c:crossAx val="148206720"/>
        <c:crosses val="autoZero"/>
        <c:crossBetween val="between"/>
      </c:valAx>
      <c:spPr>
        <a:noFill/>
        <a:ln w="25400">
          <a:noFill/>
        </a:ln>
      </c:spPr>
    </c:plotArea>
    <c:legend>
      <c:legendPos val="b"/>
      <c:overlay val="0"/>
      <c:txPr>
        <a:bodyPr/>
        <a:lstStyle/>
        <a:p>
          <a:pPr>
            <a:defRPr sz="700" b="0" i="0" u="none" strike="noStrike" baseline="0">
              <a:solidFill>
                <a:srgbClr val="000000"/>
              </a:solidFill>
              <a:latin typeface="Calibri"/>
              <a:ea typeface="Calibri"/>
              <a:cs typeface="Calibri"/>
            </a:defRPr>
          </a:pPr>
          <a:endParaRPr lang="es-CO"/>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1465" l="0.70000000000000062" r="0.70000000000000062" t="0.75000000000001465" header="0.30000000000000032" footer="0.30000000000000032"/>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'PARADAS P2'!$A$26</c:f>
              <c:strCache>
                <c:ptCount val="1"/>
                <c:pt idx="0">
                  <c:v>Disponibilidad planta por mantenimiento</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P2'!$B$6:$M$6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 P2'!$B$26:$M$26</c:f>
            </c:numRef>
          </c:val>
          <c:extLst>
            <c:ext xmlns:c16="http://schemas.microsoft.com/office/drawing/2014/chart" uri="{C3380CC4-5D6E-409C-BE32-E72D297353CC}">
              <c16:uniqueId val="{00000000-81DE-45ED-8477-B0F9106374D2}"/>
            </c:ext>
          </c:extLst>
        </c:ser>
        <c:dLbls>
          <c:showLegendKey val="0"/>
          <c:showVal val="0"/>
          <c:showCatName val="0"/>
          <c:showSerName val="0"/>
          <c:showPercent val="0"/>
          <c:showBubbleSize val="0"/>
        </c:dLbls>
        <c:gapWidth val="75"/>
        <c:axId val="147588992"/>
        <c:axId val="147590528"/>
      </c:barChart>
      <c:lineChart>
        <c:grouping val="stacked"/>
        <c:varyColors val="0"/>
        <c:ser>
          <c:idx val="1"/>
          <c:order val="1"/>
          <c:tx>
            <c:strRef>
              <c:f>'PARADAS P2'!$A$27</c:f>
              <c:strCache>
                <c:ptCount val="1"/>
                <c:pt idx="0">
                  <c:v>Paradas por mantenimiento correctivo</c:v>
                </c:pt>
              </c:strCache>
            </c:strRef>
          </c:tx>
          <c:marker>
            <c:symbol val="none"/>
          </c:marker>
          <c:dLbls>
            <c:spPr>
              <a:noFill/>
              <a:ln w="25400">
                <a:noFill/>
              </a:ln>
            </c:spPr>
            <c:txPr>
              <a:bodyPr/>
              <a:lstStyle/>
              <a:p>
                <a:pPr>
                  <a:defRPr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P2'!$B$6:$M$6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 P2'!$B$27:$M$27</c:f>
            </c:numRef>
          </c:val>
          <c:smooth val="0"/>
          <c:extLst>
            <c:ext xmlns:c16="http://schemas.microsoft.com/office/drawing/2014/chart" uri="{C3380CC4-5D6E-409C-BE32-E72D297353CC}">
              <c16:uniqueId val="{00000001-81DE-45ED-8477-B0F9106374D2}"/>
            </c:ext>
          </c:extLst>
        </c:ser>
        <c:dLbls>
          <c:showLegendKey val="0"/>
          <c:showVal val="0"/>
          <c:showCatName val="0"/>
          <c:showSerName val="0"/>
          <c:showPercent val="0"/>
          <c:showBubbleSize val="0"/>
        </c:dLbls>
        <c:marker val="1"/>
        <c:smooth val="0"/>
        <c:axId val="147596416"/>
        <c:axId val="147597952"/>
      </c:lineChart>
      <c:catAx>
        <c:axId val="147588992"/>
        <c:scaling>
          <c:orientation val="minMax"/>
        </c:scaling>
        <c:delete val="0"/>
        <c:axPos val="b"/>
        <c:numFmt formatCode="mmm\-yy" sourceLinked="0"/>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CO"/>
          </a:p>
        </c:txPr>
        <c:crossAx val="147590528"/>
        <c:crossesAt val="0"/>
        <c:auto val="1"/>
        <c:lblAlgn val="ctr"/>
        <c:lblOffset val="100"/>
        <c:noMultiLvlLbl val="0"/>
      </c:catAx>
      <c:valAx>
        <c:axId val="147590528"/>
        <c:scaling>
          <c:orientation val="minMax"/>
          <c:min val="0"/>
        </c:scaling>
        <c:delete val="0"/>
        <c:axPos val="l"/>
        <c:numFmt formatCode="0.00%" sourceLinked="0"/>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CO"/>
          </a:p>
        </c:txPr>
        <c:crossAx val="147588992"/>
        <c:crosses val="autoZero"/>
        <c:crossBetween val="between"/>
        <c:majorUnit val="0.1"/>
      </c:valAx>
      <c:catAx>
        <c:axId val="147596416"/>
        <c:scaling>
          <c:orientation val="minMax"/>
        </c:scaling>
        <c:delete val="1"/>
        <c:axPos val="b"/>
        <c:numFmt formatCode="mmm\-yy" sourceLinked="1"/>
        <c:majorTickMark val="out"/>
        <c:minorTickMark val="none"/>
        <c:tickLblPos val="none"/>
        <c:crossAx val="147597952"/>
        <c:crosses val="autoZero"/>
        <c:auto val="1"/>
        <c:lblAlgn val="ctr"/>
        <c:lblOffset val="100"/>
        <c:noMultiLvlLbl val="0"/>
      </c:catAx>
      <c:valAx>
        <c:axId val="147597952"/>
        <c:scaling>
          <c:orientation val="minMax"/>
        </c:scaling>
        <c:delete val="0"/>
        <c:axPos val="r"/>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147596416"/>
        <c:crosses val="max"/>
        <c:crossBetween val="between"/>
      </c:valAx>
    </c:plotArea>
    <c:legend>
      <c:legendPos val="b"/>
      <c:overlay val="0"/>
      <c:txPr>
        <a:bodyPr/>
        <a:lstStyle/>
        <a:p>
          <a:pPr>
            <a:defRPr sz="900" b="0" i="0" u="none" strike="noStrike" baseline="0">
              <a:solidFill>
                <a:srgbClr val="000000"/>
              </a:solidFill>
              <a:latin typeface="Calibri"/>
              <a:ea typeface="Calibri"/>
              <a:cs typeface="Calibri"/>
            </a:defRPr>
          </a:pPr>
          <a:endParaRPr lang="es-CO"/>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1465" l="0.70000000000000062" r="0.70000000000000062" t="0.75000000000001465" header="0.30000000000000032" footer="0.30000000000000032"/>
    <c:pageSetup/>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20"/>
    </mc:Choice>
    <mc:Fallback>
      <c:style val="20"/>
    </mc:Fallback>
  </mc:AlternateContent>
  <c:chart>
    <c:autoTitleDeleted val="1"/>
    <c:view3D>
      <c:rotX val="15"/>
      <c:rotY val="20"/>
      <c:depthPercent val="100"/>
      <c:rAngAx val="1"/>
    </c:view3D>
    <c:floor>
      <c:thickness val="0"/>
    </c:floor>
    <c:sideWall>
      <c:thickness val="0"/>
    </c:sideWall>
    <c:backWall>
      <c:thickness val="0"/>
    </c:backWall>
    <c:plotArea>
      <c:layout/>
      <c:bar3DChart>
        <c:barDir val="col"/>
        <c:grouping val="clustered"/>
        <c:varyColors val="0"/>
        <c:ser>
          <c:idx val="6"/>
          <c:order val="0"/>
          <c:tx>
            <c:strRef>
              <c:f>'PARADAS P2'!$A$29</c:f>
              <c:strCache>
                <c:ptCount val="1"/>
                <c:pt idx="0">
                  <c:v>Cumplimiento actividades de mantenimiento preventivo</c:v>
                </c:pt>
              </c:strCache>
            </c:strRef>
          </c:tx>
          <c:spPr>
            <a:solidFill>
              <a:schemeClr val="accent5">
                <a:lumMod val="60000"/>
                <a:lumOff val="40000"/>
              </a:schemeClr>
            </a:solidFill>
          </c:spPr>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P2'!$B$6:$M$6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 P2'!$B$29:$M$29</c:f>
            </c:numRef>
          </c:val>
          <c:extLst>
            <c:ext xmlns:c16="http://schemas.microsoft.com/office/drawing/2014/chart" uri="{C3380CC4-5D6E-409C-BE32-E72D297353CC}">
              <c16:uniqueId val="{00000000-5C80-4523-B789-FF74D53931A7}"/>
            </c:ext>
          </c:extLst>
        </c:ser>
        <c:dLbls>
          <c:showLegendKey val="0"/>
          <c:showVal val="0"/>
          <c:showCatName val="0"/>
          <c:showSerName val="0"/>
          <c:showPercent val="0"/>
          <c:showBubbleSize val="0"/>
        </c:dLbls>
        <c:gapWidth val="75"/>
        <c:shape val="box"/>
        <c:axId val="147614720"/>
        <c:axId val="147624704"/>
        <c:axId val="0"/>
      </c:bar3DChart>
      <c:catAx>
        <c:axId val="147614720"/>
        <c:scaling>
          <c:orientation val="minMax"/>
        </c:scaling>
        <c:delete val="0"/>
        <c:axPos val="b"/>
        <c:numFmt formatCode="mmm\-yy" sourceLinked="0"/>
        <c:majorTickMark val="none"/>
        <c:minorTickMark val="none"/>
        <c:tickLblPos val="nextTo"/>
        <c:txPr>
          <a:bodyPr rot="0" vert="horz"/>
          <a:lstStyle/>
          <a:p>
            <a:pPr>
              <a:defRPr sz="800" b="0" i="0" u="none" strike="noStrike" baseline="0">
                <a:solidFill>
                  <a:srgbClr val="000000"/>
                </a:solidFill>
                <a:latin typeface="Calibri"/>
                <a:ea typeface="Calibri"/>
                <a:cs typeface="Calibri"/>
              </a:defRPr>
            </a:pPr>
            <a:endParaRPr lang="es-CO"/>
          </a:p>
        </c:txPr>
        <c:crossAx val="147624704"/>
        <c:crosses val="autoZero"/>
        <c:auto val="1"/>
        <c:lblAlgn val="ctr"/>
        <c:lblOffset val="100"/>
        <c:tickLblSkip val="1"/>
        <c:noMultiLvlLbl val="0"/>
      </c:catAx>
      <c:valAx>
        <c:axId val="147624704"/>
        <c:scaling>
          <c:orientation val="minMax"/>
          <c:max val="1"/>
        </c:scaling>
        <c:delete val="0"/>
        <c:axPos val="l"/>
        <c:numFmt formatCode="0.0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147614720"/>
        <c:crosses val="autoZero"/>
        <c:crossBetween val="between"/>
      </c:valAx>
      <c:spPr>
        <a:noFill/>
        <a:ln w="25400">
          <a:noFill/>
        </a:ln>
      </c:spPr>
    </c:plotArea>
    <c:legend>
      <c:legendPos val="b"/>
      <c:overlay val="0"/>
      <c:txPr>
        <a:bodyPr/>
        <a:lstStyle/>
        <a:p>
          <a:pPr>
            <a:defRPr sz="900" b="1" i="0" u="none" strike="noStrike" baseline="0">
              <a:solidFill>
                <a:srgbClr val="000000"/>
              </a:solidFill>
              <a:latin typeface="Calibri"/>
              <a:ea typeface="Calibri"/>
              <a:cs typeface="Calibri"/>
            </a:defRPr>
          </a:pPr>
          <a:endParaRPr lang="es-CO"/>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1465" l="0.70000000000000062" r="0.70000000000000062" t="0.75000000000001465" header="0.30000000000000032" footer="0.30000000000000032"/>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Calibri"/>
                <a:ea typeface="Calibri"/>
                <a:cs typeface="Calibri"/>
              </a:defRPr>
            </a:pPr>
            <a:r>
              <a:rPr lang="es-CO"/>
              <a:t>Cuadro Resumen de Horas de Parada</a:t>
            </a:r>
          </a:p>
        </c:rich>
      </c:tx>
      <c:overlay val="0"/>
    </c:title>
    <c:autoTitleDeleted val="0"/>
    <c:view3D>
      <c:rotX val="10"/>
      <c:rotY val="10"/>
      <c:depthPercent val="100"/>
      <c:rAngAx val="1"/>
    </c:view3D>
    <c:floor>
      <c:thickness val="0"/>
    </c:floor>
    <c:sideWall>
      <c:thickness val="0"/>
      <c:spPr>
        <a:ln>
          <a:solidFill>
            <a:schemeClr val="accent1"/>
          </a:solidFill>
        </a:ln>
      </c:spPr>
    </c:sideWall>
    <c:backWall>
      <c:thickness val="0"/>
      <c:spPr>
        <a:ln>
          <a:solidFill>
            <a:schemeClr val="accent1"/>
          </a:solidFill>
        </a:ln>
      </c:spPr>
    </c:backWall>
    <c:plotArea>
      <c:layout/>
      <c:bar3DChart>
        <c:barDir val="col"/>
        <c:grouping val="clustered"/>
        <c:varyColors val="0"/>
        <c:ser>
          <c:idx val="0"/>
          <c:order val="0"/>
          <c:tx>
            <c:strRef>
              <c:f>'PARADAS P2'!$A$7</c:f>
              <c:strCache>
                <c:ptCount val="1"/>
                <c:pt idx="0">
                  <c:v>Arranque/parada-post/pre mantenimiento programado</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P2'!$B$6:$M$6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 P2'!$B$7:$M$7</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0AE6-4538-B274-42747055B732}"/>
            </c:ext>
          </c:extLst>
        </c:ser>
        <c:ser>
          <c:idx val="1"/>
          <c:order val="1"/>
          <c:tx>
            <c:strRef>
              <c:f>'PARADAS P2'!$A$8</c:f>
              <c:strCache>
                <c:ptCount val="1"/>
                <c:pt idx="0">
                  <c:v>Mantenimiento programado</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P2'!$B$6:$M$6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 P2'!$B$8:$M$8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0AE6-4538-B274-42747055B732}"/>
            </c:ext>
          </c:extLst>
        </c:ser>
        <c:ser>
          <c:idx val="2"/>
          <c:order val="2"/>
          <c:tx>
            <c:strRef>
              <c:f>'PARADAS P2'!$A$9</c:f>
              <c:strCache>
                <c:ptCount val="1"/>
                <c:pt idx="0">
                  <c:v>Mecánicas</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P2'!$B$6:$M$6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 P2'!$B$9:$M$9</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0AE6-4538-B274-42747055B732}"/>
            </c:ext>
          </c:extLst>
        </c:ser>
        <c:ser>
          <c:idx val="3"/>
          <c:order val="3"/>
          <c:tx>
            <c:strRef>
              <c:f>'PARADAS P2'!$A$10</c:f>
              <c:strCache>
                <c:ptCount val="1"/>
                <c:pt idx="0">
                  <c:v>Operativas</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P2'!$B$6:$M$6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 P2'!$B$10:$M$10</c:f>
              <c:numCache>
                <c:formatCode>0.00</c:formatCode>
                <c:ptCount val="12"/>
                <c:pt idx="0">
                  <c:v>744</c:v>
                </c:pt>
                <c:pt idx="1">
                  <c:v>720</c:v>
                </c:pt>
                <c:pt idx="2">
                  <c:v>744</c:v>
                </c:pt>
                <c:pt idx="3">
                  <c:v>744</c:v>
                </c:pt>
                <c:pt idx="4">
                  <c:v>720</c:v>
                </c:pt>
                <c:pt idx="5">
                  <c:v>744</c:v>
                </c:pt>
                <c:pt idx="6">
                  <c:v>720</c:v>
                </c:pt>
                <c:pt idx="7">
                  <c:v>720</c:v>
                </c:pt>
                <c:pt idx="8">
                  <c:v>744</c:v>
                </c:pt>
                <c:pt idx="9">
                  <c:v>672</c:v>
                </c:pt>
                <c:pt idx="10">
                  <c:v>744</c:v>
                </c:pt>
                <c:pt idx="11">
                  <c:v>552</c:v>
                </c:pt>
              </c:numCache>
            </c:numRef>
          </c:val>
          <c:extLst>
            <c:ext xmlns:c16="http://schemas.microsoft.com/office/drawing/2014/chart" uri="{C3380CC4-5D6E-409C-BE32-E72D297353CC}">
              <c16:uniqueId val="{00000003-0AE6-4538-B274-42747055B732}"/>
            </c:ext>
          </c:extLst>
        </c:ser>
        <c:ser>
          <c:idx val="4"/>
          <c:order val="4"/>
          <c:tx>
            <c:strRef>
              <c:f>'PARADAS P2'!$A$11</c:f>
              <c:strCache>
                <c:ptCount val="1"/>
                <c:pt idx="0">
                  <c:v>Falla de instrumentos</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P2'!$B$6:$M$6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 P2'!$B$11:$M$11</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0AE6-4538-B274-42747055B732}"/>
            </c:ext>
          </c:extLst>
        </c:ser>
        <c:ser>
          <c:idx val="5"/>
          <c:order val="5"/>
          <c:tx>
            <c:strRef>
              <c:f>'PARADAS P2'!$A$12</c:f>
              <c:strCache>
                <c:ptCount val="1"/>
                <c:pt idx="0">
                  <c:v>Eléctricas internas</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P2'!$B$6:$M$6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 P2'!$B$12:$M$12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5-0AE6-4538-B274-42747055B732}"/>
            </c:ext>
          </c:extLst>
        </c:ser>
        <c:ser>
          <c:idx val="6"/>
          <c:order val="6"/>
          <c:tx>
            <c:strRef>
              <c:f>'PARADAS P2'!$A$13</c:f>
              <c:strCache>
                <c:ptCount val="1"/>
                <c:pt idx="0">
                  <c:v>Eléctricas externas</c:v>
                </c:pt>
              </c:strCache>
            </c:strRef>
          </c:tx>
          <c:invertIfNegative val="0"/>
          <c:cat>
            <c:numRef>
              <c:f>'PARADAS P2'!$B$6:$M$6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 P2'!$B$13:$M$13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6-0AE6-4538-B274-42747055B732}"/>
            </c:ext>
          </c:extLst>
        </c:ser>
        <c:ser>
          <c:idx val="7"/>
          <c:order val="7"/>
          <c:tx>
            <c:strRef>
              <c:f>'PARADAS P2'!$A$14</c:f>
              <c:strCache>
                <c:ptCount val="1"/>
                <c:pt idx="0">
                  <c:v>Fallas/mtto calderas</c:v>
                </c:pt>
              </c:strCache>
            </c:strRef>
          </c:tx>
          <c:invertIfNegative val="0"/>
          <c:cat>
            <c:numRef>
              <c:f>'PARADAS P2'!$B$6:$M$6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 P2'!$B$14:$M$14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7-0AE6-4538-B274-42747055B732}"/>
            </c:ext>
          </c:extLst>
        </c:ser>
        <c:ser>
          <c:idx val="8"/>
          <c:order val="8"/>
          <c:tx>
            <c:strRef>
              <c:f>'PARADAS P2'!$A$15</c:f>
              <c:strCache>
                <c:ptCount val="1"/>
                <c:pt idx="0">
                  <c:v>Bajos inventarios RBD</c:v>
                </c:pt>
              </c:strCache>
            </c:strRef>
          </c:tx>
          <c:invertIfNegative val="0"/>
          <c:cat>
            <c:numRef>
              <c:f>'PARADAS P2'!$B$6:$M$6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 P2'!$B$15:$M$15</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8-0AE6-4538-B274-42747055B732}"/>
            </c:ext>
          </c:extLst>
        </c:ser>
        <c:ser>
          <c:idx val="10"/>
          <c:order val="9"/>
          <c:tx>
            <c:strRef>
              <c:f>'PARADAS P2'!$A$16</c:f>
              <c:strCache>
                <c:ptCount val="1"/>
                <c:pt idx="0">
                  <c:v>Altos inventarios de B100</c:v>
                </c:pt>
              </c:strCache>
            </c:strRef>
          </c:tx>
          <c:invertIfNegative val="0"/>
          <c:val>
            <c:numRef>
              <c:f>'PARADAS P2'!$B$16:$M$16</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9-0AE6-4538-B274-42747055B732}"/>
            </c:ext>
          </c:extLst>
        </c:ser>
        <c:ser>
          <c:idx val="11"/>
          <c:order val="10"/>
          <c:tx>
            <c:strRef>
              <c:f>'PARADAS P2'!$A$17</c:f>
              <c:strCache>
                <c:ptCount val="1"/>
                <c:pt idx="0">
                  <c:v>Falta de insumos</c:v>
                </c:pt>
              </c:strCache>
            </c:strRef>
          </c:tx>
          <c:invertIfNegative val="0"/>
          <c:val>
            <c:numRef>
              <c:f>'PARADAS P2'!$B$17:$M$17</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A-0AE6-4538-B274-42747055B732}"/>
            </c:ext>
          </c:extLst>
        </c:ser>
        <c:ser>
          <c:idx val="12"/>
          <c:order val="11"/>
          <c:tx>
            <c:strRef>
              <c:f>'PARADAS P2'!$A$18</c:f>
              <c:strCache>
                <c:ptCount val="1"/>
                <c:pt idx="0">
                  <c:v>Eventos naturales (emergencias) / Pruebas y  Ensayos de Planta</c:v>
                </c:pt>
              </c:strCache>
            </c:strRef>
          </c:tx>
          <c:invertIfNegative val="0"/>
          <c:val>
            <c:numRef>
              <c:f>'PARADAS P2'!$B$18:$M$18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B-0AE6-4538-B274-42747055B732}"/>
            </c:ext>
          </c:extLst>
        </c:ser>
        <c:ser>
          <c:idx val="9"/>
          <c:order val="12"/>
          <c:tx>
            <c:strRef>
              <c:f>'PARADAS P2'!#REF!</c:f>
              <c:strCache>
                <c:ptCount val="1"/>
                <c:pt idx="0">
                  <c:v>#REF!</c:v>
                </c:pt>
              </c:strCache>
            </c:strRef>
          </c:tx>
          <c:invertIfNegative val="0"/>
          <c:cat>
            <c:numRef>
              <c:f>'PARADAS P2'!$B$6:$M$6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 P2'!#REF!</c:f>
              <c:numCache>
                <c:formatCode>General</c:formatCode>
                <c:ptCount val="1"/>
                <c:pt idx="0">
                  <c:v>1</c:v>
                </c:pt>
              </c:numCache>
            </c:numRef>
          </c:val>
          <c:extLst>
            <c:ext xmlns:c16="http://schemas.microsoft.com/office/drawing/2014/chart" uri="{C3380CC4-5D6E-409C-BE32-E72D297353CC}">
              <c16:uniqueId val="{0000000C-0AE6-4538-B274-42747055B732}"/>
            </c:ext>
          </c:extLst>
        </c:ser>
        <c:dLbls>
          <c:showLegendKey val="0"/>
          <c:showVal val="0"/>
          <c:showCatName val="0"/>
          <c:showSerName val="0"/>
          <c:showPercent val="0"/>
          <c:showBubbleSize val="0"/>
        </c:dLbls>
        <c:gapWidth val="75"/>
        <c:shape val="box"/>
        <c:axId val="148100608"/>
        <c:axId val="148102144"/>
        <c:axId val="0"/>
      </c:bar3DChart>
      <c:dateAx>
        <c:axId val="148100608"/>
        <c:scaling>
          <c:orientation val="minMax"/>
        </c:scaling>
        <c:delete val="0"/>
        <c:axPos val="b"/>
        <c:numFmt formatCode="mmm\-yy" sourceLinked="0"/>
        <c:majorTickMark val="none"/>
        <c:minorTickMark val="none"/>
        <c:tickLblPos val="nextTo"/>
        <c:txPr>
          <a:bodyPr rot="0" vert="horz"/>
          <a:lstStyle/>
          <a:p>
            <a:pPr>
              <a:defRPr sz="800" b="0" i="0" u="none" strike="noStrike" baseline="0">
                <a:solidFill>
                  <a:srgbClr val="000000"/>
                </a:solidFill>
                <a:latin typeface="Calibri"/>
                <a:ea typeface="Calibri"/>
                <a:cs typeface="Calibri"/>
              </a:defRPr>
            </a:pPr>
            <a:endParaRPr lang="es-CO"/>
          </a:p>
        </c:txPr>
        <c:crossAx val="148102144"/>
        <c:crosses val="autoZero"/>
        <c:auto val="1"/>
        <c:lblOffset val="100"/>
        <c:baseTimeUnit val="months"/>
        <c:majorUnit val="1"/>
      </c:dateAx>
      <c:valAx>
        <c:axId val="148102144"/>
        <c:scaling>
          <c:orientation val="minMax"/>
        </c:scaling>
        <c:delete val="0"/>
        <c:axPos val="l"/>
        <c:majorGridlines/>
        <c:numFmt formatCode="#,##0" sourceLinked="0"/>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es-CO"/>
          </a:p>
        </c:txPr>
        <c:crossAx val="148100608"/>
        <c:crosses val="autoZero"/>
        <c:crossBetween val="between"/>
      </c:valAx>
      <c:spPr>
        <a:noFill/>
        <a:ln w="25400">
          <a:noFill/>
        </a:ln>
      </c:spPr>
    </c:plotArea>
    <c:legend>
      <c:legendPos val="b"/>
      <c:overlay val="0"/>
      <c:txPr>
        <a:bodyPr/>
        <a:lstStyle/>
        <a:p>
          <a:pPr>
            <a:defRPr sz="700" b="0" i="0" u="none" strike="noStrike" baseline="0">
              <a:solidFill>
                <a:srgbClr val="000000"/>
              </a:solidFill>
              <a:latin typeface="Calibri"/>
              <a:ea typeface="Calibri"/>
              <a:cs typeface="Calibri"/>
            </a:defRPr>
          </a:pPr>
          <a:endParaRPr lang="es-CO"/>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1465" l="0.70000000000000062" r="0.70000000000000062" t="0.75000000000001465" header="0.30000000000000032" footer="0.30000000000000032"/>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Calibri"/>
                <a:ea typeface="Calibri"/>
                <a:cs typeface="Calibri"/>
              </a:defRPr>
            </a:pPr>
            <a:r>
              <a:rPr lang="es-CO"/>
              <a:t>Cuadro Resumen de Toneladas perdidas por paradas</a:t>
            </a:r>
          </a:p>
        </c:rich>
      </c:tx>
      <c:overlay val="0"/>
    </c:title>
    <c:autoTitleDeleted val="0"/>
    <c:view3D>
      <c:rotX val="10"/>
      <c:rotY val="10"/>
      <c:depthPercent val="100"/>
      <c:rAngAx val="1"/>
    </c:view3D>
    <c:floor>
      <c:thickness val="0"/>
    </c:floor>
    <c:sideWall>
      <c:thickness val="0"/>
      <c:spPr>
        <a:ln>
          <a:solidFill>
            <a:schemeClr val="accent1"/>
          </a:solidFill>
        </a:ln>
      </c:spPr>
    </c:sideWall>
    <c:backWall>
      <c:thickness val="0"/>
      <c:spPr>
        <a:ln>
          <a:solidFill>
            <a:schemeClr val="accent1"/>
          </a:solidFill>
        </a:ln>
      </c:spPr>
    </c:backWall>
    <c:plotArea>
      <c:layout/>
      <c:bar3DChart>
        <c:barDir val="col"/>
        <c:grouping val="clustered"/>
        <c:varyColors val="0"/>
        <c:ser>
          <c:idx val="0"/>
          <c:order val="0"/>
          <c:tx>
            <c:strRef>
              <c:f>'PARADAS P2'!$A$7</c:f>
              <c:strCache>
                <c:ptCount val="1"/>
                <c:pt idx="0">
                  <c:v>Arranque/parada-post/pre mantenimiento programado</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P2'!$B$6:$M$6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 P2'!$X$7:$AI$7</c:f>
              <c:numCache>
                <c:formatCode>0.0</c:formatCode>
                <c:ptCount val="12"/>
              </c:numCache>
            </c:numRef>
          </c:val>
          <c:extLst>
            <c:ext xmlns:c16="http://schemas.microsoft.com/office/drawing/2014/chart" uri="{C3380CC4-5D6E-409C-BE32-E72D297353CC}">
              <c16:uniqueId val="{00000000-6228-4FAF-B563-DD27BB02F5E3}"/>
            </c:ext>
          </c:extLst>
        </c:ser>
        <c:ser>
          <c:idx val="1"/>
          <c:order val="1"/>
          <c:tx>
            <c:strRef>
              <c:f>PARADAS!#REF!</c:f>
              <c:strCache>
                <c:ptCount val="1"/>
                <c:pt idx="0">
                  <c:v>#REF!</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P2'!$B$6:$M$6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PARADAS!#REF!</c:f>
              <c:numCache>
                <c:formatCode>General</c:formatCode>
                <c:ptCount val="1"/>
                <c:pt idx="0">
                  <c:v>1</c:v>
                </c:pt>
              </c:numCache>
            </c:numRef>
          </c:val>
          <c:extLst>
            <c:ext xmlns:c16="http://schemas.microsoft.com/office/drawing/2014/chart" uri="{C3380CC4-5D6E-409C-BE32-E72D297353CC}">
              <c16:uniqueId val="{00000001-6228-4FAF-B563-DD27BB02F5E3}"/>
            </c:ext>
          </c:extLst>
        </c:ser>
        <c:ser>
          <c:idx val="2"/>
          <c:order val="2"/>
          <c:tx>
            <c:strRef>
              <c:f>PARADAS!#REF!</c:f>
              <c:strCache>
                <c:ptCount val="1"/>
                <c:pt idx="0">
                  <c:v>#REF!</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P2'!$B$6:$M$6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PARADAS!#REF!</c:f>
              <c:numCache>
                <c:formatCode>General</c:formatCode>
                <c:ptCount val="1"/>
                <c:pt idx="0">
                  <c:v>1</c:v>
                </c:pt>
              </c:numCache>
            </c:numRef>
          </c:val>
          <c:extLst>
            <c:ext xmlns:c16="http://schemas.microsoft.com/office/drawing/2014/chart" uri="{C3380CC4-5D6E-409C-BE32-E72D297353CC}">
              <c16:uniqueId val="{00000002-6228-4FAF-B563-DD27BB02F5E3}"/>
            </c:ext>
          </c:extLst>
        </c:ser>
        <c:ser>
          <c:idx val="3"/>
          <c:order val="3"/>
          <c:tx>
            <c:strRef>
              <c:f>PARADAS!#REF!</c:f>
              <c:strCache>
                <c:ptCount val="1"/>
                <c:pt idx="0">
                  <c:v>#REF!</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P2'!$B$6:$M$6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PARADAS!#REF!</c:f>
              <c:numCache>
                <c:formatCode>General</c:formatCode>
                <c:ptCount val="1"/>
                <c:pt idx="0">
                  <c:v>1</c:v>
                </c:pt>
              </c:numCache>
            </c:numRef>
          </c:val>
          <c:extLst>
            <c:ext xmlns:c16="http://schemas.microsoft.com/office/drawing/2014/chart" uri="{C3380CC4-5D6E-409C-BE32-E72D297353CC}">
              <c16:uniqueId val="{00000003-6228-4FAF-B563-DD27BB02F5E3}"/>
            </c:ext>
          </c:extLst>
        </c:ser>
        <c:ser>
          <c:idx val="4"/>
          <c:order val="4"/>
          <c:tx>
            <c:strRef>
              <c:f>PARADAS!#REF!</c:f>
              <c:strCache>
                <c:ptCount val="1"/>
                <c:pt idx="0">
                  <c:v>#REF!</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P2'!$B$6:$M$6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PARADAS!#REF!</c:f>
              <c:numCache>
                <c:formatCode>General</c:formatCode>
                <c:ptCount val="1"/>
                <c:pt idx="0">
                  <c:v>1</c:v>
                </c:pt>
              </c:numCache>
            </c:numRef>
          </c:val>
          <c:extLst>
            <c:ext xmlns:c16="http://schemas.microsoft.com/office/drawing/2014/chart" uri="{C3380CC4-5D6E-409C-BE32-E72D297353CC}">
              <c16:uniqueId val="{00000004-6228-4FAF-B563-DD27BB02F5E3}"/>
            </c:ext>
          </c:extLst>
        </c:ser>
        <c:ser>
          <c:idx val="5"/>
          <c:order val="5"/>
          <c:tx>
            <c:strRef>
              <c:f>PARADAS!#REF!</c:f>
              <c:strCache>
                <c:ptCount val="1"/>
                <c:pt idx="0">
                  <c:v>#REF!</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P2'!$B$6:$M$6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PARADAS!#REF!</c:f>
              <c:numCache>
                <c:formatCode>General</c:formatCode>
                <c:ptCount val="1"/>
                <c:pt idx="0">
                  <c:v>1</c:v>
                </c:pt>
              </c:numCache>
            </c:numRef>
          </c:val>
          <c:extLst>
            <c:ext xmlns:c16="http://schemas.microsoft.com/office/drawing/2014/chart" uri="{C3380CC4-5D6E-409C-BE32-E72D297353CC}">
              <c16:uniqueId val="{00000005-6228-4FAF-B563-DD27BB02F5E3}"/>
            </c:ext>
          </c:extLst>
        </c:ser>
        <c:ser>
          <c:idx val="6"/>
          <c:order val="6"/>
          <c:tx>
            <c:strRef>
              <c:f>PARADAS!#REF!</c:f>
              <c:strCache>
                <c:ptCount val="1"/>
                <c:pt idx="0">
                  <c:v>#REF!</c:v>
                </c:pt>
              </c:strCache>
            </c:strRef>
          </c:tx>
          <c:invertIfNegative val="0"/>
          <c:cat>
            <c:numRef>
              <c:f>'PARADAS P2'!$B$6:$M$6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PARADAS!#REF!</c:f>
              <c:numCache>
                <c:formatCode>General</c:formatCode>
                <c:ptCount val="1"/>
                <c:pt idx="0">
                  <c:v>1</c:v>
                </c:pt>
              </c:numCache>
            </c:numRef>
          </c:val>
          <c:extLst>
            <c:ext xmlns:c16="http://schemas.microsoft.com/office/drawing/2014/chart" uri="{C3380CC4-5D6E-409C-BE32-E72D297353CC}">
              <c16:uniqueId val="{00000006-6228-4FAF-B563-DD27BB02F5E3}"/>
            </c:ext>
          </c:extLst>
        </c:ser>
        <c:ser>
          <c:idx val="7"/>
          <c:order val="7"/>
          <c:tx>
            <c:strRef>
              <c:f>PARADAS!#REF!</c:f>
              <c:strCache>
                <c:ptCount val="1"/>
                <c:pt idx="0">
                  <c:v>#REF!</c:v>
                </c:pt>
              </c:strCache>
            </c:strRef>
          </c:tx>
          <c:invertIfNegative val="0"/>
          <c:cat>
            <c:numRef>
              <c:f>'PARADAS P2'!$B$6:$M$6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PARADAS!#REF!</c:f>
              <c:numCache>
                <c:formatCode>General</c:formatCode>
                <c:ptCount val="1"/>
                <c:pt idx="0">
                  <c:v>1</c:v>
                </c:pt>
              </c:numCache>
            </c:numRef>
          </c:val>
          <c:extLst>
            <c:ext xmlns:c16="http://schemas.microsoft.com/office/drawing/2014/chart" uri="{C3380CC4-5D6E-409C-BE32-E72D297353CC}">
              <c16:uniqueId val="{00000007-6228-4FAF-B563-DD27BB02F5E3}"/>
            </c:ext>
          </c:extLst>
        </c:ser>
        <c:ser>
          <c:idx val="8"/>
          <c:order val="8"/>
          <c:tx>
            <c:strRef>
              <c:f>PARADAS!#REF!</c:f>
              <c:strCache>
                <c:ptCount val="1"/>
                <c:pt idx="0">
                  <c:v>#REF!</c:v>
                </c:pt>
              </c:strCache>
            </c:strRef>
          </c:tx>
          <c:invertIfNegative val="0"/>
          <c:cat>
            <c:numRef>
              <c:f>'PARADAS P2'!$B$6:$M$6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PARADAS!#REF!</c:f>
              <c:numCache>
                <c:formatCode>General</c:formatCode>
                <c:ptCount val="1"/>
                <c:pt idx="0">
                  <c:v>1</c:v>
                </c:pt>
              </c:numCache>
            </c:numRef>
          </c:val>
          <c:extLst>
            <c:ext xmlns:c16="http://schemas.microsoft.com/office/drawing/2014/chart" uri="{C3380CC4-5D6E-409C-BE32-E72D297353CC}">
              <c16:uniqueId val="{00000008-6228-4FAF-B563-DD27BB02F5E3}"/>
            </c:ext>
          </c:extLst>
        </c:ser>
        <c:ser>
          <c:idx val="9"/>
          <c:order val="9"/>
          <c:tx>
            <c:strRef>
              <c:f>'PARADAS P2'!#REF!</c:f>
              <c:strCache>
                <c:ptCount val="1"/>
                <c:pt idx="0">
                  <c:v>#REF!</c:v>
                </c:pt>
              </c:strCache>
            </c:strRef>
          </c:tx>
          <c:invertIfNegative val="0"/>
          <c:cat>
            <c:numRef>
              <c:f>'PARADAS P2'!$B$6:$M$6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 P2'!#REF!</c:f>
              <c:numCache>
                <c:formatCode>General</c:formatCode>
                <c:ptCount val="1"/>
                <c:pt idx="0">
                  <c:v>1</c:v>
                </c:pt>
              </c:numCache>
            </c:numRef>
          </c:val>
          <c:extLst>
            <c:ext xmlns:c16="http://schemas.microsoft.com/office/drawing/2014/chart" uri="{C3380CC4-5D6E-409C-BE32-E72D297353CC}">
              <c16:uniqueId val="{00000009-6228-4FAF-B563-DD27BB02F5E3}"/>
            </c:ext>
          </c:extLst>
        </c:ser>
        <c:dLbls>
          <c:showLegendKey val="0"/>
          <c:showVal val="0"/>
          <c:showCatName val="0"/>
          <c:showSerName val="0"/>
          <c:showPercent val="0"/>
          <c:showBubbleSize val="0"/>
        </c:dLbls>
        <c:gapWidth val="75"/>
        <c:shape val="box"/>
        <c:axId val="148206720"/>
        <c:axId val="148208256"/>
        <c:axId val="0"/>
      </c:bar3DChart>
      <c:dateAx>
        <c:axId val="148206720"/>
        <c:scaling>
          <c:orientation val="minMax"/>
        </c:scaling>
        <c:delete val="0"/>
        <c:axPos val="b"/>
        <c:numFmt formatCode="mmm\-yy" sourceLinked="0"/>
        <c:majorTickMark val="none"/>
        <c:minorTickMark val="none"/>
        <c:tickLblPos val="nextTo"/>
        <c:txPr>
          <a:bodyPr rot="0" vert="horz"/>
          <a:lstStyle/>
          <a:p>
            <a:pPr>
              <a:defRPr sz="800" b="0" i="0" u="none" strike="noStrike" baseline="0">
                <a:solidFill>
                  <a:srgbClr val="000000"/>
                </a:solidFill>
                <a:latin typeface="Calibri"/>
                <a:ea typeface="Calibri"/>
                <a:cs typeface="Calibri"/>
              </a:defRPr>
            </a:pPr>
            <a:endParaRPr lang="es-CO"/>
          </a:p>
        </c:txPr>
        <c:crossAx val="148208256"/>
        <c:crosses val="autoZero"/>
        <c:auto val="1"/>
        <c:lblOffset val="100"/>
        <c:baseTimeUnit val="months"/>
        <c:majorUnit val="1"/>
      </c:dateAx>
      <c:valAx>
        <c:axId val="148208256"/>
        <c:scaling>
          <c:orientation val="minMax"/>
        </c:scaling>
        <c:delete val="0"/>
        <c:axPos val="l"/>
        <c:majorGridlines/>
        <c:numFmt formatCode="#,##0" sourceLinked="0"/>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es-CO"/>
          </a:p>
        </c:txPr>
        <c:crossAx val="148206720"/>
        <c:crosses val="autoZero"/>
        <c:crossBetween val="between"/>
      </c:valAx>
      <c:spPr>
        <a:noFill/>
        <a:ln w="25400">
          <a:noFill/>
        </a:ln>
      </c:spPr>
    </c:plotArea>
    <c:legend>
      <c:legendPos val="b"/>
      <c:overlay val="0"/>
      <c:txPr>
        <a:bodyPr/>
        <a:lstStyle/>
        <a:p>
          <a:pPr>
            <a:defRPr sz="700" b="0" i="0" u="none" strike="noStrike" baseline="0">
              <a:solidFill>
                <a:srgbClr val="000000"/>
              </a:solidFill>
              <a:latin typeface="Calibri"/>
              <a:ea typeface="Calibri"/>
              <a:cs typeface="Calibri"/>
            </a:defRPr>
          </a:pPr>
          <a:endParaRPr lang="es-CO"/>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1465" l="0.70000000000000062" r="0.70000000000000062" t="0.75000000000001465" header="0.30000000000000032" footer="0.30000000000000032"/>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'PARADAS P3'!$A$26</c:f>
              <c:strCache>
                <c:ptCount val="1"/>
                <c:pt idx="0">
                  <c:v>Disponibilidad de Planta Esterificación</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P3'!$B$6:$M$6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 P3'!$B$26:$M$26</c:f>
              <c:numCache>
                <c:formatCode>0.00</c:formatCode>
                <c:ptCount val="12"/>
                <c:pt idx="0">
                  <c:v>100</c:v>
                </c:pt>
                <c:pt idx="1">
                  <c:v>99</c:v>
                </c:pt>
                <c:pt idx="2">
                  <c:v>100</c:v>
                </c:pt>
                <c:pt idx="3">
                  <c:v>100</c:v>
                </c:pt>
                <c:pt idx="4">
                  <c:v>100</c:v>
                </c:pt>
                <c:pt idx="5">
                  <c:v>100</c:v>
                </c:pt>
                <c:pt idx="6">
                  <c:v>99.6</c:v>
                </c:pt>
                <c:pt idx="7">
                  <c:v>100</c:v>
                </c:pt>
                <c:pt idx="8">
                  <c:v>100</c:v>
                </c:pt>
                <c:pt idx="9">
                  <c:v>100</c:v>
                </c:pt>
                <c:pt idx="10">
                  <c:v>100</c:v>
                </c:pt>
                <c:pt idx="11">
                  <c:v>0</c:v>
                </c:pt>
              </c:numCache>
            </c:numRef>
          </c:val>
          <c:extLst>
            <c:ext xmlns:c16="http://schemas.microsoft.com/office/drawing/2014/chart" uri="{C3380CC4-5D6E-409C-BE32-E72D297353CC}">
              <c16:uniqueId val="{00000000-DF49-47DB-B2DD-141214C975B6}"/>
            </c:ext>
          </c:extLst>
        </c:ser>
        <c:dLbls>
          <c:showLegendKey val="0"/>
          <c:showVal val="0"/>
          <c:showCatName val="0"/>
          <c:showSerName val="0"/>
          <c:showPercent val="0"/>
          <c:showBubbleSize val="0"/>
        </c:dLbls>
        <c:gapWidth val="75"/>
        <c:axId val="147588992"/>
        <c:axId val="147590528"/>
      </c:barChart>
      <c:lineChart>
        <c:grouping val="stacked"/>
        <c:varyColors val="0"/>
        <c:ser>
          <c:idx val="1"/>
          <c:order val="1"/>
          <c:tx>
            <c:strRef>
              <c:f>'PARADAS P3'!$A$27</c:f>
              <c:strCache>
                <c:ptCount val="1"/>
                <c:pt idx="0">
                  <c:v>Paradas por Mantenimiento Correctivo</c:v>
                </c:pt>
              </c:strCache>
            </c:strRef>
          </c:tx>
          <c:marker>
            <c:symbol val="none"/>
          </c:marker>
          <c:dLbls>
            <c:spPr>
              <a:noFill/>
              <a:ln w="25400">
                <a:noFill/>
              </a:ln>
            </c:spPr>
            <c:txPr>
              <a:bodyPr/>
              <a:lstStyle/>
              <a:p>
                <a:pPr>
                  <a:defRPr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P3'!$B$6:$M$6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 P3'!$B$27:$M$27</c:f>
              <c:numCache>
                <c:formatCode>0.00</c:formatCode>
                <c:ptCount val="12"/>
                <c:pt idx="0">
                  <c:v>0</c:v>
                </c:pt>
                <c:pt idx="1">
                  <c:v>0.6</c:v>
                </c:pt>
                <c:pt idx="2">
                  <c:v>0</c:v>
                </c:pt>
                <c:pt idx="3">
                  <c:v>0</c:v>
                </c:pt>
                <c:pt idx="4">
                  <c:v>0</c:v>
                </c:pt>
                <c:pt idx="5">
                  <c:v>0</c:v>
                </c:pt>
                <c:pt idx="6">
                  <c:v>0.35</c:v>
                </c:pt>
                <c:pt idx="7">
                  <c:v>0</c:v>
                </c:pt>
                <c:pt idx="8">
                  <c:v>0</c:v>
                </c:pt>
                <c:pt idx="9">
                  <c:v>0</c:v>
                </c:pt>
                <c:pt idx="10">
                  <c:v>0</c:v>
                </c:pt>
                <c:pt idx="11">
                  <c:v>0</c:v>
                </c:pt>
              </c:numCache>
            </c:numRef>
          </c:val>
          <c:smooth val="0"/>
          <c:extLst>
            <c:ext xmlns:c16="http://schemas.microsoft.com/office/drawing/2014/chart" uri="{C3380CC4-5D6E-409C-BE32-E72D297353CC}">
              <c16:uniqueId val="{00000001-DF49-47DB-B2DD-141214C975B6}"/>
            </c:ext>
          </c:extLst>
        </c:ser>
        <c:dLbls>
          <c:showLegendKey val="0"/>
          <c:showVal val="0"/>
          <c:showCatName val="0"/>
          <c:showSerName val="0"/>
          <c:showPercent val="0"/>
          <c:showBubbleSize val="0"/>
        </c:dLbls>
        <c:marker val="1"/>
        <c:smooth val="0"/>
        <c:axId val="147596416"/>
        <c:axId val="147597952"/>
      </c:lineChart>
      <c:dateAx>
        <c:axId val="147588992"/>
        <c:scaling>
          <c:orientation val="minMax"/>
        </c:scaling>
        <c:delete val="0"/>
        <c:axPos val="b"/>
        <c:numFmt formatCode="mmm\-yy" sourceLinked="0"/>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CO"/>
          </a:p>
        </c:txPr>
        <c:crossAx val="147590528"/>
        <c:crossesAt val="0"/>
        <c:auto val="1"/>
        <c:lblOffset val="100"/>
        <c:baseTimeUnit val="months"/>
      </c:dateAx>
      <c:valAx>
        <c:axId val="147590528"/>
        <c:scaling>
          <c:orientation val="minMax"/>
          <c:min val="0"/>
        </c:scaling>
        <c:delete val="0"/>
        <c:axPos val="l"/>
        <c:numFmt formatCode="0.00%" sourceLinked="0"/>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CO"/>
          </a:p>
        </c:txPr>
        <c:crossAx val="147588992"/>
        <c:crosses val="autoZero"/>
        <c:crossBetween val="between"/>
        <c:majorUnit val="0.1"/>
      </c:valAx>
      <c:dateAx>
        <c:axId val="147596416"/>
        <c:scaling>
          <c:orientation val="minMax"/>
        </c:scaling>
        <c:delete val="1"/>
        <c:axPos val="b"/>
        <c:numFmt formatCode="mmm\-yy" sourceLinked="1"/>
        <c:majorTickMark val="out"/>
        <c:minorTickMark val="none"/>
        <c:tickLblPos val="none"/>
        <c:crossAx val="147597952"/>
        <c:crosses val="autoZero"/>
        <c:auto val="1"/>
        <c:lblOffset val="100"/>
        <c:baseTimeUnit val="months"/>
      </c:dateAx>
      <c:valAx>
        <c:axId val="147597952"/>
        <c:scaling>
          <c:orientation val="minMax"/>
        </c:scaling>
        <c:delete val="0"/>
        <c:axPos val="r"/>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147596416"/>
        <c:crosses val="max"/>
        <c:crossBetween val="between"/>
      </c:valAx>
    </c:plotArea>
    <c:legend>
      <c:legendPos val="b"/>
      <c:overlay val="0"/>
      <c:txPr>
        <a:bodyPr/>
        <a:lstStyle/>
        <a:p>
          <a:pPr>
            <a:defRPr sz="900" b="0" i="0" u="none" strike="noStrike" baseline="0">
              <a:solidFill>
                <a:srgbClr val="000000"/>
              </a:solidFill>
              <a:latin typeface="Calibri"/>
              <a:ea typeface="Calibri"/>
              <a:cs typeface="Calibri"/>
            </a:defRPr>
          </a:pPr>
          <a:endParaRPr lang="es-CO"/>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1465" l="0.70000000000000062" r="0.70000000000000062" t="0.75000000000001465" header="0.30000000000000032" footer="0.30000000000000032"/>
    <c:pageSetup/>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20"/>
    </mc:Choice>
    <mc:Fallback>
      <c:style val="20"/>
    </mc:Fallback>
  </mc:AlternateContent>
  <c:chart>
    <c:autoTitleDeleted val="1"/>
    <c:view3D>
      <c:rotX val="15"/>
      <c:rotY val="20"/>
      <c:depthPercent val="100"/>
      <c:rAngAx val="1"/>
    </c:view3D>
    <c:floor>
      <c:thickness val="0"/>
    </c:floor>
    <c:sideWall>
      <c:thickness val="0"/>
    </c:sideWall>
    <c:backWall>
      <c:thickness val="0"/>
    </c:backWall>
    <c:plotArea>
      <c:layout/>
      <c:bar3DChart>
        <c:barDir val="col"/>
        <c:grouping val="clustered"/>
        <c:varyColors val="0"/>
        <c:ser>
          <c:idx val="6"/>
          <c:order val="0"/>
          <c:tx>
            <c:strRef>
              <c:f>'PARADAS P3'!$A$29</c:f>
              <c:strCache>
                <c:ptCount val="1"/>
                <c:pt idx="0">
                  <c:v>Cumplimiento Mantenimiento Preventivo</c:v>
                </c:pt>
              </c:strCache>
            </c:strRef>
          </c:tx>
          <c:spPr>
            <a:solidFill>
              <a:schemeClr val="accent5">
                <a:lumMod val="60000"/>
                <a:lumOff val="40000"/>
              </a:schemeClr>
            </a:solidFill>
          </c:spPr>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P3'!$B$6:$M$6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 P3'!$B$29:$M$29</c:f>
              <c:numCache>
                <c:formatCode>0.00</c:formatCode>
                <c:ptCount val="12"/>
                <c:pt idx="0">
                  <c:v>90</c:v>
                </c:pt>
                <c:pt idx="1">
                  <c:v>91</c:v>
                </c:pt>
                <c:pt idx="2">
                  <c:v>90.1</c:v>
                </c:pt>
                <c:pt idx="3">
                  <c:v>91.5</c:v>
                </c:pt>
                <c:pt idx="4">
                  <c:v>91.5</c:v>
                </c:pt>
                <c:pt idx="5">
                  <c:v>93.7</c:v>
                </c:pt>
                <c:pt idx="6">
                  <c:v>93.6</c:v>
                </c:pt>
                <c:pt idx="7">
                  <c:v>94.1</c:v>
                </c:pt>
                <c:pt idx="8">
                  <c:v>94</c:v>
                </c:pt>
                <c:pt idx="9">
                  <c:v>100</c:v>
                </c:pt>
                <c:pt idx="10">
                  <c:v>100</c:v>
                </c:pt>
                <c:pt idx="11">
                  <c:v>0</c:v>
                </c:pt>
              </c:numCache>
            </c:numRef>
          </c:val>
          <c:extLst>
            <c:ext xmlns:c16="http://schemas.microsoft.com/office/drawing/2014/chart" uri="{C3380CC4-5D6E-409C-BE32-E72D297353CC}">
              <c16:uniqueId val="{00000000-2A98-4A09-B44C-D0E1C1A97532}"/>
            </c:ext>
          </c:extLst>
        </c:ser>
        <c:dLbls>
          <c:showLegendKey val="0"/>
          <c:showVal val="0"/>
          <c:showCatName val="0"/>
          <c:showSerName val="0"/>
          <c:showPercent val="0"/>
          <c:showBubbleSize val="0"/>
        </c:dLbls>
        <c:gapWidth val="75"/>
        <c:shape val="box"/>
        <c:axId val="147614720"/>
        <c:axId val="147624704"/>
        <c:axId val="0"/>
      </c:bar3DChart>
      <c:dateAx>
        <c:axId val="147614720"/>
        <c:scaling>
          <c:orientation val="minMax"/>
        </c:scaling>
        <c:delete val="0"/>
        <c:axPos val="b"/>
        <c:numFmt formatCode="mmm\-yy" sourceLinked="0"/>
        <c:majorTickMark val="none"/>
        <c:minorTickMark val="none"/>
        <c:tickLblPos val="nextTo"/>
        <c:txPr>
          <a:bodyPr rot="0" vert="horz"/>
          <a:lstStyle/>
          <a:p>
            <a:pPr>
              <a:defRPr sz="800" b="0" i="0" u="none" strike="noStrike" baseline="0">
                <a:solidFill>
                  <a:srgbClr val="000000"/>
                </a:solidFill>
                <a:latin typeface="Calibri"/>
                <a:ea typeface="Calibri"/>
                <a:cs typeface="Calibri"/>
              </a:defRPr>
            </a:pPr>
            <a:endParaRPr lang="es-CO"/>
          </a:p>
        </c:txPr>
        <c:crossAx val="147624704"/>
        <c:crosses val="autoZero"/>
        <c:auto val="1"/>
        <c:lblOffset val="100"/>
        <c:baseTimeUnit val="months"/>
        <c:majorUnit val="1"/>
      </c:dateAx>
      <c:valAx>
        <c:axId val="147624704"/>
        <c:scaling>
          <c:orientation val="minMax"/>
          <c:max val="1"/>
        </c:scaling>
        <c:delete val="0"/>
        <c:axPos val="l"/>
        <c:numFmt formatCode="0.0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147614720"/>
        <c:crosses val="autoZero"/>
        <c:crossBetween val="between"/>
      </c:valAx>
      <c:spPr>
        <a:noFill/>
        <a:ln w="25400">
          <a:noFill/>
        </a:ln>
      </c:spPr>
    </c:plotArea>
    <c:legend>
      <c:legendPos val="b"/>
      <c:overlay val="0"/>
      <c:txPr>
        <a:bodyPr/>
        <a:lstStyle/>
        <a:p>
          <a:pPr>
            <a:defRPr sz="900" b="1" i="0" u="none" strike="noStrike" baseline="0">
              <a:solidFill>
                <a:srgbClr val="000000"/>
              </a:solidFill>
              <a:latin typeface="Calibri"/>
              <a:ea typeface="Calibri"/>
              <a:cs typeface="Calibri"/>
            </a:defRPr>
          </a:pPr>
          <a:endParaRPr lang="es-CO"/>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1000"/>
            </a:pPr>
            <a:r>
              <a:rPr lang="es-CO" sz="1000" b="1" i="0" u="none" strike="noStrike" baseline="0"/>
              <a:t>CONSUMO DE </a:t>
            </a:r>
            <a:r>
              <a:rPr lang="en-US"/>
              <a:t>ACEITE RBD</a:t>
            </a:r>
          </a:p>
        </c:rich>
      </c:tx>
      <c:overlay val="0"/>
    </c:title>
    <c:autoTitleDeleted val="0"/>
    <c:plotArea>
      <c:layout>
        <c:manualLayout>
          <c:layoutTarget val="inner"/>
          <c:xMode val="edge"/>
          <c:yMode val="edge"/>
          <c:x val="0.18547075236808269"/>
          <c:y val="0.13858383613248992"/>
          <c:w val="0.75144395771080075"/>
          <c:h val="0.5062902554153057"/>
        </c:manualLayout>
      </c:layout>
      <c:lineChart>
        <c:grouping val="standard"/>
        <c:varyColors val="0"/>
        <c:ser>
          <c:idx val="1"/>
          <c:order val="0"/>
          <c:tx>
            <c:v>RBD</c:v>
          </c:tx>
          <c:spPr>
            <a:ln w="22225"/>
          </c:spPr>
          <c:marker>
            <c:symbol val="circle"/>
            <c:size val="4"/>
          </c:marker>
          <c:dLbls>
            <c:numFmt formatCode="#,##0.0" sourceLinked="0"/>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'INDICADORES PRODUCCION'!$C$7:$N$7</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'INDICADORES PRODUCCION'!$C$25:$N$25</c:f>
              <c:numCache>
                <c:formatCode>0.00</c:formatCode>
                <c:ptCount val="12"/>
                <c:pt idx="0">
                  <c:v>914.66976121628943</c:v>
                </c:pt>
                <c:pt idx="1">
                  <c:v>925.56004238890421</c:v>
                </c:pt>
                <c:pt idx="2">
                  <c:v>897.8782555230481</c:v>
                </c:pt>
                <c:pt idx="3">
                  <c:v>913.635376309089</c:v>
                </c:pt>
                <c:pt idx="4">
                  <c:v>924.47375893891513</c:v>
                </c:pt>
                <c:pt idx="5">
                  <c:v>938.79305124400344</c:v>
                </c:pt>
                <c:pt idx="6">
                  <c:v>911.59910107548012</c:v>
                </c:pt>
                <c:pt idx="7">
                  <c:v>957.5630555292305</c:v>
                </c:pt>
                <c:pt idx="8">
                  <c:v>936.37700735179669</c:v>
                </c:pt>
                <c:pt idx="9">
                  <c:v>936.01542958403741</c:v>
                </c:pt>
                <c:pt idx="10">
                  <c:v>944.30227155780585</c:v>
                </c:pt>
                <c:pt idx="11">
                  <c:v>970.27847825119727</c:v>
                </c:pt>
              </c:numCache>
            </c:numRef>
          </c:val>
          <c:smooth val="0"/>
          <c:extLst>
            <c:ext xmlns:c16="http://schemas.microsoft.com/office/drawing/2014/chart" uri="{C3380CC4-5D6E-409C-BE32-E72D297353CC}">
              <c16:uniqueId val="{00000000-CDDF-4213-8F0B-AAB9F5DA8A20}"/>
            </c:ext>
          </c:extLst>
        </c:ser>
        <c:ser>
          <c:idx val="0"/>
          <c:order val="1"/>
          <c:tx>
            <c:v>Promedio</c:v>
          </c:tx>
          <c:spPr>
            <a:ln w="22225"/>
          </c:spPr>
          <c:marker>
            <c:symbol val="none"/>
          </c:marker>
          <c:cat>
            <c:numRef>
              <c:f>'INDICADORES PRODUCCION'!$C$7:$N$7</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('INDICADORES PRODUCCION'!$O$25,'INDICADORES PRODUCCION'!$O$25,'INDICADORES PRODUCCION'!$O$25,'INDICADORES PRODUCCION'!$O$25,'INDICADORES PRODUCCION'!$O$25,'INDICADORES PRODUCCION'!$O$25,'INDICADORES PRODUCCION'!$O$25,'INDICADORES PRODUCCION'!$O$25,'INDICADORES PRODUCCION'!$O$25,'INDICADORES PRODUCCION'!$O$25,'INDICADORES PRODUCCION'!$O$25,'INDICADORES PRODUCCION'!$O$25)</c:f>
              <c:numCache>
                <c:formatCode>0.00</c:formatCode>
                <c:ptCount val="12"/>
                <c:pt idx="0">
                  <c:v>930.98841230098719</c:v>
                </c:pt>
                <c:pt idx="1">
                  <c:v>930.98841230098719</c:v>
                </c:pt>
                <c:pt idx="2">
                  <c:v>930.98841230098719</c:v>
                </c:pt>
                <c:pt idx="3">
                  <c:v>930.98841230098719</c:v>
                </c:pt>
                <c:pt idx="4">
                  <c:v>930.98841230098719</c:v>
                </c:pt>
                <c:pt idx="5">
                  <c:v>930.98841230098719</c:v>
                </c:pt>
                <c:pt idx="6">
                  <c:v>930.98841230098719</c:v>
                </c:pt>
                <c:pt idx="7">
                  <c:v>930.98841230098719</c:v>
                </c:pt>
                <c:pt idx="8">
                  <c:v>930.98841230098719</c:v>
                </c:pt>
                <c:pt idx="9">
                  <c:v>930.98841230098719</c:v>
                </c:pt>
                <c:pt idx="10">
                  <c:v>930.98841230098719</c:v>
                </c:pt>
                <c:pt idx="11">
                  <c:v>930.98841230098719</c:v>
                </c:pt>
              </c:numCache>
            </c:numRef>
          </c:val>
          <c:smooth val="0"/>
          <c:extLst>
            <c:ext xmlns:c16="http://schemas.microsoft.com/office/drawing/2014/chart" uri="{C3380CC4-5D6E-409C-BE32-E72D297353CC}">
              <c16:uniqueId val="{00000001-CDDF-4213-8F0B-AAB9F5DA8A20}"/>
            </c:ext>
          </c:extLst>
        </c:ser>
        <c:dLbls>
          <c:showLegendKey val="0"/>
          <c:showVal val="0"/>
          <c:showCatName val="0"/>
          <c:showSerName val="0"/>
          <c:showPercent val="0"/>
          <c:showBubbleSize val="0"/>
        </c:dLbls>
        <c:marker val="1"/>
        <c:smooth val="0"/>
        <c:axId val="124299136"/>
        <c:axId val="124300672"/>
      </c:lineChart>
      <c:lineChart>
        <c:grouping val="standard"/>
        <c:varyColors val="0"/>
        <c:ser>
          <c:idx val="2"/>
          <c:order val="2"/>
          <c:tx>
            <c:v>B100 - P1</c:v>
          </c:tx>
          <c:cat>
            <c:numRef>
              <c:f>'INDICADORES PRODUCCION'!$C$7:$N$7</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'INDICADORES PRODUCCION'!$C$8:$N$8</c:f>
              <c:numCache>
                <c:formatCode>_-* #,##0.00\ _€_-;\-* #,##0.00\ _€_-;_-* "-"??\ _€_-;_-@_-</c:formatCode>
                <c:ptCount val="12"/>
                <c:pt idx="0">
                  <c:v>5964.8959999999997</c:v>
                </c:pt>
                <c:pt idx="1">
                  <c:v>5355.1750000000002</c:v>
                </c:pt>
                <c:pt idx="2">
                  <c:v>9342.1239999999998</c:v>
                </c:pt>
                <c:pt idx="3">
                  <c:v>7241.7730000000001</c:v>
                </c:pt>
                <c:pt idx="4">
                  <c:v>5968.9849999999997</c:v>
                </c:pt>
                <c:pt idx="5">
                  <c:v>9049.3320000000003</c:v>
                </c:pt>
                <c:pt idx="6">
                  <c:v>9116.6720000000005</c:v>
                </c:pt>
                <c:pt idx="7">
                  <c:v>7164.6769999999997</c:v>
                </c:pt>
                <c:pt idx="8">
                  <c:v>8011.2389999999996</c:v>
                </c:pt>
                <c:pt idx="9">
                  <c:v>7086.6459999999997</c:v>
                </c:pt>
                <c:pt idx="10">
                  <c:v>8166.1139999999996</c:v>
                </c:pt>
                <c:pt idx="11">
                  <c:v>8361.0120000000006</c:v>
                </c:pt>
              </c:numCache>
            </c:numRef>
          </c:val>
          <c:smooth val="0"/>
          <c:extLst>
            <c:ext xmlns:c16="http://schemas.microsoft.com/office/drawing/2014/chart" uri="{C3380CC4-5D6E-409C-BE32-E72D297353CC}">
              <c16:uniqueId val="{00000002-CDDF-4213-8F0B-AAB9F5DA8A20}"/>
            </c:ext>
          </c:extLst>
        </c:ser>
        <c:dLbls>
          <c:showLegendKey val="0"/>
          <c:showVal val="0"/>
          <c:showCatName val="0"/>
          <c:showSerName val="0"/>
          <c:showPercent val="0"/>
          <c:showBubbleSize val="0"/>
        </c:dLbls>
        <c:marker val="1"/>
        <c:smooth val="0"/>
        <c:axId val="125045760"/>
        <c:axId val="125044224"/>
      </c:lineChart>
      <c:dateAx>
        <c:axId val="124299136"/>
        <c:scaling>
          <c:orientation val="minMax"/>
        </c:scaling>
        <c:delete val="0"/>
        <c:axPos val="b"/>
        <c:numFmt formatCode="mmm\-yy" sourceLinked="0"/>
        <c:majorTickMark val="none"/>
        <c:minorTickMark val="none"/>
        <c:tickLblPos val="nextTo"/>
        <c:txPr>
          <a:bodyPr rot="0" vert="horz"/>
          <a:lstStyle/>
          <a:p>
            <a:pPr>
              <a:defRPr/>
            </a:pPr>
            <a:endParaRPr lang="es-CO"/>
          </a:p>
        </c:txPr>
        <c:crossAx val="124300672"/>
        <c:crosses val="autoZero"/>
        <c:auto val="1"/>
        <c:lblOffset val="100"/>
        <c:baseTimeUnit val="months"/>
      </c:dateAx>
      <c:valAx>
        <c:axId val="124300672"/>
        <c:scaling>
          <c:orientation val="minMax"/>
          <c:max val="1050"/>
          <c:min val="800"/>
        </c:scaling>
        <c:delete val="0"/>
        <c:axPos val="l"/>
        <c:majorGridlines/>
        <c:title>
          <c:tx>
            <c:rich>
              <a:bodyPr/>
              <a:lstStyle/>
              <a:p>
                <a:pPr>
                  <a:defRPr/>
                </a:pPr>
                <a:r>
                  <a:rPr lang="es-CO"/>
                  <a:t>kg/Ton B100</a:t>
                </a:r>
              </a:p>
            </c:rich>
          </c:tx>
          <c:layout>
            <c:manualLayout>
              <c:xMode val="edge"/>
              <c:yMode val="edge"/>
              <c:x val="8.5048010973936897E-2"/>
              <c:y val="0.25045800070838875"/>
            </c:manualLayout>
          </c:layout>
          <c:overlay val="0"/>
        </c:title>
        <c:numFmt formatCode="0" sourceLinked="0"/>
        <c:majorTickMark val="none"/>
        <c:minorTickMark val="none"/>
        <c:tickLblPos val="nextTo"/>
        <c:txPr>
          <a:bodyPr rot="0" vert="horz"/>
          <a:lstStyle/>
          <a:p>
            <a:pPr>
              <a:defRPr/>
            </a:pPr>
            <a:endParaRPr lang="es-CO"/>
          </a:p>
        </c:txPr>
        <c:crossAx val="124299136"/>
        <c:crosses val="autoZero"/>
        <c:crossBetween val="between"/>
      </c:valAx>
      <c:valAx>
        <c:axId val="125044224"/>
        <c:scaling>
          <c:orientation val="minMax"/>
          <c:min val="0"/>
        </c:scaling>
        <c:delete val="1"/>
        <c:axPos val="r"/>
        <c:numFmt formatCode="_-* #,##0.00\ _€_-;\-* #,##0.00\ _€_-;_-* &quot;-&quot;??\ _€_-;_-@_-" sourceLinked="1"/>
        <c:majorTickMark val="out"/>
        <c:minorTickMark val="none"/>
        <c:tickLblPos val="none"/>
        <c:crossAx val="125045760"/>
        <c:crosses val="max"/>
        <c:crossBetween val="between"/>
      </c:valAx>
      <c:dateAx>
        <c:axId val="125045760"/>
        <c:scaling>
          <c:orientation val="minMax"/>
        </c:scaling>
        <c:delete val="1"/>
        <c:axPos val="b"/>
        <c:numFmt formatCode="mmm\-yy" sourceLinked="1"/>
        <c:majorTickMark val="out"/>
        <c:minorTickMark val="none"/>
        <c:tickLblPos val="none"/>
        <c:crossAx val="125044224"/>
        <c:crosses val="autoZero"/>
        <c:auto val="1"/>
        <c:lblOffset val="100"/>
        <c:baseTimeUnit val="months"/>
      </c:dateAx>
      <c:dTable>
        <c:showHorzBorder val="1"/>
        <c:showVertBorder val="1"/>
        <c:showOutline val="1"/>
        <c:showKeys val="1"/>
      </c:dTable>
      <c:spPr>
        <a:ln>
          <a:solidFill>
            <a:sysClr val="windowText" lastClr="000000"/>
          </a:solidFill>
        </a:ln>
      </c:spPr>
    </c:plotArea>
    <c:plotVisOnly val="1"/>
    <c:dispBlanksAs val="gap"/>
    <c:showDLblsOverMax val="0"/>
  </c:chart>
  <c:txPr>
    <a:bodyPr/>
    <a:lstStyle/>
    <a:p>
      <a:pPr>
        <a:defRPr sz="800"/>
      </a:pPr>
      <a:endParaRPr lang="es-CO"/>
    </a:p>
  </c:txPr>
  <c:printSettings>
    <c:headerFooter/>
    <c:pageMargins b="0.75000000000001465" l="0.70000000000000062" r="0.70000000000000062" t="0.75000000000001465" header="0.30000000000000032" footer="0.30000000000000032"/>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Calibri"/>
                <a:ea typeface="Calibri"/>
                <a:cs typeface="Calibri"/>
              </a:defRPr>
            </a:pPr>
            <a:r>
              <a:rPr lang="es-CO"/>
              <a:t>Cuadro Resumen de Horas de Parada</a:t>
            </a:r>
          </a:p>
        </c:rich>
      </c:tx>
      <c:overlay val="0"/>
    </c:title>
    <c:autoTitleDeleted val="0"/>
    <c:view3D>
      <c:rotX val="10"/>
      <c:rotY val="10"/>
      <c:depthPercent val="100"/>
      <c:rAngAx val="1"/>
    </c:view3D>
    <c:floor>
      <c:thickness val="0"/>
    </c:floor>
    <c:sideWall>
      <c:thickness val="0"/>
      <c:spPr>
        <a:ln>
          <a:solidFill>
            <a:schemeClr val="accent1"/>
          </a:solidFill>
        </a:ln>
      </c:spPr>
    </c:sideWall>
    <c:backWall>
      <c:thickness val="0"/>
      <c:spPr>
        <a:ln>
          <a:solidFill>
            <a:schemeClr val="accent1"/>
          </a:solidFill>
        </a:ln>
      </c:spPr>
    </c:backWall>
    <c:plotArea>
      <c:layout/>
      <c:bar3DChart>
        <c:barDir val="col"/>
        <c:grouping val="clustered"/>
        <c:varyColors val="0"/>
        <c:ser>
          <c:idx val="0"/>
          <c:order val="0"/>
          <c:tx>
            <c:strRef>
              <c:f>'PARADAS P3'!$A$7</c:f>
              <c:strCache>
                <c:ptCount val="1"/>
                <c:pt idx="0">
                  <c:v>Arranque/parada-post/pre mantenimiento programado</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P3'!$B$6:$M$6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 P3'!$B$7:$M$7</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62DF-432D-9AF6-818D4F9A680B}"/>
            </c:ext>
          </c:extLst>
        </c:ser>
        <c:ser>
          <c:idx val="1"/>
          <c:order val="1"/>
          <c:tx>
            <c:strRef>
              <c:f>'PARADAS P3'!$A$8</c:f>
              <c:strCache>
                <c:ptCount val="1"/>
                <c:pt idx="0">
                  <c:v>Mantenimiento programado</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P3'!$B$6:$M$6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 P3'!$B$8:$M$8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62DF-432D-9AF6-818D4F9A680B}"/>
            </c:ext>
          </c:extLst>
        </c:ser>
        <c:ser>
          <c:idx val="2"/>
          <c:order val="2"/>
          <c:tx>
            <c:strRef>
              <c:f>'PARADAS P3'!$A$9</c:f>
              <c:strCache>
                <c:ptCount val="1"/>
                <c:pt idx="0">
                  <c:v>Mecánicas</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P3'!$B$6:$M$6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 P3'!$B$9:$M$9</c:f>
              <c:numCache>
                <c:formatCode>0.00</c:formatCode>
                <c:ptCount val="12"/>
                <c:pt idx="0">
                  <c:v>0</c:v>
                </c:pt>
                <c:pt idx="1">
                  <c:v>0</c:v>
                </c:pt>
                <c:pt idx="2">
                  <c:v>0</c:v>
                </c:pt>
                <c:pt idx="3">
                  <c:v>0</c:v>
                </c:pt>
                <c:pt idx="4">
                  <c:v>0</c:v>
                </c:pt>
                <c:pt idx="5">
                  <c:v>0</c:v>
                </c:pt>
                <c:pt idx="6">
                  <c:v>2.5</c:v>
                </c:pt>
                <c:pt idx="7">
                  <c:v>0</c:v>
                </c:pt>
                <c:pt idx="8">
                  <c:v>0</c:v>
                </c:pt>
                <c:pt idx="9">
                  <c:v>0</c:v>
                </c:pt>
                <c:pt idx="10">
                  <c:v>0</c:v>
                </c:pt>
                <c:pt idx="11">
                  <c:v>0</c:v>
                </c:pt>
              </c:numCache>
            </c:numRef>
          </c:val>
          <c:extLst>
            <c:ext xmlns:c16="http://schemas.microsoft.com/office/drawing/2014/chart" uri="{C3380CC4-5D6E-409C-BE32-E72D297353CC}">
              <c16:uniqueId val="{00000002-62DF-432D-9AF6-818D4F9A680B}"/>
            </c:ext>
          </c:extLst>
        </c:ser>
        <c:ser>
          <c:idx val="3"/>
          <c:order val="3"/>
          <c:tx>
            <c:strRef>
              <c:f>'PARADAS P3'!$A$10</c:f>
              <c:strCache>
                <c:ptCount val="1"/>
                <c:pt idx="0">
                  <c:v>Operativas programada</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P3'!$B$6:$M$6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 P3'!$B$10:$M$10</c:f>
              <c:numCache>
                <c:formatCode>0.00</c:formatCode>
                <c:ptCount val="12"/>
                <c:pt idx="0">
                  <c:v>482</c:v>
                </c:pt>
                <c:pt idx="1">
                  <c:v>592</c:v>
                </c:pt>
                <c:pt idx="2">
                  <c:v>427</c:v>
                </c:pt>
                <c:pt idx="3">
                  <c:v>553</c:v>
                </c:pt>
                <c:pt idx="4">
                  <c:v>570</c:v>
                </c:pt>
                <c:pt idx="5">
                  <c:v>506.6</c:v>
                </c:pt>
                <c:pt idx="6">
                  <c:v>484</c:v>
                </c:pt>
                <c:pt idx="7">
                  <c:v>608.5</c:v>
                </c:pt>
                <c:pt idx="8">
                  <c:v>576</c:v>
                </c:pt>
                <c:pt idx="9">
                  <c:v>462</c:v>
                </c:pt>
                <c:pt idx="10">
                  <c:v>563</c:v>
                </c:pt>
                <c:pt idx="11">
                  <c:v>599</c:v>
                </c:pt>
              </c:numCache>
            </c:numRef>
          </c:val>
          <c:extLst>
            <c:ext xmlns:c16="http://schemas.microsoft.com/office/drawing/2014/chart" uri="{C3380CC4-5D6E-409C-BE32-E72D297353CC}">
              <c16:uniqueId val="{00000003-62DF-432D-9AF6-818D4F9A680B}"/>
            </c:ext>
          </c:extLst>
        </c:ser>
        <c:ser>
          <c:idx val="4"/>
          <c:order val="4"/>
          <c:tx>
            <c:strRef>
              <c:f>'PARADAS P3'!$A$11</c:f>
              <c:strCache>
                <c:ptCount val="1"/>
                <c:pt idx="0">
                  <c:v>Falla de instrumentos</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P3'!$B$6:$M$6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 P3'!$B$11:$M$11</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62DF-432D-9AF6-818D4F9A680B}"/>
            </c:ext>
          </c:extLst>
        </c:ser>
        <c:ser>
          <c:idx val="5"/>
          <c:order val="5"/>
          <c:tx>
            <c:strRef>
              <c:f>'PARADAS P3'!$A$12</c:f>
              <c:strCache>
                <c:ptCount val="1"/>
                <c:pt idx="0">
                  <c:v>Eléctricas internas</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P3'!$B$6:$M$6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 P3'!$B$12:$M$12</c:f>
              <c:numCache>
                <c:formatCode>0.00</c:formatCode>
                <c:ptCount val="12"/>
                <c:pt idx="0">
                  <c:v>0</c:v>
                </c:pt>
                <c:pt idx="1">
                  <c:v>0</c:v>
                </c:pt>
                <c:pt idx="2">
                  <c:v>0</c:v>
                </c:pt>
                <c:pt idx="3">
                  <c:v>0</c:v>
                </c:pt>
                <c:pt idx="4">
                  <c:v>0</c:v>
                </c:pt>
                <c:pt idx="5">
                  <c:v>0</c:v>
                </c:pt>
                <c:pt idx="6">
                  <c:v>0</c:v>
                </c:pt>
                <c:pt idx="7">
                  <c:v>0</c:v>
                </c:pt>
                <c:pt idx="8">
                  <c:v>0</c:v>
                </c:pt>
                <c:pt idx="9">
                  <c:v>0.5</c:v>
                </c:pt>
                <c:pt idx="10">
                  <c:v>0</c:v>
                </c:pt>
                <c:pt idx="11">
                  <c:v>0</c:v>
                </c:pt>
              </c:numCache>
            </c:numRef>
          </c:val>
          <c:extLst>
            <c:ext xmlns:c16="http://schemas.microsoft.com/office/drawing/2014/chart" uri="{C3380CC4-5D6E-409C-BE32-E72D297353CC}">
              <c16:uniqueId val="{00000005-62DF-432D-9AF6-818D4F9A680B}"/>
            </c:ext>
          </c:extLst>
        </c:ser>
        <c:ser>
          <c:idx val="6"/>
          <c:order val="6"/>
          <c:tx>
            <c:strRef>
              <c:f>'PARADAS P3'!$A$13</c:f>
              <c:strCache>
                <c:ptCount val="1"/>
                <c:pt idx="0">
                  <c:v>Eléctricas externas</c:v>
                </c:pt>
              </c:strCache>
            </c:strRef>
          </c:tx>
          <c:invertIfNegative val="0"/>
          <c:cat>
            <c:numRef>
              <c:f>'PARADAS P3'!$B$6:$M$6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 P3'!$B$13:$M$13</c:f>
              <c:numCache>
                <c:formatCode>0.00</c:formatCode>
                <c:ptCount val="12"/>
                <c:pt idx="0">
                  <c:v>1</c:v>
                </c:pt>
                <c:pt idx="1">
                  <c:v>0</c:v>
                </c:pt>
                <c:pt idx="2">
                  <c:v>0</c:v>
                </c:pt>
                <c:pt idx="3">
                  <c:v>0</c:v>
                </c:pt>
                <c:pt idx="4">
                  <c:v>4</c:v>
                </c:pt>
                <c:pt idx="5">
                  <c:v>7.5</c:v>
                </c:pt>
                <c:pt idx="6">
                  <c:v>0</c:v>
                </c:pt>
                <c:pt idx="7">
                  <c:v>0</c:v>
                </c:pt>
                <c:pt idx="8">
                  <c:v>0</c:v>
                </c:pt>
                <c:pt idx="9">
                  <c:v>0</c:v>
                </c:pt>
                <c:pt idx="10">
                  <c:v>0</c:v>
                </c:pt>
                <c:pt idx="11">
                  <c:v>0</c:v>
                </c:pt>
              </c:numCache>
            </c:numRef>
          </c:val>
          <c:extLst>
            <c:ext xmlns:c16="http://schemas.microsoft.com/office/drawing/2014/chart" uri="{C3380CC4-5D6E-409C-BE32-E72D297353CC}">
              <c16:uniqueId val="{00000006-62DF-432D-9AF6-818D4F9A680B}"/>
            </c:ext>
          </c:extLst>
        </c:ser>
        <c:ser>
          <c:idx val="7"/>
          <c:order val="7"/>
          <c:tx>
            <c:strRef>
              <c:f>'PARADAS P3'!$A$14</c:f>
              <c:strCache>
                <c:ptCount val="1"/>
                <c:pt idx="0">
                  <c:v>Fallas/mtto calderas</c:v>
                </c:pt>
              </c:strCache>
            </c:strRef>
          </c:tx>
          <c:invertIfNegative val="0"/>
          <c:cat>
            <c:numRef>
              <c:f>'PARADAS P3'!$B$6:$M$6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 P3'!$B$14:$M$14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7-62DF-432D-9AF6-818D4F9A680B}"/>
            </c:ext>
          </c:extLst>
        </c:ser>
        <c:ser>
          <c:idx val="8"/>
          <c:order val="8"/>
          <c:tx>
            <c:strRef>
              <c:f>'PARADAS P3'!$A$15</c:f>
              <c:strCache>
                <c:ptCount val="1"/>
                <c:pt idx="0">
                  <c:v>Fallas/mtto calderin</c:v>
                </c:pt>
              </c:strCache>
            </c:strRef>
          </c:tx>
          <c:invertIfNegative val="0"/>
          <c:cat>
            <c:numRef>
              <c:f>'PARADAS P3'!$B$6:$M$6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 P3'!$B$15:$M$15</c:f>
              <c:numCache>
                <c:formatCode>0.00</c:formatCode>
                <c:ptCount val="12"/>
                <c:pt idx="0">
                  <c:v>0</c:v>
                </c:pt>
                <c:pt idx="1">
                  <c:v>4</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8-62DF-432D-9AF6-818D4F9A680B}"/>
            </c:ext>
          </c:extLst>
        </c:ser>
        <c:ser>
          <c:idx val="10"/>
          <c:order val="9"/>
          <c:tx>
            <c:strRef>
              <c:f>'PARADAS P3'!$A$16</c:f>
              <c:strCache>
                <c:ptCount val="1"/>
                <c:pt idx="0">
                  <c:v>Altos inventarios de Aceite Sintetico</c:v>
                </c:pt>
              </c:strCache>
            </c:strRef>
          </c:tx>
          <c:invertIfNegative val="0"/>
          <c:val>
            <c:numRef>
              <c:f>'PARADAS P3'!$B$16:$M$16</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9-62DF-432D-9AF6-818D4F9A680B}"/>
            </c:ext>
          </c:extLst>
        </c:ser>
        <c:ser>
          <c:idx val="11"/>
          <c:order val="10"/>
          <c:tx>
            <c:strRef>
              <c:f>'PARADAS P3'!$A$17</c:f>
              <c:strCache>
                <c:ptCount val="1"/>
                <c:pt idx="0">
                  <c:v>Falta de insumos</c:v>
                </c:pt>
              </c:strCache>
            </c:strRef>
          </c:tx>
          <c:invertIfNegative val="0"/>
          <c:val>
            <c:numRef>
              <c:f>'PARADAS P3'!$B$17:$M$17</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A-62DF-432D-9AF6-818D4F9A680B}"/>
            </c:ext>
          </c:extLst>
        </c:ser>
        <c:ser>
          <c:idx val="12"/>
          <c:order val="11"/>
          <c:tx>
            <c:strRef>
              <c:f>'PARADAS P3'!$A$18</c:f>
              <c:strCache>
                <c:ptCount val="1"/>
                <c:pt idx="0">
                  <c:v>Eventos naturales y emergencias</c:v>
                </c:pt>
              </c:strCache>
            </c:strRef>
          </c:tx>
          <c:invertIfNegative val="0"/>
          <c:val>
            <c:numRef>
              <c:f>'PARADAS P3'!$B$18:$M$18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B-62DF-432D-9AF6-818D4F9A680B}"/>
            </c:ext>
          </c:extLst>
        </c:ser>
        <c:ser>
          <c:idx val="9"/>
          <c:order val="12"/>
          <c:tx>
            <c:strRef>
              <c:f>'PARADAS P3'!#REF!</c:f>
              <c:strCache>
                <c:ptCount val="1"/>
                <c:pt idx="0">
                  <c:v>#REF!</c:v>
                </c:pt>
              </c:strCache>
            </c:strRef>
          </c:tx>
          <c:invertIfNegative val="0"/>
          <c:cat>
            <c:numRef>
              <c:f>'PARADAS P3'!$B$6:$M$6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 P3'!#REF!</c:f>
              <c:numCache>
                <c:formatCode>General</c:formatCode>
                <c:ptCount val="1"/>
                <c:pt idx="0">
                  <c:v>1</c:v>
                </c:pt>
              </c:numCache>
            </c:numRef>
          </c:val>
          <c:extLst>
            <c:ext xmlns:c16="http://schemas.microsoft.com/office/drawing/2014/chart" uri="{C3380CC4-5D6E-409C-BE32-E72D297353CC}">
              <c16:uniqueId val="{0000000C-62DF-432D-9AF6-818D4F9A680B}"/>
            </c:ext>
          </c:extLst>
        </c:ser>
        <c:dLbls>
          <c:showLegendKey val="0"/>
          <c:showVal val="0"/>
          <c:showCatName val="0"/>
          <c:showSerName val="0"/>
          <c:showPercent val="0"/>
          <c:showBubbleSize val="0"/>
        </c:dLbls>
        <c:gapWidth val="75"/>
        <c:shape val="box"/>
        <c:axId val="148100608"/>
        <c:axId val="148102144"/>
        <c:axId val="0"/>
      </c:bar3DChart>
      <c:dateAx>
        <c:axId val="148100608"/>
        <c:scaling>
          <c:orientation val="minMax"/>
        </c:scaling>
        <c:delete val="0"/>
        <c:axPos val="b"/>
        <c:numFmt formatCode="mmm\-yy" sourceLinked="0"/>
        <c:majorTickMark val="none"/>
        <c:minorTickMark val="none"/>
        <c:tickLblPos val="nextTo"/>
        <c:txPr>
          <a:bodyPr rot="0" vert="horz"/>
          <a:lstStyle/>
          <a:p>
            <a:pPr>
              <a:defRPr sz="800" b="0" i="0" u="none" strike="noStrike" baseline="0">
                <a:solidFill>
                  <a:srgbClr val="000000"/>
                </a:solidFill>
                <a:latin typeface="Calibri"/>
                <a:ea typeface="Calibri"/>
                <a:cs typeface="Calibri"/>
              </a:defRPr>
            </a:pPr>
            <a:endParaRPr lang="es-CO"/>
          </a:p>
        </c:txPr>
        <c:crossAx val="148102144"/>
        <c:crosses val="autoZero"/>
        <c:auto val="1"/>
        <c:lblOffset val="100"/>
        <c:baseTimeUnit val="months"/>
        <c:majorUnit val="1"/>
      </c:dateAx>
      <c:valAx>
        <c:axId val="148102144"/>
        <c:scaling>
          <c:orientation val="minMax"/>
        </c:scaling>
        <c:delete val="0"/>
        <c:axPos val="l"/>
        <c:majorGridlines/>
        <c:numFmt formatCode="#,##0" sourceLinked="0"/>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es-CO"/>
          </a:p>
        </c:txPr>
        <c:crossAx val="148100608"/>
        <c:crosses val="autoZero"/>
        <c:crossBetween val="between"/>
      </c:valAx>
      <c:spPr>
        <a:noFill/>
        <a:ln w="25400">
          <a:noFill/>
        </a:ln>
      </c:spPr>
    </c:plotArea>
    <c:legend>
      <c:legendPos val="b"/>
      <c:overlay val="0"/>
      <c:txPr>
        <a:bodyPr/>
        <a:lstStyle/>
        <a:p>
          <a:pPr>
            <a:defRPr sz="700" b="0" i="0" u="none" strike="noStrike" baseline="0">
              <a:solidFill>
                <a:srgbClr val="000000"/>
              </a:solidFill>
              <a:latin typeface="Calibri"/>
              <a:ea typeface="Calibri"/>
              <a:cs typeface="Calibri"/>
            </a:defRPr>
          </a:pPr>
          <a:endParaRPr lang="es-CO"/>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1465" l="0.70000000000000062" r="0.70000000000000062" t="0.75000000000001465" header="0.30000000000000032" footer="0.30000000000000032"/>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Calibri"/>
                <a:ea typeface="Calibri"/>
                <a:cs typeface="Calibri"/>
              </a:defRPr>
            </a:pPr>
            <a:r>
              <a:rPr lang="es-CO"/>
              <a:t>Cuadro Resumen de Toneladas perdidas por paradas</a:t>
            </a:r>
          </a:p>
        </c:rich>
      </c:tx>
      <c:overlay val="0"/>
    </c:title>
    <c:autoTitleDeleted val="0"/>
    <c:view3D>
      <c:rotX val="10"/>
      <c:rotY val="10"/>
      <c:depthPercent val="100"/>
      <c:rAngAx val="1"/>
    </c:view3D>
    <c:floor>
      <c:thickness val="0"/>
    </c:floor>
    <c:sideWall>
      <c:thickness val="0"/>
      <c:spPr>
        <a:ln>
          <a:solidFill>
            <a:schemeClr val="accent1"/>
          </a:solidFill>
        </a:ln>
      </c:spPr>
    </c:sideWall>
    <c:backWall>
      <c:thickness val="0"/>
      <c:spPr>
        <a:ln>
          <a:solidFill>
            <a:schemeClr val="accent1"/>
          </a:solidFill>
        </a:ln>
      </c:spPr>
    </c:backWall>
    <c:plotArea>
      <c:layout/>
      <c:bar3DChart>
        <c:barDir val="col"/>
        <c:grouping val="clustered"/>
        <c:varyColors val="0"/>
        <c:ser>
          <c:idx val="0"/>
          <c:order val="0"/>
          <c:tx>
            <c:strRef>
              <c:f>'PARADAS P3'!$A$7</c:f>
              <c:strCache>
                <c:ptCount val="1"/>
                <c:pt idx="0">
                  <c:v>Arranque/parada-post/pre mantenimiento programado</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P3'!$B$6:$M$6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 P3'!$X$7:$AI$7</c:f>
              <c:numCache>
                <c:formatCode>0.0</c:formatCode>
                <c:ptCount val="12"/>
              </c:numCache>
            </c:numRef>
          </c:val>
          <c:extLst>
            <c:ext xmlns:c16="http://schemas.microsoft.com/office/drawing/2014/chart" uri="{C3380CC4-5D6E-409C-BE32-E72D297353CC}">
              <c16:uniqueId val="{00000000-F6DF-40D3-88C0-C5AA434ABD44}"/>
            </c:ext>
          </c:extLst>
        </c:ser>
        <c:ser>
          <c:idx val="1"/>
          <c:order val="1"/>
          <c:tx>
            <c:strRef>
              <c:f>PARADAS!#REF!</c:f>
              <c:strCache>
                <c:ptCount val="1"/>
                <c:pt idx="0">
                  <c:v>#REF!</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P3'!$B$6:$M$6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PARADAS!#REF!</c:f>
              <c:numCache>
                <c:formatCode>General</c:formatCode>
                <c:ptCount val="1"/>
                <c:pt idx="0">
                  <c:v>1</c:v>
                </c:pt>
              </c:numCache>
            </c:numRef>
          </c:val>
          <c:extLst>
            <c:ext xmlns:c16="http://schemas.microsoft.com/office/drawing/2014/chart" uri="{C3380CC4-5D6E-409C-BE32-E72D297353CC}">
              <c16:uniqueId val="{00000001-F6DF-40D3-88C0-C5AA434ABD44}"/>
            </c:ext>
          </c:extLst>
        </c:ser>
        <c:ser>
          <c:idx val="2"/>
          <c:order val="2"/>
          <c:tx>
            <c:strRef>
              <c:f>PARADAS!#REF!</c:f>
              <c:strCache>
                <c:ptCount val="1"/>
                <c:pt idx="0">
                  <c:v>#REF!</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P3'!$B$6:$M$6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PARADAS!#REF!</c:f>
              <c:numCache>
                <c:formatCode>General</c:formatCode>
                <c:ptCount val="1"/>
                <c:pt idx="0">
                  <c:v>1</c:v>
                </c:pt>
              </c:numCache>
            </c:numRef>
          </c:val>
          <c:extLst>
            <c:ext xmlns:c16="http://schemas.microsoft.com/office/drawing/2014/chart" uri="{C3380CC4-5D6E-409C-BE32-E72D297353CC}">
              <c16:uniqueId val="{00000002-F6DF-40D3-88C0-C5AA434ABD44}"/>
            </c:ext>
          </c:extLst>
        </c:ser>
        <c:ser>
          <c:idx val="3"/>
          <c:order val="3"/>
          <c:tx>
            <c:strRef>
              <c:f>PARADAS!#REF!</c:f>
              <c:strCache>
                <c:ptCount val="1"/>
                <c:pt idx="0">
                  <c:v>#REF!</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P3'!$B$6:$M$6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PARADAS!#REF!</c:f>
              <c:numCache>
                <c:formatCode>General</c:formatCode>
                <c:ptCount val="1"/>
                <c:pt idx="0">
                  <c:v>1</c:v>
                </c:pt>
              </c:numCache>
            </c:numRef>
          </c:val>
          <c:extLst>
            <c:ext xmlns:c16="http://schemas.microsoft.com/office/drawing/2014/chart" uri="{C3380CC4-5D6E-409C-BE32-E72D297353CC}">
              <c16:uniqueId val="{00000003-F6DF-40D3-88C0-C5AA434ABD44}"/>
            </c:ext>
          </c:extLst>
        </c:ser>
        <c:ser>
          <c:idx val="4"/>
          <c:order val="4"/>
          <c:tx>
            <c:strRef>
              <c:f>PARADAS!#REF!</c:f>
              <c:strCache>
                <c:ptCount val="1"/>
                <c:pt idx="0">
                  <c:v>#REF!</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P3'!$B$6:$M$6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PARADAS!#REF!</c:f>
              <c:numCache>
                <c:formatCode>General</c:formatCode>
                <c:ptCount val="1"/>
                <c:pt idx="0">
                  <c:v>1</c:v>
                </c:pt>
              </c:numCache>
            </c:numRef>
          </c:val>
          <c:extLst>
            <c:ext xmlns:c16="http://schemas.microsoft.com/office/drawing/2014/chart" uri="{C3380CC4-5D6E-409C-BE32-E72D297353CC}">
              <c16:uniqueId val="{00000004-F6DF-40D3-88C0-C5AA434ABD44}"/>
            </c:ext>
          </c:extLst>
        </c:ser>
        <c:ser>
          <c:idx val="5"/>
          <c:order val="5"/>
          <c:tx>
            <c:strRef>
              <c:f>PARADAS!#REF!</c:f>
              <c:strCache>
                <c:ptCount val="1"/>
                <c:pt idx="0">
                  <c:v>#REF!</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P3'!$B$6:$M$6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PARADAS!#REF!</c:f>
              <c:numCache>
                <c:formatCode>General</c:formatCode>
                <c:ptCount val="1"/>
                <c:pt idx="0">
                  <c:v>1</c:v>
                </c:pt>
              </c:numCache>
            </c:numRef>
          </c:val>
          <c:extLst>
            <c:ext xmlns:c16="http://schemas.microsoft.com/office/drawing/2014/chart" uri="{C3380CC4-5D6E-409C-BE32-E72D297353CC}">
              <c16:uniqueId val="{00000005-F6DF-40D3-88C0-C5AA434ABD44}"/>
            </c:ext>
          </c:extLst>
        </c:ser>
        <c:ser>
          <c:idx val="6"/>
          <c:order val="6"/>
          <c:tx>
            <c:strRef>
              <c:f>PARADAS!#REF!</c:f>
              <c:strCache>
                <c:ptCount val="1"/>
                <c:pt idx="0">
                  <c:v>#REF!</c:v>
                </c:pt>
              </c:strCache>
            </c:strRef>
          </c:tx>
          <c:invertIfNegative val="0"/>
          <c:cat>
            <c:numRef>
              <c:f>'PARADAS P3'!$B$6:$M$6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PARADAS!#REF!</c:f>
              <c:numCache>
                <c:formatCode>General</c:formatCode>
                <c:ptCount val="1"/>
                <c:pt idx="0">
                  <c:v>1</c:v>
                </c:pt>
              </c:numCache>
            </c:numRef>
          </c:val>
          <c:extLst>
            <c:ext xmlns:c16="http://schemas.microsoft.com/office/drawing/2014/chart" uri="{C3380CC4-5D6E-409C-BE32-E72D297353CC}">
              <c16:uniqueId val="{00000006-F6DF-40D3-88C0-C5AA434ABD44}"/>
            </c:ext>
          </c:extLst>
        </c:ser>
        <c:ser>
          <c:idx val="7"/>
          <c:order val="7"/>
          <c:tx>
            <c:strRef>
              <c:f>PARADAS!#REF!</c:f>
              <c:strCache>
                <c:ptCount val="1"/>
                <c:pt idx="0">
                  <c:v>#REF!</c:v>
                </c:pt>
              </c:strCache>
            </c:strRef>
          </c:tx>
          <c:invertIfNegative val="0"/>
          <c:cat>
            <c:numRef>
              <c:f>'PARADAS P3'!$B$6:$M$6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PARADAS!#REF!</c:f>
              <c:numCache>
                <c:formatCode>General</c:formatCode>
                <c:ptCount val="1"/>
                <c:pt idx="0">
                  <c:v>1</c:v>
                </c:pt>
              </c:numCache>
            </c:numRef>
          </c:val>
          <c:extLst>
            <c:ext xmlns:c16="http://schemas.microsoft.com/office/drawing/2014/chart" uri="{C3380CC4-5D6E-409C-BE32-E72D297353CC}">
              <c16:uniqueId val="{00000007-F6DF-40D3-88C0-C5AA434ABD44}"/>
            </c:ext>
          </c:extLst>
        </c:ser>
        <c:ser>
          <c:idx val="8"/>
          <c:order val="8"/>
          <c:tx>
            <c:strRef>
              <c:f>PARADAS!#REF!</c:f>
              <c:strCache>
                <c:ptCount val="1"/>
                <c:pt idx="0">
                  <c:v>#REF!</c:v>
                </c:pt>
              </c:strCache>
            </c:strRef>
          </c:tx>
          <c:invertIfNegative val="0"/>
          <c:cat>
            <c:numRef>
              <c:f>'PARADAS P3'!$B$6:$M$6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PARADAS!#REF!</c:f>
              <c:numCache>
                <c:formatCode>General</c:formatCode>
                <c:ptCount val="1"/>
                <c:pt idx="0">
                  <c:v>1</c:v>
                </c:pt>
              </c:numCache>
            </c:numRef>
          </c:val>
          <c:extLst>
            <c:ext xmlns:c16="http://schemas.microsoft.com/office/drawing/2014/chart" uri="{C3380CC4-5D6E-409C-BE32-E72D297353CC}">
              <c16:uniqueId val="{00000008-F6DF-40D3-88C0-C5AA434ABD44}"/>
            </c:ext>
          </c:extLst>
        </c:ser>
        <c:ser>
          <c:idx val="9"/>
          <c:order val="9"/>
          <c:tx>
            <c:strRef>
              <c:f>'PARADAS P3'!#REF!</c:f>
              <c:strCache>
                <c:ptCount val="1"/>
                <c:pt idx="0">
                  <c:v>#REF!</c:v>
                </c:pt>
              </c:strCache>
            </c:strRef>
          </c:tx>
          <c:invertIfNegative val="0"/>
          <c:cat>
            <c:numRef>
              <c:f>'PARADAS P3'!$B$6:$M$6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'PARADAS P3'!#REF!</c:f>
              <c:numCache>
                <c:formatCode>General</c:formatCode>
                <c:ptCount val="1"/>
                <c:pt idx="0">
                  <c:v>1</c:v>
                </c:pt>
              </c:numCache>
            </c:numRef>
          </c:val>
          <c:extLst>
            <c:ext xmlns:c16="http://schemas.microsoft.com/office/drawing/2014/chart" uri="{C3380CC4-5D6E-409C-BE32-E72D297353CC}">
              <c16:uniqueId val="{00000009-F6DF-40D3-88C0-C5AA434ABD44}"/>
            </c:ext>
          </c:extLst>
        </c:ser>
        <c:dLbls>
          <c:showLegendKey val="0"/>
          <c:showVal val="0"/>
          <c:showCatName val="0"/>
          <c:showSerName val="0"/>
          <c:showPercent val="0"/>
          <c:showBubbleSize val="0"/>
        </c:dLbls>
        <c:gapWidth val="75"/>
        <c:shape val="box"/>
        <c:axId val="148206720"/>
        <c:axId val="148208256"/>
        <c:axId val="0"/>
      </c:bar3DChart>
      <c:dateAx>
        <c:axId val="148206720"/>
        <c:scaling>
          <c:orientation val="minMax"/>
        </c:scaling>
        <c:delete val="0"/>
        <c:axPos val="b"/>
        <c:numFmt formatCode="mmm\-yy" sourceLinked="0"/>
        <c:majorTickMark val="none"/>
        <c:minorTickMark val="none"/>
        <c:tickLblPos val="nextTo"/>
        <c:txPr>
          <a:bodyPr rot="0" vert="horz"/>
          <a:lstStyle/>
          <a:p>
            <a:pPr>
              <a:defRPr sz="800" b="0" i="0" u="none" strike="noStrike" baseline="0">
                <a:solidFill>
                  <a:srgbClr val="000000"/>
                </a:solidFill>
                <a:latin typeface="Calibri"/>
                <a:ea typeface="Calibri"/>
                <a:cs typeface="Calibri"/>
              </a:defRPr>
            </a:pPr>
            <a:endParaRPr lang="es-CO"/>
          </a:p>
        </c:txPr>
        <c:crossAx val="148208256"/>
        <c:crosses val="autoZero"/>
        <c:auto val="1"/>
        <c:lblOffset val="100"/>
        <c:baseTimeUnit val="months"/>
        <c:majorUnit val="1"/>
      </c:dateAx>
      <c:valAx>
        <c:axId val="148208256"/>
        <c:scaling>
          <c:orientation val="minMax"/>
        </c:scaling>
        <c:delete val="0"/>
        <c:axPos val="l"/>
        <c:majorGridlines/>
        <c:numFmt formatCode="#,##0" sourceLinked="0"/>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es-CO"/>
          </a:p>
        </c:txPr>
        <c:crossAx val="148206720"/>
        <c:crosses val="autoZero"/>
        <c:crossBetween val="between"/>
      </c:valAx>
      <c:spPr>
        <a:noFill/>
        <a:ln w="25400">
          <a:noFill/>
        </a:ln>
      </c:spPr>
    </c:plotArea>
    <c:legend>
      <c:legendPos val="b"/>
      <c:overlay val="0"/>
      <c:txPr>
        <a:bodyPr/>
        <a:lstStyle/>
        <a:p>
          <a:pPr>
            <a:defRPr sz="700" b="0" i="0" u="none" strike="noStrike" baseline="0">
              <a:solidFill>
                <a:srgbClr val="000000"/>
              </a:solidFill>
              <a:latin typeface="Calibri"/>
              <a:ea typeface="Calibri"/>
              <a:cs typeface="Calibri"/>
            </a:defRPr>
          </a:pPr>
          <a:endParaRPr lang="es-CO"/>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1465" l="0.70000000000000062" r="0.70000000000000062" t="0.75000000000001465" header="0.30000000000000032" footer="0.30000000000000032"/>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'INDICADORES MANTENIMIENTO P1'!$A$7</c:f>
          <c:strCache>
            <c:ptCount val="1"/>
            <c:pt idx="0">
              <c:v>Disponibilidad de Planta Transesterificación (%)</c:v>
            </c:pt>
          </c:strCache>
        </c:strRef>
      </c:tx>
      <c:layout>
        <c:manualLayout>
          <c:xMode val="edge"/>
          <c:yMode val="edge"/>
          <c:x val="0.10779550951853177"/>
          <c:y val="6.2350119904076934E-2"/>
        </c:manualLayout>
      </c:layout>
      <c:overlay val="0"/>
      <c:txPr>
        <a:bodyPr/>
        <a:lstStyle/>
        <a:p>
          <a:pPr>
            <a:defRPr sz="1600"/>
          </a:pPr>
          <a:endParaRPr lang="es-CO"/>
        </a:p>
      </c:txPr>
    </c:title>
    <c:autoTitleDeleted val="0"/>
    <c:plotArea>
      <c:layout>
        <c:manualLayout>
          <c:layoutTarget val="inner"/>
          <c:xMode val="edge"/>
          <c:yMode val="edge"/>
          <c:x val="0.14052553578102644"/>
          <c:y val="0.27585528427651584"/>
          <c:w val="0.7924867947656139"/>
          <c:h val="0.45827564719877639"/>
        </c:manualLayout>
      </c:layout>
      <c:barChart>
        <c:barDir val="col"/>
        <c:grouping val="clustered"/>
        <c:varyColors val="0"/>
        <c:ser>
          <c:idx val="0"/>
          <c:order val="0"/>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'INDICADORES MANTENIMIENTO P1'!$C$6:$N$6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'INDICADORES MANTENIMIENTO P1'!$C$7:$N$7</c:f>
              <c:numCache>
                <c:formatCode>0.00</c:formatCode>
                <c:ptCount val="12"/>
                <c:pt idx="0">
                  <c:v>100</c:v>
                </c:pt>
                <c:pt idx="1">
                  <c:v>100</c:v>
                </c:pt>
                <c:pt idx="2">
                  <c:v>99.9</c:v>
                </c:pt>
                <c:pt idx="3">
                  <c:v>97.7</c:v>
                </c:pt>
                <c:pt idx="4">
                  <c:v>98.54</c:v>
                </c:pt>
                <c:pt idx="5">
                  <c:v>96.5</c:v>
                </c:pt>
                <c:pt idx="6">
                  <c:v>99.3</c:v>
                </c:pt>
                <c:pt idx="7">
                  <c:v>93.27</c:v>
                </c:pt>
                <c:pt idx="8">
                  <c:v>100</c:v>
                </c:pt>
                <c:pt idx="9">
                  <c:v>100</c:v>
                </c:pt>
                <c:pt idx="10">
                  <c:v>99.5</c:v>
                </c:pt>
              </c:numCache>
            </c:numRef>
          </c:val>
          <c:extLst>
            <c:ext xmlns:c16="http://schemas.microsoft.com/office/drawing/2014/chart" uri="{C3380CC4-5D6E-409C-BE32-E72D297353CC}">
              <c16:uniqueId val="{00000000-8C28-4A19-B305-1FA4D615CB92}"/>
            </c:ext>
          </c:extLst>
        </c:ser>
        <c:dLbls>
          <c:showLegendKey val="0"/>
          <c:showVal val="0"/>
          <c:showCatName val="0"/>
          <c:showSerName val="0"/>
          <c:showPercent val="0"/>
          <c:showBubbleSize val="0"/>
        </c:dLbls>
        <c:gapWidth val="150"/>
        <c:axId val="148268544"/>
        <c:axId val="148270464"/>
      </c:barChart>
      <c:lineChart>
        <c:grouping val="standard"/>
        <c:varyColors val="0"/>
        <c:ser>
          <c:idx val="1"/>
          <c:order val="1"/>
          <c:marker>
            <c:symbol val="none"/>
          </c:marker>
          <c:cat>
            <c:numRef>
              <c:f>'INDICADORES MANTENIMIENTO P1'!$C$6:$N$6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('INDICADORES MANTENIMIENTO P1'!$B$7,'INDICADORES MANTENIMIENTO P1'!$B$7,'INDICADORES MANTENIMIENTO P1'!$B$7,'INDICADORES MANTENIMIENTO P1'!$B$7,'INDICADORES MANTENIMIENTO P1'!$B$7,'INDICADORES MANTENIMIENTO P1'!$B$7,'INDICADORES MANTENIMIENTO P1'!$B$7,'INDICADORES MANTENIMIENTO P1'!$B$7,'INDICADORES MANTENIMIENTO P1'!$B$7,'INDICADORES MANTENIMIENTO P1'!$B$7,'INDICADORES MANTENIMIENTO P1'!$B$7,'INDICADORES MANTENIMIENTO P1'!$B$7)</c:f>
              <c:numCache>
                <c:formatCode>0.00</c:formatCode>
                <c:ptCount val="12"/>
                <c:pt idx="0">
                  <c:v>95</c:v>
                </c:pt>
                <c:pt idx="1">
                  <c:v>95</c:v>
                </c:pt>
                <c:pt idx="2">
                  <c:v>95</c:v>
                </c:pt>
                <c:pt idx="3">
                  <c:v>95</c:v>
                </c:pt>
                <c:pt idx="4">
                  <c:v>95</c:v>
                </c:pt>
                <c:pt idx="5">
                  <c:v>95</c:v>
                </c:pt>
                <c:pt idx="6">
                  <c:v>95</c:v>
                </c:pt>
                <c:pt idx="7">
                  <c:v>95</c:v>
                </c:pt>
                <c:pt idx="8">
                  <c:v>95</c:v>
                </c:pt>
                <c:pt idx="9">
                  <c:v>95</c:v>
                </c:pt>
                <c:pt idx="10">
                  <c:v>95</c:v>
                </c:pt>
                <c:pt idx="11">
                  <c:v>95</c:v>
                </c:pt>
              </c:numCache>
            </c:numRef>
          </c:val>
          <c:smooth val="0"/>
          <c:extLst>
            <c:ext xmlns:c16="http://schemas.microsoft.com/office/drawing/2014/chart" uri="{C3380CC4-5D6E-409C-BE32-E72D297353CC}">
              <c16:uniqueId val="{00000001-8C28-4A19-B305-1FA4D615CB92}"/>
            </c:ext>
          </c:extLst>
        </c:ser>
        <c:dLbls>
          <c:showLegendKey val="0"/>
          <c:showVal val="0"/>
          <c:showCatName val="0"/>
          <c:showSerName val="0"/>
          <c:showPercent val="0"/>
          <c:showBubbleSize val="0"/>
        </c:dLbls>
        <c:marker val="1"/>
        <c:smooth val="0"/>
        <c:axId val="148268544"/>
        <c:axId val="148270464"/>
      </c:lineChart>
      <c:dateAx>
        <c:axId val="148268544"/>
        <c:scaling>
          <c:orientation val="minMax"/>
        </c:scaling>
        <c:delete val="0"/>
        <c:axPos val="b"/>
        <c:title>
          <c:tx>
            <c:rich>
              <a:bodyPr/>
              <a:lstStyle/>
              <a:p>
                <a:pPr>
                  <a:defRPr/>
                </a:pPr>
                <a:r>
                  <a:rPr lang="es-CO"/>
                  <a:t>Mes</a:t>
                </a:r>
              </a:p>
            </c:rich>
          </c:tx>
          <c:layout>
            <c:manualLayout>
              <c:xMode val="edge"/>
              <c:yMode val="edge"/>
              <c:x val="0.47525388203479912"/>
              <c:y val="0.91181517777903653"/>
            </c:manualLayout>
          </c:layout>
          <c:overlay val="0"/>
        </c:title>
        <c:numFmt formatCode="mmm\-yy" sourceLinked="0"/>
        <c:majorTickMark val="none"/>
        <c:minorTickMark val="none"/>
        <c:tickLblPos val="nextTo"/>
        <c:crossAx val="148270464"/>
        <c:crosses val="autoZero"/>
        <c:auto val="1"/>
        <c:lblOffset val="100"/>
        <c:baseTimeUnit val="months"/>
      </c:dateAx>
      <c:valAx>
        <c:axId val="148270464"/>
        <c:scaling>
          <c:orientation val="minMax"/>
          <c:max val="100"/>
          <c:min val="80"/>
        </c:scaling>
        <c:delete val="0"/>
        <c:axPos val="l"/>
        <c:title>
          <c:tx>
            <c:rich>
              <a:bodyPr rot="-5400000" vert="horz"/>
              <a:lstStyle/>
              <a:p>
                <a:pPr>
                  <a:defRPr/>
                </a:pPr>
                <a:r>
                  <a:rPr lang="es-CO"/>
                  <a:t>% Disponibilidad</a:t>
                </a:r>
              </a:p>
            </c:rich>
          </c:tx>
          <c:layout>
            <c:manualLayout>
              <c:xMode val="edge"/>
              <c:yMode val="edge"/>
              <c:x val="3.0743376329296166E-2"/>
              <c:y val="0.3286130780415038"/>
            </c:manualLayout>
          </c:layout>
          <c:overlay val="0"/>
        </c:title>
        <c:numFmt formatCode="0" sourceLinked="0"/>
        <c:majorTickMark val="none"/>
        <c:minorTickMark val="none"/>
        <c:tickLblPos val="nextTo"/>
        <c:crossAx val="148268544"/>
        <c:crosses val="autoZero"/>
        <c:crossBetween val="between"/>
        <c:majorUnit val="5"/>
        <c:minorUnit val="5"/>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'INDICADORES MANTENIMIENTO P1'!$A$8</c:f>
          <c:strCache>
            <c:ptCount val="1"/>
            <c:pt idx="0">
              <c:v>Disponibilidad de Planta Esterificación (%)</c:v>
            </c:pt>
          </c:strCache>
        </c:strRef>
      </c:tx>
      <c:layout>
        <c:manualLayout>
          <c:xMode val="edge"/>
          <c:yMode val="edge"/>
          <c:x val="0.1695899242541207"/>
          <c:y val="4.9060960403205532E-2"/>
        </c:manualLayout>
      </c:layout>
      <c:overlay val="0"/>
      <c:txPr>
        <a:bodyPr/>
        <a:lstStyle/>
        <a:p>
          <a:pPr>
            <a:defRPr sz="1600"/>
          </a:pPr>
          <a:endParaRPr lang="es-CO"/>
        </a:p>
      </c:txPr>
    </c:title>
    <c:autoTitleDeleted val="0"/>
    <c:plotArea>
      <c:layout>
        <c:manualLayout>
          <c:layoutTarget val="inner"/>
          <c:xMode val="edge"/>
          <c:yMode val="edge"/>
          <c:x val="0.14052553578102644"/>
          <c:y val="0.27585528427651584"/>
          <c:w val="0.79248679476561346"/>
          <c:h val="0.45827564719877639"/>
        </c:manualLayout>
      </c:layout>
      <c:barChart>
        <c:barDir val="col"/>
        <c:grouping val="clustered"/>
        <c:varyColors val="0"/>
        <c:ser>
          <c:idx val="0"/>
          <c:order val="0"/>
          <c:invertIfNegative val="0"/>
          <c:dLbls>
            <c:numFmt formatCode="#,##0" sourceLinked="0"/>
            <c:spPr>
              <a:noFill/>
              <a:ln w="25400">
                <a:noFill/>
              </a:ln>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'INDICADORES MANTENIMIENTO P1'!$C$6:$N$6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'INDICADORES MANTENIMIENTO P1'!$C$8:$N$8</c:f>
              <c:numCache>
                <c:formatCode>0.00</c:formatCode>
                <c:ptCount val="12"/>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0-E1F8-4042-8687-914AF9869CF6}"/>
            </c:ext>
          </c:extLst>
        </c:ser>
        <c:dLbls>
          <c:showLegendKey val="0"/>
          <c:showVal val="0"/>
          <c:showCatName val="0"/>
          <c:showSerName val="0"/>
          <c:showPercent val="0"/>
          <c:showBubbleSize val="0"/>
        </c:dLbls>
        <c:gapWidth val="150"/>
        <c:axId val="148317696"/>
        <c:axId val="148319616"/>
      </c:barChart>
      <c:lineChart>
        <c:grouping val="standard"/>
        <c:varyColors val="0"/>
        <c:ser>
          <c:idx val="1"/>
          <c:order val="1"/>
          <c:marker>
            <c:symbol val="none"/>
          </c:marker>
          <c:cat>
            <c:numRef>
              <c:f>'INDICADORES MANTENIMIENTO P1'!$C$6:$N$6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('INDICADORES MANTENIMIENTO P1'!$B$8,'INDICADORES MANTENIMIENTO P1'!$B$8,'INDICADORES MANTENIMIENTO P1'!$B$8,'INDICADORES MANTENIMIENTO P1'!$B$8,'INDICADORES MANTENIMIENTO P1'!$B$8,'INDICADORES MANTENIMIENTO P1'!$B$8,'INDICADORES MANTENIMIENTO P1'!$B$8,'INDICADORES MANTENIMIENTO P1'!$B$8,'INDICADORES MANTENIMIENTO P1'!$B$8,'INDICADORES MANTENIMIENTO P1'!$B$8,'INDICADORES MANTENIMIENTO P1'!$B$8,'INDICADORES MANTENIMIENTO P1'!$B$8)</c:f>
              <c:numCache>
                <c:formatCode>0.00</c:formatCode>
                <c:ptCount val="12"/>
                <c:pt idx="0">
                  <c:v>95</c:v>
                </c:pt>
                <c:pt idx="1">
                  <c:v>95</c:v>
                </c:pt>
                <c:pt idx="2">
                  <c:v>95</c:v>
                </c:pt>
                <c:pt idx="3">
                  <c:v>95</c:v>
                </c:pt>
                <c:pt idx="4">
                  <c:v>95</c:v>
                </c:pt>
                <c:pt idx="5">
                  <c:v>95</c:v>
                </c:pt>
                <c:pt idx="6">
                  <c:v>95</c:v>
                </c:pt>
                <c:pt idx="7">
                  <c:v>95</c:v>
                </c:pt>
                <c:pt idx="8">
                  <c:v>95</c:v>
                </c:pt>
                <c:pt idx="9">
                  <c:v>95</c:v>
                </c:pt>
                <c:pt idx="10">
                  <c:v>95</c:v>
                </c:pt>
                <c:pt idx="11">
                  <c:v>95</c:v>
                </c:pt>
              </c:numCache>
            </c:numRef>
          </c:val>
          <c:smooth val="0"/>
          <c:extLst>
            <c:ext xmlns:c16="http://schemas.microsoft.com/office/drawing/2014/chart" uri="{C3380CC4-5D6E-409C-BE32-E72D297353CC}">
              <c16:uniqueId val="{00000001-E1F8-4042-8687-914AF9869CF6}"/>
            </c:ext>
          </c:extLst>
        </c:ser>
        <c:dLbls>
          <c:showLegendKey val="0"/>
          <c:showVal val="0"/>
          <c:showCatName val="0"/>
          <c:showSerName val="0"/>
          <c:showPercent val="0"/>
          <c:showBubbleSize val="0"/>
        </c:dLbls>
        <c:marker val="1"/>
        <c:smooth val="0"/>
        <c:axId val="148317696"/>
        <c:axId val="148319616"/>
      </c:lineChart>
      <c:dateAx>
        <c:axId val="148317696"/>
        <c:scaling>
          <c:orientation val="minMax"/>
        </c:scaling>
        <c:delete val="0"/>
        <c:axPos val="b"/>
        <c:title>
          <c:tx>
            <c:rich>
              <a:bodyPr/>
              <a:lstStyle/>
              <a:p>
                <a:pPr>
                  <a:defRPr/>
                </a:pPr>
                <a:r>
                  <a:rPr lang="es-CO"/>
                  <a:t>Mes</a:t>
                </a:r>
              </a:p>
            </c:rich>
          </c:tx>
          <c:layout>
            <c:manualLayout>
              <c:xMode val="edge"/>
              <c:yMode val="edge"/>
              <c:x val="0.47525388203479912"/>
              <c:y val="0.91181517777903653"/>
            </c:manualLayout>
          </c:layout>
          <c:overlay val="0"/>
        </c:title>
        <c:numFmt formatCode="mmm\-yy" sourceLinked="0"/>
        <c:majorTickMark val="none"/>
        <c:minorTickMark val="none"/>
        <c:tickLblPos val="nextTo"/>
        <c:crossAx val="148319616"/>
        <c:crosses val="autoZero"/>
        <c:auto val="1"/>
        <c:lblOffset val="100"/>
        <c:baseTimeUnit val="months"/>
      </c:dateAx>
      <c:valAx>
        <c:axId val="148319616"/>
        <c:scaling>
          <c:orientation val="minMax"/>
          <c:max val="100"/>
          <c:min val="80"/>
        </c:scaling>
        <c:delete val="0"/>
        <c:axPos val="l"/>
        <c:title>
          <c:tx>
            <c:rich>
              <a:bodyPr rot="-5400000" vert="horz"/>
              <a:lstStyle/>
              <a:p>
                <a:pPr>
                  <a:defRPr/>
                </a:pPr>
                <a:r>
                  <a:rPr lang="es-CO"/>
                  <a:t>% Disponibilidad</a:t>
                </a:r>
              </a:p>
            </c:rich>
          </c:tx>
          <c:layout>
            <c:manualLayout>
              <c:xMode val="edge"/>
              <c:yMode val="edge"/>
              <c:x val="3.0743376329296183E-2"/>
              <c:y val="0.3286130780415038"/>
            </c:manualLayout>
          </c:layout>
          <c:overlay val="0"/>
        </c:title>
        <c:numFmt formatCode="0" sourceLinked="0"/>
        <c:majorTickMark val="none"/>
        <c:minorTickMark val="none"/>
        <c:tickLblPos val="nextTo"/>
        <c:crossAx val="148317696"/>
        <c:crosses val="autoZero"/>
        <c:crossBetween val="between"/>
        <c:majorUnit val="5"/>
        <c:minorUnit val="0.4"/>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'INDICADORES MANTENIMIENTO P1'!$A$9</c:f>
          <c:strCache>
            <c:ptCount val="1"/>
            <c:pt idx="0">
              <c:v>Paradas por Mantenimiento Correctivo (%)</c:v>
            </c:pt>
          </c:strCache>
        </c:strRef>
      </c:tx>
      <c:layout>
        <c:manualLayout>
          <c:xMode val="edge"/>
          <c:yMode val="edge"/>
          <c:x val="0.16721321599505945"/>
          <c:y val="5.7553956834533446E-2"/>
        </c:manualLayout>
      </c:layout>
      <c:overlay val="0"/>
      <c:txPr>
        <a:bodyPr/>
        <a:lstStyle/>
        <a:p>
          <a:pPr>
            <a:defRPr sz="1600"/>
          </a:pPr>
          <a:endParaRPr lang="es-CO"/>
        </a:p>
      </c:txPr>
    </c:title>
    <c:autoTitleDeleted val="0"/>
    <c:plotArea>
      <c:layout>
        <c:manualLayout>
          <c:layoutTarget val="inner"/>
          <c:xMode val="edge"/>
          <c:yMode val="edge"/>
          <c:x val="0.14052553578102644"/>
          <c:y val="0.27585528427651584"/>
          <c:w val="0.79248679476561346"/>
          <c:h val="0.45827564719877639"/>
        </c:manualLayout>
      </c:layout>
      <c:barChart>
        <c:barDir val="col"/>
        <c:grouping val="clustered"/>
        <c:varyColors val="0"/>
        <c:ser>
          <c:idx val="0"/>
          <c:order val="0"/>
          <c:invertIfNegative val="0"/>
          <c:dLbls>
            <c:numFmt formatCode="#,##0.0" sourceLinked="0"/>
            <c:spPr>
              <a:noFill/>
              <a:ln w="25400">
                <a:noFill/>
              </a:ln>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'INDICADORES MANTENIMIENTO P1'!$C$6:$N$6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'INDICADORES MANTENIMIENTO P1'!$C$9:$N$9</c:f>
              <c:numCache>
                <c:formatCode>0.00</c:formatCode>
                <c:ptCount val="12"/>
                <c:pt idx="0">
                  <c:v>0</c:v>
                </c:pt>
                <c:pt idx="1">
                  <c:v>0</c:v>
                </c:pt>
                <c:pt idx="2">
                  <c:v>0.14000000000000001</c:v>
                </c:pt>
                <c:pt idx="3">
                  <c:v>0.33</c:v>
                </c:pt>
                <c:pt idx="4">
                  <c:v>1.46</c:v>
                </c:pt>
                <c:pt idx="5">
                  <c:v>0.27</c:v>
                </c:pt>
                <c:pt idx="6">
                  <c:v>0</c:v>
                </c:pt>
                <c:pt idx="7">
                  <c:v>6.7</c:v>
                </c:pt>
                <c:pt idx="8">
                  <c:v>0</c:v>
                </c:pt>
                <c:pt idx="9">
                  <c:v>0</c:v>
                </c:pt>
                <c:pt idx="10">
                  <c:v>3.2</c:v>
                </c:pt>
              </c:numCache>
            </c:numRef>
          </c:val>
          <c:extLst>
            <c:ext xmlns:c16="http://schemas.microsoft.com/office/drawing/2014/chart" uri="{C3380CC4-5D6E-409C-BE32-E72D297353CC}">
              <c16:uniqueId val="{00000000-5AE9-4FDC-B6C4-278F26ACFEAA}"/>
            </c:ext>
          </c:extLst>
        </c:ser>
        <c:dLbls>
          <c:showLegendKey val="0"/>
          <c:showVal val="0"/>
          <c:showCatName val="0"/>
          <c:showSerName val="0"/>
          <c:showPercent val="0"/>
          <c:showBubbleSize val="0"/>
        </c:dLbls>
        <c:gapWidth val="150"/>
        <c:axId val="148346368"/>
        <c:axId val="148348288"/>
      </c:barChart>
      <c:lineChart>
        <c:grouping val="standard"/>
        <c:varyColors val="0"/>
        <c:ser>
          <c:idx val="1"/>
          <c:order val="1"/>
          <c:marker>
            <c:symbol val="none"/>
          </c:marker>
          <c:cat>
            <c:numRef>
              <c:f>'INDICADORES MANTENIMIENTO P1'!$C$6:$N$6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('INDICADORES MANTENIMIENTO P1'!$B$9,'INDICADORES MANTENIMIENTO P1'!$B$9,'INDICADORES MANTENIMIENTO P1'!$B$9,'INDICADORES MANTENIMIENTO P1'!$B$9,'INDICADORES MANTENIMIENTO P1'!$B$9,'INDICADORES MANTENIMIENTO P1'!$B$9,'INDICADORES MANTENIMIENTO P1'!$B$9,'INDICADORES MANTENIMIENTO P1'!$B$9,'INDICADORES MANTENIMIENTO P1'!$B$9,'INDICADORES MANTENIMIENTO P1'!$B$9,'INDICADORES MANTENIMIENTO P1'!$B$9,'INDICADORES MANTENIMIENTO P1'!$B$9)</c:f>
              <c:numCache>
                <c:formatCode>0.00</c:formatCode>
                <c:ptCount val="12"/>
                <c:pt idx="0">
                  <c:v>3.3</c:v>
                </c:pt>
                <c:pt idx="1">
                  <c:v>3.3</c:v>
                </c:pt>
                <c:pt idx="2">
                  <c:v>3.3</c:v>
                </c:pt>
                <c:pt idx="3">
                  <c:v>3.3</c:v>
                </c:pt>
                <c:pt idx="4">
                  <c:v>3.3</c:v>
                </c:pt>
                <c:pt idx="5">
                  <c:v>3.3</c:v>
                </c:pt>
                <c:pt idx="6">
                  <c:v>3.3</c:v>
                </c:pt>
                <c:pt idx="7">
                  <c:v>3.3</c:v>
                </c:pt>
                <c:pt idx="8">
                  <c:v>3.3</c:v>
                </c:pt>
                <c:pt idx="9">
                  <c:v>3.3</c:v>
                </c:pt>
                <c:pt idx="10">
                  <c:v>3.3</c:v>
                </c:pt>
                <c:pt idx="11">
                  <c:v>3.3</c:v>
                </c:pt>
              </c:numCache>
            </c:numRef>
          </c:val>
          <c:smooth val="0"/>
          <c:extLst>
            <c:ext xmlns:c16="http://schemas.microsoft.com/office/drawing/2014/chart" uri="{C3380CC4-5D6E-409C-BE32-E72D297353CC}">
              <c16:uniqueId val="{00000001-5AE9-4FDC-B6C4-278F26ACFEAA}"/>
            </c:ext>
          </c:extLst>
        </c:ser>
        <c:dLbls>
          <c:showLegendKey val="0"/>
          <c:showVal val="0"/>
          <c:showCatName val="0"/>
          <c:showSerName val="0"/>
          <c:showPercent val="0"/>
          <c:showBubbleSize val="0"/>
        </c:dLbls>
        <c:marker val="1"/>
        <c:smooth val="0"/>
        <c:axId val="148346368"/>
        <c:axId val="148348288"/>
      </c:lineChart>
      <c:dateAx>
        <c:axId val="148346368"/>
        <c:scaling>
          <c:orientation val="minMax"/>
        </c:scaling>
        <c:delete val="0"/>
        <c:axPos val="b"/>
        <c:title>
          <c:tx>
            <c:rich>
              <a:bodyPr/>
              <a:lstStyle/>
              <a:p>
                <a:pPr>
                  <a:defRPr/>
                </a:pPr>
                <a:r>
                  <a:rPr lang="es-CO"/>
                  <a:t>Mes</a:t>
                </a:r>
              </a:p>
            </c:rich>
          </c:tx>
          <c:layout>
            <c:manualLayout>
              <c:xMode val="edge"/>
              <c:yMode val="edge"/>
              <c:x val="0.47525388203479912"/>
              <c:y val="0.91181517777903653"/>
            </c:manualLayout>
          </c:layout>
          <c:overlay val="0"/>
        </c:title>
        <c:numFmt formatCode="mmm\-yy" sourceLinked="0"/>
        <c:majorTickMark val="none"/>
        <c:minorTickMark val="none"/>
        <c:tickLblPos val="nextTo"/>
        <c:crossAx val="148348288"/>
        <c:crosses val="autoZero"/>
        <c:auto val="1"/>
        <c:lblOffset val="100"/>
        <c:baseTimeUnit val="months"/>
      </c:dateAx>
      <c:valAx>
        <c:axId val="148348288"/>
        <c:scaling>
          <c:orientation val="minMax"/>
          <c:max val="15"/>
          <c:min val="0"/>
        </c:scaling>
        <c:delete val="0"/>
        <c:axPos val="l"/>
        <c:title>
          <c:tx>
            <c:rich>
              <a:bodyPr rot="-5400000" vert="horz"/>
              <a:lstStyle/>
              <a:p>
                <a:pPr>
                  <a:defRPr/>
                </a:pPr>
                <a:r>
                  <a:rPr lang="es-CO"/>
                  <a:t>%Paradas</a:t>
                </a:r>
              </a:p>
            </c:rich>
          </c:tx>
          <c:layout>
            <c:manualLayout>
              <c:xMode val="edge"/>
              <c:yMode val="edge"/>
              <c:x val="3.0743376329296183E-2"/>
              <c:y val="0.3286130780415038"/>
            </c:manualLayout>
          </c:layout>
          <c:overlay val="0"/>
        </c:title>
        <c:numFmt formatCode="0" sourceLinked="0"/>
        <c:majorTickMark val="none"/>
        <c:minorTickMark val="none"/>
        <c:tickLblPos val="nextTo"/>
        <c:crossAx val="148346368"/>
        <c:crosses val="autoZero"/>
        <c:crossBetween val="between"/>
        <c:majorUnit val="5"/>
        <c:minorUnit val="1"/>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'INDICADORES MANTENIMIENTO P1'!$A$10</c:f>
          <c:strCache>
            <c:ptCount val="1"/>
            <c:pt idx="0">
              <c:v>Reproceso (%)</c:v>
            </c:pt>
          </c:strCache>
        </c:strRef>
      </c:tx>
      <c:layout>
        <c:manualLayout>
          <c:xMode val="edge"/>
          <c:yMode val="edge"/>
          <c:x val="0.39300050060588038"/>
          <c:y val="6.2350119904076934E-2"/>
        </c:manualLayout>
      </c:layout>
      <c:overlay val="0"/>
      <c:txPr>
        <a:bodyPr/>
        <a:lstStyle/>
        <a:p>
          <a:pPr>
            <a:defRPr sz="1600"/>
          </a:pPr>
          <a:endParaRPr lang="es-CO"/>
        </a:p>
      </c:txPr>
    </c:title>
    <c:autoTitleDeleted val="0"/>
    <c:plotArea>
      <c:layout>
        <c:manualLayout>
          <c:layoutTarget val="inner"/>
          <c:xMode val="edge"/>
          <c:yMode val="edge"/>
          <c:x val="0.14052553578102644"/>
          <c:y val="0.27585528427651584"/>
          <c:w val="0.79248679476561312"/>
          <c:h val="0.45827564719877639"/>
        </c:manualLayout>
      </c:layout>
      <c:barChart>
        <c:barDir val="col"/>
        <c:grouping val="clustered"/>
        <c:varyColors val="0"/>
        <c:ser>
          <c:idx val="0"/>
          <c:order val="0"/>
          <c:invertIfNegative val="0"/>
          <c:dLbls>
            <c:numFmt formatCode="#,##0.0" sourceLinked="0"/>
            <c:spPr>
              <a:noFill/>
              <a:ln w="25400">
                <a:noFill/>
              </a:ln>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'INDICADORES MANTENIMIENTO P1'!$C$6:$N$6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'INDICADORES MANTENIMIENTO P1'!$C$10:$N$10</c:f>
              <c:numCache>
                <c:formatCode>0.00</c:formatCode>
                <c:ptCount val="12"/>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0-C703-412B-9182-0BDF538AF31D}"/>
            </c:ext>
          </c:extLst>
        </c:ser>
        <c:dLbls>
          <c:showLegendKey val="0"/>
          <c:showVal val="0"/>
          <c:showCatName val="0"/>
          <c:showSerName val="0"/>
          <c:showPercent val="0"/>
          <c:showBubbleSize val="0"/>
        </c:dLbls>
        <c:gapWidth val="150"/>
        <c:axId val="148469248"/>
        <c:axId val="148471168"/>
      </c:barChart>
      <c:lineChart>
        <c:grouping val="standard"/>
        <c:varyColors val="0"/>
        <c:ser>
          <c:idx val="1"/>
          <c:order val="1"/>
          <c:marker>
            <c:symbol val="none"/>
          </c:marker>
          <c:cat>
            <c:numRef>
              <c:f>'INDICADORES MANTENIMIENTO P1'!$C$6:$N$6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('INDICADORES MANTENIMIENTO P1'!$B$10,'INDICADORES MANTENIMIENTO P1'!$B$10,'INDICADORES MANTENIMIENTO P1'!$B$10,'INDICADORES MANTENIMIENTO P1'!$B$10,'INDICADORES MANTENIMIENTO P1'!$B$10,'INDICADORES MANTENIMIENTO P1'!$B$10,'INDICADORES MANTENIMIENTO P1'!$B$10,'INDICADORES MANTENIMIENTO P1'!$B$10,'INDICADORES MANTENIMIENTO P1'!$B$10,'INDICADORES MANTENIMIENTO P1'!$B$10,'INDICADORES MANTENIMIENTO P1'!$B$10,'INDICADORES MANTENIMIENTO P1'!$B$10)</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C703-412B-9182-0BDF538AF31D}"/>
            </c:ext>
          </c:extLst>
        </c:ser>
        <c:dLbls>
          <c:showLegendKey val="0"/>
          <c:showVal val="0"/>
          <c:showCatName val="0"/>
          <c:showSerName val="0"/>
          <c:showPercent val="0"/>
          <c:showBubbleSize val="0"/>
        </c:dLbls>
        <c:marker val="1"/>
        <c:smooth val="0"/>
        <c:axId val="148469248"/>
        <c:axId val="148471168"/>
      </c:lineChart>
      <c:dateAx>
        <c:axId val="148469248"/>
        <c:scaling>
          <c:orientation val="minMax"/>
        </c:scaling>
        <c:delete val="0"/>
        <c:axPos val="b"/>
        <c:title>
          <c:tx>
            <c:rich>
              <a:bodyPr/>
              <a:lstStyle/>
              <a:p>
                <a:pPr>
                  <a:defRPr/>
                </a:pPr>
                <a:r>
                  <a:rPr lang="es-CO"/>
                  <a:t>Mes</a:t>
                </a:r>
              </a:p>
            </c:rich>
          </c:tx>
          <c:layout>
            <c:manualLayout>
              <c:xMode val="edge"/>
              <c:yMode val="edge"/>
              <c:x val="0.47525388203479912"/>
              <c:y val="0.91181517777903653"/>
            </c:manualLayout>
          </c:layout>
          <c:overlay val="0"/>
        </c:title>
        <c:numFmt formatCode="mmm\-yy" sourceLinked="0"/>
        <c:majorTickMark val="none"/>
        <c:minorTickMark val="none"/>
        <c:tickLblPos val="nextTo"/>
        <c:crossAx val="148471168"/>
        <c:crosses val="autoZero"/>
        <c:auto val="1"/>
        <c:lblOffset val="100"/>
        <c:baseTimeUnit val="months"/>
      </c:dateAx>
      <c:valAx>
        <c:axId val="148471168"/>
        <c:scaling>
          <c:orientation val="minMax"/>
          <c:max val="15"/>
          <c:min val="0"/>
        </c:scaling>
        <c:delete val="0"/>
        <c:axPos val="l"/>
        <c:title>
          <c:tx>
            <c:rich>
              <a:bodyPr rot="-5400000" vert="horz"/>
              <a:lstStyle/>
              <a:p>
                <a:pPr>
                  <a:defRPr/>
                </a:pPr>
                <a:r>
                  <a:rPr lang="es-CO"/>
                  <a:t>% Reproceso</a:t>
                </a:r>
              </a:p>
            </c:rich>
          </c:tx>
          <c:layout>
            <c:manualLayout>
              <c:xMode val="edge"/>
              <c:yMode val="edge"/>
              <c:x val="3.0743376329296197E-2"/>
              <c:y val="0.3286130780415038"/>
            </c:manualLayout>
          </c:layout>
          <c:overlay val="0"/>
        </c:title>
        <c:numFmt formatCode="0" sourceLinked="0"/>
        <c:majorTickMark val="none"/>
        <c:minorTickMark val="none"/>
        <c:tickLblPos val="nextTo"/>
        <c:crossAx val="148469248"/>
        <c:crosses val="autoZero"/>
        <c:crossBetween val="between"/>
        <c:majorUnit val="5"/>
        <c:minorUnit val="5"/>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'INDICADORES MANTENIMIENTO P1'!$A$11</c:f>
          <c:strCache>
            <c:ptCount val="1"/>
            <c:pt idx="0">
              <c:v>Cumplimiento Mantenimiento Preventivo (%)</c:v>
            </c:pt>
          </c:strCache>
        </c:strRef>
      </c:tx>
      <c:layout>
        <c:manualLayout>
          <c:xMode val="edge"/>
          <c:yMode val="edge"/>
          <c:x val="0.12918588385008023"/>
          <c:y val="6.2350117419534036E-2"/>
        </c:manualLayout>
      </c:layout>
      <c:overlay val="0"/>
      <c:txPr>
        <a:bodyPr/>
        <a:lstStyle/>
        <a:p>
          <a:pPr>
            <a:defRPr sz="1600"/>
          </a:pPr>
          <a:endParaRPr lang="es-CO"/>
        </a:p>
      </c:txPr>
    </c:title>
    <c:autoTitleDeleted val="0"/>
    <c:plotArea>
      <c:layout>
        <c:manualLayout>
          <c:layoutTarget val="inner"/>
          <c:xMode val="edge"/>
          <c:yMode val="edge"/>
          <c:x val="0.14052553578102644"/>
          <c:y val="0.27585528427651584"/>
          <c:w val="0.79248679476561268"/>
          <c:h val="0.45827564719877639"/>
        </c:manualLayout>
      </c:layout>
      <c:barChart>
        <c:barDir val="col"/>
        <c:grouping val="clustered"/>
        <c:varyColors val="0"/>
        <c:ser>
          <c:idx val="0"/>
          <c:order val="0"/>
          <c:invertIfNegative val="0"/>
          <c:dLbls>
            <c:numFmt formatCode="#,##0" sourceLinked="0"/>
            <c:spPr>
              <a:noFill/>
              <a:ln w="25400">
                <a:noFill/>
              </a:ln>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'INDICADORES MANTENIMIENTO P1'!$C$6:$N$6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'INDICADORES MANTENIMIENTO P1'!$C$11:$N$11</c:f>
              <c:numCache>
                <c:formatCode>0.00</c:formatCode>
                <c:ptCount val="12"/>
                <c:pt idx="0">
                  <c:v>90</c:v>
                </c:pt>
                <c:pt idx="1">
                  <c:v>91</c:v>
                </c:pt>
                <c:pt idx="2">
                  <c:v>90.1</c:v>
                </c:pt>
                <c:pt idx="3">
                  <c:v>91.5</c:v>
                </c:pt>
                <c:pt idx="4">
                  <c:v>91.5</c:v>
                </c:pt>
                <c:pt idx="5">
                  <c:v>93.7</c:v>
                </c:pt>
                <c:pt idx="6">
                  <c:v>93.6</c:v>
                </c:pt>
                <c:pt idx="7">
                  <c:v>94.1</c:v>
                </c:pt>
                <c:pt idx="8">
                  <c:v>94</c:v>
                </c:pt>
                <c:pt idx="9">
                  <c:v>100</c:v>
                </c:pt>
                <c:pt idx="10">
                  <c:v>100</c:v>
                </c:pt>
              </c:numCache>
            </c:numRef>
          </c:val>
          <c:extLst>
            <c:ext xmlns:c16="http://schemas.microsoft.com/office/drawing/2014/chart" uri="{C3380CC4-5D6E-409C-BE32-E72D297353CC}">
              <c16:uniqueId val="{00000000-7DA6-46BD-92B7-76E0C4DC1592}"/>
            </c:ext>
          </c:extLst>
        </c:ser>
        <c:dLbls>
          <c:showLegendKey val="0"/>
          <c:showVal val="0"/>
          <c:showCatName val="0"/>
          <c:showSerName val="0"/>
          <c:showPercent val="0"/>
          <c:showBubbleSize val="0"/>
        </c:dLbls>
        <c:gapWidth val="150"/>
        <c:axId val="153032192"/>
        <c:axId val="153034112"/>
      </c:barChart>
      <c:lineChart>
        <c:grouping val="standard"/>
        <c:varyColors val="0"/>
        <c:ser>
          <c:idx val="1"/>
          <c:order val="1"/>
          <c:marker>
            <c:symbol val="none"/>
          </c:marker>
          <c:cat>
            <c:numRef>
              <c:f>'INDICADORES MANTENIMIENTO P1'!$C$6:$N$6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('INDICADORES MANTENIMIENTO P1'!$B$11,'INDICADORES MANTENIMIENTO P1'!$B$11,'INDICADORES MANTENIMIENTO P1'!$B$11,'INDICADORES MANTENIMIENTO P1'!$B$11,'INDICADORES MANTENIMIENTO P1'!$B$11,'INDICADORES MANTENIMIENTO P1'!$B$11,'INDICADORES MANTENIMIENTO P1'!$B$11,'INDICADORES MANTENIMIENTO P1'!$B$11,'INDICADORES MANTENIMIENTO P1'!$B$11,'INDICADORES MANTENIMIENTO P1'!$B$11,'INDICADORES MANTENIMIENTO P1'!$B$11,'INDICADORES MANTENIMIENTO P1'!$B$11)</c:f>
              <c:numCache>
                <c:formatCode>0.00</c:formatCode>
                <c:ptCount val="12"/>
                <c:pt idx="0">
                  <c:v>95</c:v>
                </c:pt>
                <c:pt idx="1">
                  <c:v>95</c:v>
                </c:pt>
                <c:pt idx="2">
                  <c:v>95</c:v>
                </c:pt>
                <c:pt idx="3">
                  <c:v>95</c:v>
                </c:pt>
                <c:pt idx="4">
                  <c:v>95</c:v>
                </c:pt>
                <c:pt idx="5">
                  <c:v>95</c:v>
                </c:pt>
                <c:pt idx="6">
                  <c:v>95</c:v>
                </c:pt>
                <c:pt idx="7">
                  <c:v>95</c:v>
                </c:pt>
                <c:pt idx="8">
                  <c:v>95</c:v>
                </c:pt>
                <c:pt idx="9">
                  <c:v>95</c:v>
                </c:pt>
                <c:pt idx="10">
                  <c:v>95</c:v>
                </c:pt>
                <c:pt idx="11">
                  <c:v>95</c:v>
                </c:pt>
              </c:numCache>
            </c:numRef>
          </c:val>
          <c:smooth val="0"/>
          <c:extLst>
            <c:ext xmlns:c16="http://schemas.microsoft.com/office/drawing/2014/chart" uri="{C3380CC4-5D6E-409C-BE32-E72D297353CC}">
              <c16:uniqueId val="{00000001-7DA6-46BD-92B7-76E0C4DC1592}"/>
            </c:ext>
          </c:extLst>
        </c:ser>
        <c:dLbls>
          <c:showLegendKey val="0"/>
          <c:showVal val="0"/>
          <c:showCatName val="0"/>
          <c:showSerName val="0"/>
          <c:showPercent val="0"/>
          <c:showBubbleSize val="0"/>
        </c:dLbls>
        <c:marker val="1"/>
        <c:smooth val="0"/>
        <c:axId val="153032192"/>
        <c:axId val="153034112"/>
      </c:lineChart>
      <c:dateAx>
        <c:axId val="153032192"/>
        <c:scaling>
          <c:orientation val="minMax"/>
        </c:scaling>
        <c:delete val="0"/>
        <c:axPos val="b"/>
        <c:title>
          <c:tx>
            <c:rich>
              <a:bodyPr/>
              <a:lstStyle/>
              <a:p>
                <a:pPr>
                  <a:defRPr/>
                </a:pPr>
                <a:r>
                  <a:rPr lang="es-CO"/>
                  <a:t>Mes</a:t>
                </a:r>
              </a:p>
            </c:rich>
          </c:tx>
          <c:layout>
            <c:manualLayout>
              <c:xMode val="edge"/>
              <c:yMode val="edge"/>
              <c:x val="0.47525388203479912"/>
              <c:y val="0.91181517777903653"/>
            </c:manualLayout>
          </c:layout>
          <c:overlay val="0"/>
        </c:title>
        <c:numFmt formatCode="mmm\-yy" sourceLinked="0"/>
        <c:majorTickMark val="none"/>
        <c:minorTickMark val="none"/>
        <c:tickLblPos val="nextTo"/>
        <c:crossAx val="153034112"/>
        <c:crosses val="autoZero"/>
        <c:auto val="1"/>
        <c:lblOffset val="100"/>
        <c:baseTimeUnit val="months"/>
      </c:dateAx>
      <c:valAx>
        <c:axId val="153034112"/>
        <c:scaling>
          <c:orientation val="minMax"/>
          <c:max val="100"/>
          <c:min val="80"/>
        </c:scaling>
        <c:delete val="0"/>
        <c:axPos val="l"/>
        <c:title>
          <c:tx>
            <c:rich>
              <a:bodyPr rot="-5400000" vert="horz"/>
              <a:lstStyle/>
              <a:p>
                <a:pPr>
                  <a:defRPr/>
                </a:pPr>
                <a:r>
                  <a:rPr lang="es-CO"/>
                  <a:t>% Cumplimiento</a:t>
                </a:r>
              </a:p>
            </c:rich>
          </c:tx>
          <c:layout>
            <c:manualLayout>
              <c:xMode val="edge"/>
              <c:yMode val="edge"/>
              <c:x val="3.0743376329296208E-2"/>
              <c:y val="0.3286130780415038"/>
            </c:manualLayout>
          </c:layout>
          <c:overlay val="0"/>
        </c:title>
        <c:numFmt formatCode="0" sourceLinked="0"/>
        <c:majorTickMark val="none"/>
        <c:minorTickMark val="none"/>
        <c:tickLblPos val="nextTo"/>
        <c:crossAx val="153032192"/>
        <c:crosses val="autoZero"/>
        <c:crossBetween val="between"/>
        <c:majorUnit val="5"/>
        <c:minorUnit val="5"/>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'INDICADORES MANTENIMIENTO P2'!$A$7</c:f>
          <c:strCache>
            <c:ptCount val="1"/>
            <c:pt idx="0">
              <c:v>Disponibilidad de Planta Transesterificación (%)</c:v>
            </c:pt>
          </c:strCache>
        </c:strRef>
      </c:tx>
      <c:layout>
        <c:manualLayout>
          <c:xMode val="edge"/>
          <c:yMode val="edge"/>
          <c:x val="0.10779550951853177"/>
          <c:y val="6.2350119904076934E-2"/>
        </c:manualLayout>
      </c:layout>
      <c:overlay val="0"/>
      <c:txPr>
        <a:bodyPr/>
        <a:lstStyle/>
        <a:p>
          <a:pPr>
            <a:defRPr sz="1600"/>
          </a:pPr>
          <a:endParaRPr lang="es-CO"/>
        </a:p>
      </c:txPr>
    </c:title>
    <c:autoTitleDeleted val="0"/>
    <c:plotArea>
      <c:layout>
        <c:manualLayout>
          <c:layoutTarget val="inner"/>
          <c:xMode val="edge"/>
          <c:yMode val="edge"/>
          <c:x val="0.14052553578102644"/>
          <c:y val="0.27585528427651584"/>
          <c:w val="0.7924867947656139"/>
          <c:h val="0.45827564719877639"/>
        </c:manualLayout>
      </c:layout>
      <c:barChart>
        <c:barDir val="col"/>
        <c:grouping val="clustered"/>
        <c:varyColors val="0"/>
        <c:ser>
          <c:idx val="0"/>
          <c:order val="0"/>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'INDICADORES MANTENIMIENTO P2'!$C$6:$N$6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'INDICADORES MANTENIMIENTO P2'!$C$7:$N$7</c:f>
              <c:numCache>
                <c:formatCode>0.00</c:formatCode>
                <c:ptCount val="12"/>
                <c:pt idx="0">
                  <c:v>100</c:v>
                </c:pt>
                <c:pt idx="1">
                  <c:v>100</c:v>
                </c:pt>
                <c:pt idx="2">
                  <c:v>100</c:v>
                </c:pt>
                <c:pt idx="3">
                  <c:v>100</c:v>
                </c:pt>
                <c:pt idx="4">
                  <c:v>100</c:v>
                </c:pt>
                <c:pt idx="5">
                  <c:v>100</c:v>
                </c:pt>
                <c:pt idx="6">
                  <c:v>100</c:v>
                </c:pt>
                <c:pt idx="7">
                  <c:v>100</c:v>
                </c:pt>
                <c:pt idx="8">
                  <c:v>100</c:v>
                </c:pt>
                <c:pt idx="9">
                  <c:v>100</c:v>
                </c:pt>
                <c:pt idx="10">
                  <c:v>100</c:v>
                </c:pt>
              </c:numCache>
            </c:numRef>
          </c:val>
          <c:extLst>
            <c:ext xmlns:c16="http://schemas.microsoft.com/office/drawing/2014/chart" uri="{C3380CC4-5D6E-409C-BE32-E72D297353CC}">
              <c16:uniqueId val="{00000000-A5A0-4D54-888D-743784E07B21}"/>
            </c:ext>
          </c:extLst>
        </c:ser>
        <c:dLbls>
          <c:showLegendKey val="0"/>
          <c:showVal val="0"/>
          <c:showCatName val="0"/>
          <c:showSerName val="0"/>
          <c:showPercent val="0"/>
          <c:showBubbleSize val="0"/>
        </c:dLbls>
        <c:gapWidth val="150"/>
        <c:axId val="148268544"/>
        <c:axId val="148270464"/>
      </c:barChart>
      <c:lineChart>
        <c:grouping val="standard"/>
        <c:varyColors val="0"/>
        <c:ser>
          <c:idx val="1"/>
          <c:order val="1"/>
          <c:marker>
            <c:symbol val="none"/>
          </c:marker>
          <c:cat>
            <c:numRef>
              <c:f>'INDICADORES MANTENIMIENTO P2'!$C$6:$N$6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('INDICADORES MANTENIMIENTO P2'!$B$7,'INDICADORES MANTENIMIENTO P2'!$B$7,'INDICADORES MANTENIMIENTO P2'!$B$7,'INDICADORES MANTENIMIENTO P2'!$B$7,'INDICADORES MANTENIMIENTO P2'!$B$7,'INDICADORES MANTENIMIENTO P2'!$B$7,'INDICADORES MANTENIMIENTO P2'!$B$7,'INDICADORES MANTENIMIENTO P2'!$B$7,'INDICADORES MANTENIMIENTO P2'!$B$7,'INDICADORES MANTENIMIENTO P2'!$B$7,'INDICADORES MANTENIMIENTO P2'!$B$7,'INDICADORES MANTENIMIENTO P2'!$B$7)</c:f>
              <c:numCache>
                <c:formatCode>0.00</c:formatCode>
                <c:ptCount val="12"/>
                <c:pt idx="0">
                  <c:v>95</c:v>
                </c:pt>
                <c:pt idx="1">
                  <c:v>95</c:v>
                </c:pt>
                <c:pt idx="2">
                  <c:v>95</c:v>
                </c:pt>
                <c:pt idx="3">
                  <c:v>95</c:v>
                </c:pt>
                <c:pt idx="4">
                  <c:v>95</c:v>
                </c:pt>
                <c:pt idx="5">
                  <c:v>95</c:v>
                </c:pt>
                <c:pt idx="6">
                  <c:v>95</c:v>
                </c:pt>
                <c:pt idx="7">
                  <c:v>95</c:v>
                </c:pt>
                <c:pt idx="8">
                  <c:v>95</c:v>
                </c:pt>
                <c:pt idx="9">
                  <c:v>95</c:v>
                </c:pt>
                <c:pt idx="10">
                  <c:v>95</c:v>
                </c:pt>
                <c:pt idx="11">
                  <c:v>95</c:v>
                </c:pt>
              </c:numCache>
            </c:numRef>
          </c:val>
          <c:smooth val="0"/>
          <c:extLst>
            <c:ext xmlns:c16="http://schemas.microsoft.com/office/drawing/2014/chart" uri="{C3380CC4-5D6E-409C-BE32-E72D297353CC}">
              <c16:uniqueId val="{00000001-A5A0-4D54-888D-743784E07B21}"/>
            </c:ext>
          </c:extLst>
        </c:ser>
        <c:dLbls>
          <c:showLegendKey val="0"/>
          <c:showVal val="0"/>
          <c:showCatName val="0"/>
          <c:showSerName val="0"/>
          <c:showPercent val="0"/>
          <c:showBubbleSize val="0"/>
        </c:dLbls>
        <c:marker val="1"/>
        <c:smooth val="0"/>
        <c:axId val="148268544"/>
        <c:axId val="148270464"/>
      </c:lineChart>
      <c:dateAx>
        <c:axId val="148268544"/>
        <c:scaling>
          <c:orientation val="minMax"/>
        </c:scaling>
        <c:delete val="0"/>
        <c:axPos val="b"/>
        <c:title>
          <c:tx>
            <c:rich>
              <a:bodyPr/>
              <a:lstStyle/>
              <a:p>
                <a:pPr>
                  <a:defRPr/>
                </a:pPr>
                <a:r>
                  <a:rPr lang="es-CO"/>
                  <a:t>Mes</a:t>
                </a:r>
              </a:p>
            </c:rich>
          </c:tx>
          <c:layout>
            <c:manualLayout>
              <c:xMode val="edge"/>
              <c:yMode val="edge"/>
              <c:x val="0.47525388203479912"/>
              <c:y val="0.91181517777903653"/>
            </c:manualLayout>
          </c:layout>
          <c:overlay val="0"/>
        </c:title>
        <c:numFmt formatCode="mmm\-yy" sourceLinked="0"/>
        <c:majorTickMark val="none"/>
        <c:minorTickMark val="none"/>
        <c:tickLblPos val="nextTo"/>
        <c:crossAx val="148270464"/>
        <c:crosses val="autoZero"/>
        <c:auto val="1"/>
        <c:lblOffset val="100"/>
        <c:baseTimeUnit val="months"/>
      </c:dateAx>
      <c:valAx>
        <c:axId val="148270464"/>
        <c:scaling>
          <c:orientation val="minMax"/>
          <c:max val="100"/>
          <c:min val="80"/>
        </c:scaling>
        <c:delete val="0"/>
        <c:axPos val="l"/>
        <c:title>
          <c:tx>
            <c:rich>
              <a:bodyPr rot="-5400000" vert="horz"/>
              <a:lstStyle/>
              <a:p>
                <a:pPr>
                  <a:defRPr/>
                </a:pPr>
                <a:r>
                  <a:rPr lang="es-CO"/>
                  <a:t>% Disponibilidad</a:t>
                </a:r>
              </a:p>
            </c:rich>
          </c:tx>
          <c:layout>
            <c:manualLayout>
              <c:xMode val="edge"/>
              <c:yMode val="edge"/>
              <c:x val="3.0743376329296166E-2"/>
              <c:y val="0.3286130780415038"/>
            </c:manualLayout>
          </c:layout>
          <c:overlay val="0"/>
        </c:title>
        <c:numFmt formatCode="0" sourceLinked="0"/>
        <c:majorTickMark val="none"/>
        <c:minorTickMark val="none"/>
        <c:tickLblPos val="nextTo"/>
        <c:crossAx val="148268544"/>
        <c:crosses val="autoZero"/>
        <c:crossBetween val="between"/>
        <c:majorUnit val="5"/>
        <c:minorUnit val="5"/>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'INDICADORES MANTENIMIENTO P2'!$A$8</c:f>
          <c:strCache>
            <c:ptCount val="1"/>
            <c:pt idx="0">
              <c:v>Disponibilidad de Planta Esterificación (%)</c:v>
            </c:pt>
          </c:strCache>
        </c:strRef>
      </c:tx>
      <c:layout>
        <c:manualLayout>
          <c:xMode val="edge"/>
          <c:yMode val="edge"/>
          <c:x val="0.1695899242541207"/>
          <c:y val="4.9060960403205532E-2"/>
        </c:manualLayout>
      </c:layout>
      <c:overlay val="0"/>
      <c:txPr>
        <a:bodyPr/>
        <a:lstStyle/>
        <a:p>
          <a:pPr>
            <a:defRPr sz="1600"/>
          </a:pPr>
          <a:endParaRPr lang="es-CO"/>
        </a:p>
      </c:txPr>
    </c:title>
    <c:autoTitleDeleted val="0"/>
    <c:plotArea>
      <c:layout>
        <c:manualLayout>
          <c:layoutTarget val="inner"/>
          <c:xMode val="edge"/>
          <c:yMode val="edge"/>
          <c:x val="0.14052553578102644"/>
          <c:y val="0.27585528427651584"/>
          <c:w val="0.79248679476561346"/>
          <c:h val="0.45827564719877639"/>
        </c:manualLayout>
      </c:layout>
      <c:barChart>
        <c:barDir val="col"/>
        <c:grouping val="clustered"/>
        <c:varyColors val="0"/>
        <c:ser>
          <c:idx val="0"/>
          <c:order val="0"/>
          <c:invertIfNegative val="0"/>
          <c:dLbls>
            <c:numFmt formatCode="#,##0" sourceLinked="0"/>
            <c:spPr>
              <a:noFill/>
              <a:ln w="25400">
                <a:noFill/>
              </a:ln>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'INDICADORES MANTENIMIENTO P2'!$C$6:$N$6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'INDICADORES MANTENIMIENTO P2'!$C$8:$N$8</c:f>
              <c:numCache>
                <c:formatCode>0.00</c:formatCode>
                <c:ptCount val="12"/>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0-B58C-438E-B575-3F940F589C7A}"/>
            </c:ext>
          </c:extLst>
        </c:ser>
        <c:dLbls>
          <c:showLegendKey val="0"/>
          <c:showVal val="0"/>
          <c:showCatName val="0"/>
          <c:showSerName val="0"/>
          <c:showPercent val="0"/>
          <c:showBubbleSize val="0"/>
        </c:dLbls>
        <c:gapWidth val="150"/>
        <c:axId val="148317696"/>
        <c:axId val="148319616"/>
      </c:barChart>
      <c:lineChart>
        <c:grouping val="standard"/>
        <c:varyColors val="0"/>
        <c:ser>
          <c:idx val="1"/>
          <c:order val="1"/>
          <c:marker>
            <c:symbol val="none"/>
          </c:marker>
          <c:cat>
            <c:numRef>
              <c:f>'INDICADORES MANTENIMIENTO P2'!$C$6:$N$6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('INDICADORES MANTENIMIENTO P2'!$B$8,'INDICADORES MANTENIMIENTO P2'!$B$8,'INDICADORES MANTENIMIENTO P2'!$B$8,'INDICADORES MANTENIMIENTO P2'!$B$8,'INDICADORES MANTENIMIENTO P2'!$B$8,'INDICADORES MANTENIMIENTO P2'!$B$8,'INDICADORES MANTENIMIENTO P2'!$B$8,'INDICADORES MANTENIMIENTO P2'!$B$8,'INDICADORES MANTENIMIENTO P2'!$B$8,'INDICADORES MANTENIMIENTO P2'!$B$8,'INDICADORES MANTENIMIENTO P2'!$B$8,'INDICADORES MANTENIMIENTO P2'!$B$8)</c:f>
              <c:numCache>
                <c:formatCode>0.00</c:formatCode>
                <c:ptCount val="12"/>
                <c:pt idx="0">
                  <c:v>95</c:v>
                </c:pt>
                <c:pt idx="1">
                  <c:v>95</c:v>
                </c:pt>
                <c:pt idx="2">
                  <c:v>95</c:v>
                </c:pt>
                <c:pt idx="3">
                  <c:v>95</c:v>
                </c:pt>
                <c:pt idx="4">
                  <c:v>95</c:v>
                </c:pt>
                <c:pt idx="5">
                  <c:v>95</c:v>
                </c:pt>
                <c:pt idx="6">
                  <c:v>95</c:v>
                </c:pt>
                <c:pt idx="7">
                  <c:v>95</c:v>
                </c:pt>
                <c:pt idx="8">
                  <c:v>95</c:v>
                </c:pt>
                <c:pt idx="9">
                  <c:v>95</c:v>
                </c:pt>
                <c:pt idx="10">
                  <c:v>95</c:v>
                </c:pt>
                <c:pt idx="11">
                  <c:v>95</c:v>
                </c:pt>
              </c:numCache>
            </c:numRef>
          </c:val>
          <c:smooth val="0"/>
          <c:extLst>
            <c:ext xmlns:c16="http://schemas.microsoft.com/office/drawing/2014/chart" uri="{C3380CC4-5D6E-409C-BE32-E72D297353CC}">
              <c16:uniqueId val="{00000001-B58C-438E-B575-3F940F589C7A}"/>
            </c:ext>
          </c:extLst>
        </c:ser>
        <c:dLbls>
          <c:showLegendKey val="0"/>
          <c:showVal val="0"/>
          <c:showCatName val="0"/>
          <c:showSerName val="0"/>
          <c:showPercent val="0"/>
          <c:showBubbleSize val="0"/>
        </c:dLbls>
        <c:marker val="1"/>
        <c:smooth val="0"/>
        <c:axId val="148317696"/>
        <c:axId val="148319616"/>
      </c:lineChart>
      <c:dateAx>
        <c:axId val="148317696"/>
        <c:scaling>
          <c:orientation val="minMax"/>
        </c:scaling>
        <c:delete val="0"/>
        <c:axPos val="b"/>
        <c:title>
          <c:tx>
            <c:rich>
              <a:bodyPr/>
              <a:lstStyle/>
              <a:p>
                <a:pPr>
                  <a:defRPr/>
                </a:pPr>
                <a:r>
                  <a:rPr lang="es-CO"/>
                  <a:t>Mes</a:t>
                </a:r>
              </a:p>
            </c:rich>
          </c:tx>
          <c:layout>
            <c:manualLayout>
              <c:xMode val="edge"/>
              <c:yMode val="edge"/>
              <c:x val="0.47525388203479912"/>
              <c:y val="0.91181517777903653"/>
            </c:manualLayout>
          </c:layout>
          <c:overlay val="0"/>
        </c:title>
        <c:numFmt formatCode="mmm\-yy" sourceLinked="0"/>
        <c:majorTickMark val="none"/>
        <c:minorTickMark val="none"/>
        <c:tickLblPos val="nextTo"/>
        <c:crossAx val="148319616"/>
        <c:crosses val="autoZero"/>
        <c:auto val="1"/>
        <c:lblOffset val="100"/>
        <c:baseTimeUnit val="months"/>
      </c:dateAx>
      <c:valAx>
        <c:axId val="148319616"/>
        <c:scaling>
          <c:orientation val="minMax"/>
          <c:max val="100"/>
          <c:min val="80"/>
        </c:scaling>
        <c:delete val="0"/>
        <c:axPos val="l"/>
        <c:title>
          <c:tx>
            <c:rich>
              <a:bodyPr rot="-5400000" vert="horz"/>
              <a:lstStyle/>
              <a:p>
                <a:pPr>
                  <a:defRPr/>
                </a:pPr>
                <a:r>
                  <a:rPr lang="es-CO"/>
                  <a:t>% Disponibilidad</a:t>
                </a:r>
              </a:p>
            </c:rich>
          </c:tx>
          <c:layout>
            <c:manualLayout>
              <c:xMode val="edge"/>
              <c:yMode val="edge"/>
              <c:x val="3.0743376329296183E-2"/>
              <c:y val="0.3286130780415038"/>
            </c:manualLayout>
          </c:layout>
          <c:overlay val="0"/>
        </c:title>
        <c:numFmt formatCode="0" sourceLinked="0"/>
        <c:majorTickMark val="none"/>
        <c:minorTickMark val="none"/>
        <c:tickLblPos val="nextTo"/>
        <c:crossAx val="148317696"/>
        <c:crosses val="autoZero"/>
        <c:crossBetween val="between"/>
        <c:majorUnit val="5"/>
        <c:minorUnit val="0.4"/>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'INDICADORES MANTENIMIENTO P2'!$A$9</c:f>
          <c:strCache>
            <c:ptCount val="1"/>
            <c:pt idx="0">
              <c:v>Paradas por Mantenimiento Correctivo (%)</c:v>
            </c:pt>
          </c:strCache>
        </c:strRef>
      </c:tx>
      <c:layout>
        <c:manualLayout>
          <c:xMode val="edge"/>
          <c:yMode val="edge"/>
          <c:x val="0.16721321599505945"/>
          <c:y val="5.7553956834533446E-2"/>
        </c:manualLayout>
      </c:layout>
      <c:overlay val="0"/>
      <c:txPr>
        <a:bodyPr/>
        <a:lstStyle/>
        <a:p>
          <a:pPr>
            <a:defRPr sz="1600"/>
          </a:pPr>
          <a:endParaRPr lang="es-CO"/>
        </a:p>
      </c:txPr>
    </c:title>
    <c:autoTitleDeleted val="0"/>
    <c:plotArea>
      <c:layout>
        <c:manualLayout>
          <c:layoutTarget val="inner"/>
          <c:xMode val="edge"/>
          <c:yMode val="edge"/>
          <c:x val="0.14052553578102644"/>
          <c:y val="0.27585528427651584"/>
          <c:w val="0.79248679476561346"/>
          <c:h val="0.45827564719877639"/>
        </c:manualLayout>
      </c:layout>
      <c:barChart>
        <c:barDir val="col"/>
        <c:grouping val="clustered"/>
        <c:varyColors val="0"/>
        <c:ser>
          <c:idx val="0"/>
          <c:order val="0"/>
          <c:invertIfNegative val="0"/>
          <c:dLbls>
            <c:numFmt formatCode="#,##0.0" sourceLinked="0"/>
            <c:spPr>
              <a:noFill/>
              <a:ln w="25400">
                <a:noFill/>
              </a:ln>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'INDICADORES MANTENIMIENTO P2'!$C$6:$N$6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'INDICADORES MANTENIMIENTO P2'!$C$9:$N$9</c:f>
              <c:numCache>
                <c:formatCode>0.00</c:formatCode>
                <c:ptCount val="12"/>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0-A964-4B90-AF9E-EADFBFDBDABC}"/>
            </c:ext>
          </c:extLst>
        </c:ser>
        <c:dLbls>
          <c:showLegendKey val="0"/>
          <c:showVal val="0"/>
          <c:showCatName val="0"/>
          <c:showSerName val="0"/>
          <c:showPercent val="0"/>
          <c:showBubbleSize val="0"/>
        </c:dLbls>
        <c:gapWidth val="150"/>
        <c:axId val="148346368"/>
        <c:axId val="148348288"/>
      </c:barChart>
      <c:lineChart>
        <c:grouping val="standard"/>
        <c:varyColors val="0"/>
        <c:ser>
          <c:idx val="1"/>
          <c:order val="1"/>
          <c:marker>
            <c:symbol val="none"/>
          </c:marker>
          <c:cat>
            <c:numRef>
              <c:f>'INDICADORES MANTENIMIENTO P2'!$C$6:$N$6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('INDICADORES MANTENIMIENTO P2'!$B$9,'INDICADORES MANTENIMIENTO P2'!$B$9,'INDICADORES MANTENIMIENTO P2'!$B$9,'INDICADORES MANTENIMIENTO P2'!$B$9,'INDICADORES MANTENIMIENTO P2'!$B$9,'INDICADORES MANTENIMIENTO P2'!$B$9,'INDICADORES MANTENIMIENTO P2'!$B$9,'INDICADORES MANTENIMIENTO P2'!$B$9,'INDICADORES MANTENIMIENTO P2'!$B$9,'INDICADORES MANTENIMIENTO P2'!$B$9,'INDICADORES MANTENIMIENTO P2'!$B$9,'INDICADORES MANTENIMIENTO P2'!$B$9)</c:f>
              <c:numCache>
                <c:formatCode>0.00</c:formatCode>
                <c:ptCount val="12"/>
                <c:pt idx="0">
                  <c:v>3.3</c:v>
                </c:pt>
                <c:pt idx="1">
                  <c:v>3.3</c:v>
                </c:pt>
                <c:pt idx="2">
                  <c:v>3.3</c:v>
                </c:pt>
                <c:pt idx="3">
                  <c:v>3.3</c:v>
                </c:pt>
                <c:pt idx="4">
                  <c:v>3.3</c:v>
                </c:pt>
                <c:pt idx="5">
                  <c:v>3.3</c:v>
                </c:pt>
                <c:pt idx="6">
                  <c:v>3.3</c:v>
                </c:pt>
                <c:pt idx="7">
                  <c:v>3.3</c:v>
                </c:pt>
                <c:pt idx="8">
                  <c:v>3.3</c:v>
                </c:pt>
                <c:pt idx="9">
                  <c:v>3.3</c:v>
                </c:pt>
                <c:pt idx="10">
                  <c:v>3.3</c:v>
                </c:pt>
                <c:pt idx="11">
                  <c:v>3.3</c:v>
                </c:pt>
              </c:numCache>
            </c:numRef>
          </c:val>
          <c:smooth val="0"/>
          <c:extLst>
            <c:ext xmlns:c16="http://schemas.microsoft.com/office/drawing/2014/chart" uri="{C3380CC4-5D6E-409C-BE32-E72D297353CC}">
              <c16:uniqueId val="{00000001-A964-4B90-AF9E-EADFBFDBDABC}"/>
            </c:ext>
          </c:extLst>
        </c:ser>
        <c:dLbls>
          <c:showLegendKey val="0"/>
          <c:showVal val="0"/>
          <c:showCatName val="0"/>
          <c:showSerName val="0"/>
          <c:showPercent val="0"/>
          <c:showBubbleSize val="0"/>
        </c:dLbls>
        <c:marker val="1"/>
        <c:smooth val="0"/>
        <c:axId val="148346368"/>
        <c:axId val="148348288"/>
      </c:lineChart>
      <c:dateAx>
        <c:axId val="148346368"/>
        <c:scaling>
          <c:orientation val="minMax"/>
        </c:scaling>
        <c:delete val="0"/>
        <c:axPos val="b"/>
        <c:title>
          <c:tx>
            <c:rich>
              <a:bodyPr/>
              <a:lstStyle/>
              <a:p>
                <a:pPr>
                  <a:defRPr/>
                </a:pPr>
                <a:r>
                  <a:rPr lang="es-CO"/>
                  <a:t>Mes</a:t>
                </a:r>
              </a:p>
            </c:rich>
          </c:tx>
          <c:layout>
            <c:manualLayout>
              <c:xMode val="edge"/>
              <c:yMode val="edge"/>
              <c:x val="0.47525388203479912"/>
              <c:y val="0.91181517777903653"/>
            </c:manualLayout>
          </c:layout>
          <c:overlay val="0"/>
        </c:title>
        <c:numFmt formatCode="mmm\-yy" sourceLinked="0"/>
        <c:majorTickMark val="none"/>
        <c:minorTickMark val="none"/>
        <c:tickLblPos val="nextTo"/>
        <c:crossAx val="148348288"/>
        <c:crosses val="autoZero"/>
        <c:auto val="1"/>
        <c:lblOffset val="100"/>
        <c:baseTimeUnit val="months"/>
      </c:dateAx>
      <c:valAx>
        <c:axId val="148348288"/>
        <c:scaling>
          <c:orientation val="minMax"/>
          <c:max val="15"/>
          <c:min val="0"/>
        </c:scaling>
        <c:delete val="0"/>
        <c:axPos val="l"/>
        <c:title>
          <c:tx>
            <c:rich>
              <a:bodyPr rot="-5400000" vert="horz"/>
              <a:lstStyle/>
              <a:p>
                <a:pPr>
                  <a:defRPr/>
                </a:pPr>
                <a:r>
                  <a:rPr lang="es-CO"/>
                  <a:t>%Paradas</a:t>
                </a:r>
              </a:p>
            </c:rich>
          </c:tx>
          <c:layout>
            <c:manualLayout>
              <c:xMode val="edge"/>
              <c:yMode val="edge"/>
              <c:x val="3.0743376329296183E-2"/>
              <c:y val="0.3286130780415038"/>
            </c:manualLayout>
          </c:layout>
          <c:overlay val="0"/>
        </c:title>
        <c:numFmt formatCode="0" sourceLinked="0"/>
        <c:majorTickMark val="none"/>
        <c:minorTickMark val="none"/>
        <c:tickLblPos val="nextTo"/>
        <c:crossAx val="148346368"/>
        <c:crosses val="autoZero"/>
        <c:crossBetween val="between"/>
        <c:majorUnit val="5"/>
        <c:minorUnit val="1"/>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1000"/>
            </a:pPr>
            <a:r>
              <a:rPr lang="es-CO"/>
              <a:t>CONSUMO DE METILATO</a:t>
            </a:r>
          </a:p>
        </c:rich>
      </c:tx>
      <c:overlay val="0"/>
    </c:title>
    <c:autoTitleDeleted val="0"/>
    <c:plotArea>
      <c:layout>
        <c:manualLayout>
          <c:layoutTarget val="inner"/>
          <c:xMode val="edge"/>
          <c:yMode val="edge"/>
          <c:x val="0.19094876857529475"/>
          <c:y val="0.14785535910787811"/>
          <c:w val="0.74997397637772079"/>
          <c:h val="0.42842858402948519"/>
        </c:manualLayout>
      </c:layout>
      <c:lineChart>
        <c:grouping val="standard"/>
        <c:varyColors val="0"/>
        <c:ser>
          <c:idx val="1"/>
          <c:order val="0"/>
          <c:tx>
            <c:strRef>
              <c:f>'INDICADORES PRODUCCION'!$A$22</c:f>
              <c:strCache>
                <c:ptCount val="1"/>
                <c:pt idx="0">
                  <c:v>Metilato de Sodio</c:v>
                </c:pt>
              </c:strCache>
            </c:strRef>
          </c:tx>
          <c:spPr>
            <a:ln w="22225"/>
          </c:spPr>
          <c:marker>
            <c:symbol val="circle"/>
            <c:size val="4"/>
          </c:marker>
          <c:dLbls>
            <c:numFmt formatCode="#,##0.0" sourceLinked="0"/>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'INDICADORES PRODUCCION'!$C$7:$N$7</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'INDICADORES PRODUCCION'!$C$22:$N$22</c:f>
              <c:numCache>
                <c:formatCode>0.00</c:formatCode>
                <c:ptCount val="12"/>
                <c:pt idx="0">
                  <c:v>19.297905613107087</c:v>
                </c:pt>
                <c:pt idx="1">
                  <c:v>20.514735746264126</c:v>
                </c:pt>
                <c:pt idx="2">
                  <c:v>20.516747583311886</c:v>
                </c:pt>
                <c:pt idx="3">
                  <c:v>21.581731435105741</c:v>
                </c:pt>
                <c:pt idx="4">
                  <c:v>20.241297305990884</c:v>
                </c:pt>
                <c:pt idx="5">
                  <c:v>19.577135638299048</c:v>
                </c:pt>
                <c:pt idx="6">
                  <c:v>17.857393575199371</c:v>
                </c:pt>
                <c:pt idx="7">
                  <c:v>18.517233924153174</c:v>
                </c:pt>
                <c:pt idx="8">
                  <c:v>18.958365865754349</c:v>
                </c:pt>
                <c:pt idx="9">
                  <c:v>18.529357893705996</c:v>
                </c:pt>
                <c:pt idx="10">
                  <c:v>21.744002104305672</c:v>
                </c:pt>
                <c:pt idx="11">
                  <c:v>21.453981886403227</c:v>
                </c:pt>
              </c:numCache>
            </c:numRef>
          </c:val>
          <c:smooth val="0"/>
          <c:extLst>
            <c:ext xmlns:c16="http://schemas.microsoft.com/office/drawing/2014/chart" uri="{C3380CC4-5D6E-409C-BE32-E72D297353CC}">
              <c16:uniqueId val="{00000000-5E15-43CC-93DA-A93F0101AF28}"/>
            </c:ext>
          </c:extLst>
        </c:ser>
        <c:ser>
          <c:idx val="0"/>
          <c:order val="1"/>
          <c:tx>
            <c:v>Promedio</c:v>
          </c:tx>
          <c:spPr>
            <a:ln w="22225"/>
          </c:spPr>
          <c:marker>
            <c:symbol val="none"/>
          </c:marker>
          <c:cat>
            <c:numRef>
              <c:f>'INDICADORES PRODUCCION'!$C$7:$N$7</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('INDICADORES PRODUCCION'!$O$22,'INDICADORES PRODUCCION'!$O$22,'INDICADORES PRODUCCION'!$O$22,'INDICADORES PRODUCCION'!$O$22,'INDICADORES PRODUCCION'!$O$22,'INDICADORES PRODUCCION'!$O$22,'INDICADORES PRODUCCION'!$O$22,'INDICADORES PRODUCCION'!$O$22,'INDICADORES PRODUCCION'!$O$22,'INDICADORES PRODUCCION'!$O$22,'INDICADORES PRODUCCION'!$O$22,'INDICADORES PRODUCCION'!$O$22)</c:f>
              <c:numCache>
                <c:formatCode>0.00</c:formatCode>
                <c:ptCount val="12"/>
                <c:pt idx="0">
                  <c:v>19.889232080914564</c:v>
                </c:pt>
                <c:pt idx="1">
                  <c:v>19.889232080914564</c:v>
                </c:pt>
                <c:pt idx="2">
                  <c:v>19.889232080914564</c:v>
                </c:pt>
                <c:pt idx="3">
                  <c:v>19.889232080914564</c:v>
                </c:pt>
                <c:pt idx="4">
                  <c:v>19.889232080914564</c:v>
                </c:pt>
                <c:pt idx="5">
                  <c:v>19.889232080914564</c:v>
                </c:pt>
                <c:pt idx="6">
                  <c:v>19.889232080914564</c:v>
                </c:pt>
                <c:pt idx="7">
                  <c:v>19.889232080914564</c:v>
                </c:pt>
                <c:pt idx="8">
                  <c:v>19.889232080914564</c:v>
                </c:pt>
                <c:pt idx="9">
                  <c:v>19.889232080914564</c:v>
                </c:pt>
                <c:pt idx="10">
                  <c:v>19.889232080914564</c:v>
                </c:pt>
                <c:pt idx="11">
                  <c:v>19.889232080914564</c:v>
                </c:pt>
              </c:numCache>
            </c:numRef>
          </c:val>
          <c:smooth val="0"/>
          <c:extLst>
            <c:ext xmlns:c16="http://schemas.microsoft.com/office/drawing/2014/chart" uri="{C3380CC4-5D6E-409C-BE32-E72D297353CC}">
              <c16:uniqueId val="{00000001-5E15-43CC-93DA-A93F0101AF28}"/>
            </c:ext>
          </c:extLst>
        </c:ser>
        <c:ser>
          <c:idx val="2"/>
          <c:order val="2"/>
          <c:tx>
            <c:v>B100 - P1</c:v>
          </c:tx>
          <c:cat>
            <c:numRef>
              <c:f>'INDICADORES PRODUCCION'!$C$7:$N$7</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'INDICADORES PRODUCCION'!$C$8:$N$8</c:f>
              <c:numCache>
                <c:formatCode>_-* #,##0.00\ _€_-;\-* #,##0.00\ _€_-;_-* "-"??\ _€_-;_-@_-</c:formatCode>
                <c:ptCount val="12"/>
                <c:pt idx="0">
                  <c:v>5964.8959999999997</c:v>
                </c:pt>
                <c:pt idx="1">
                  <c:v>5355.1750000000002</c:v>
                </c:pt>
                <c:pt idx="2">
                  <c:v>9342.1239999999998</c:v>
                </c:pt>
                <c:pt idx="3">
                  <c:v>7241.7730000000001</c:v>
                </c:pt>
                <c:pt idx="4">
                  <c:v>5968.9849999999997</c:v>
                </c:pt>
                <c:pt idx="5">
                  <c:v>9049.3320000000003</c:v>
                </c:pt>
                <c:pt idx="6">
                  <c:v>9116.6720000000005</c:v>
                </c:pt>
                <c:pt idx="7">
                  <c:v>7164.6769999999997</c:v>
                </c:pt>
                <c:pt idx="8">
                  <c:v>8011.2389999999996</c:v>
                </c:pt>
                <c:pt idx="9">
                  <c:v>7086.6459999999997</c:v>
                </c:pt>
                <c:pt idx="10">
                  <c:v>8166.1139999999996</c:v>
                </c:pt>
                <c:pt idx="11">
                  <c:v>8361.0120000000006</c:v>
                </c:pt>
              </c:numCache>
            </c:numRef>
          </c:val>
          <c:smooth val="0"/>
          <c:extLst>
            <c:ext xmlns:c16="http://schemas.microsoft.com/office/drawing/2014/chart" uri="{C3380CC4-5D6E-409C-BE32-E72D297353CC}">
              <c16:uniqueId val="{00000002-5E15-43CC-93DA-A93F0101AF28}"/>
            </c:ext>
          </c:extLst>
        </c:ser>
        <c:dLbls>
          <c:showLegendKey val="0"/>
          <c:showVal val="0"/>
          <c:showCatName val="0"/>
          <c:showSerName val="0"/>
          <c:showPercent val="0"/>
          <c:showBubbleSize val="0"/>
        </c:dLbls>
        <c:marker val="1"/>
        <c:smooth val="0"/>
        <c:axId val="125082624"/>
        <c:axId val="125088512"/>
      </c:lineChart>
      <c:dateAx>
        <c:axId val="125082624"/>
        <c:scaling>
          <c:orientation val="minMax"/>
        </c:scaling>
        <c:delete val="0"/>
        <c:axPos val="b"/>
        <c:numFmt formatCode="mmm\-yy" sourceLinked="0"/>
        <c:majorTickMark val="none"/>
        <c:minorTickMark val="none"/>
        <c:tickLblPos val="nextTo"/>
        <c:txPr>
          <a:bodyPr rot="0" vert="horz"/>
          <a:lstStyle/>
          <a:p>
            <a:pPr>
              <a:defRPr/>
            </a:pPr>
            <a:endParaRPr lang="es-CO"/>
          </a:p>
        </c:txPr>
        <c:crossAx val="125088512"/>
        <c:crosses val="autoZero"/>
        <c:auto val="1"/>
        <c:lblOffset val="100"/>
        <c:baseTimeUnit val="months"/>
      </c:dateAx>
      <c:valAx>
        <c:axId val="125088512"/>
        <c:scaling>
          <c:orientation val="minMax"/>
          <c:max val="26"/>
          <c:min val="18"/>
        </c:scaling>
        <c:delete val="0"/>
        <c:axPos val="l"/>
        <c:majorGridlines/>
        <c:title>
          <c:tx>
            <c:rich>
              <a:bodyPr/>
              <a:lstStyle/>
              <a:p>
                <a:pPr>
                  <a:defRPr/>
                </a:pPr>
                <a:r>
                  <a:rPr lang="es-CO"/>
                  <a:t>kg/Ton</a:t>
                </a:r>
                <a:r>
                  <a:rPr lang="es-CO" baseline="0"/>
                  <a:t> B100</a:t>
                </a:r>
                <a:endParaRPr lang="es-CO"/>
              </a:p>
            </c:rich>
          </c:tx>
          <c:layout>
            <c:manualLayout>
              <c:xMode val="edge"/>
              <c:yMode val="edge"/>
              <c:x val="8.8330042606255862E-2"/>
              <c:y val="0.27840855687350791"/>
            </c:manualLayout>
          </c:layout>
          <c:overlay val="0"/>
        </c:title>
        <c:numFmt formatCode="0" sourceLinked="0"/>
        <c:majorTickMark val="none"/>
        <c:minorTickMark val="none"/>
        <c:tickLblPos val="nextTo"/>
        <c:txPr>
          <a:bodyPr rot="0" vert="horz"/>
          <a:lstStyle/>
          <a:p>
            <a:pPr>
              <a:defRPr/>
            </a:pPr>
            <a:endParaRPr lang="es-CO"/>
          </a:p>
        </c:txPr>
        <c:crossAx val="125082624"/>
        <c:crosses val="autoZero"/>
        <c:crossBetween val="between"/>
        <c:majorUnit val="2"/>
      </c:valAx>
      <c:dTable>
        <c:showHorzBorder val="1"/>
        <c:showVertBorder val="1"/>
        <c:showOutline val="1"/>
        <c:showKeys val="1"/>
      </c:dTable>
      <c:spPr>
        <a:ln>
          <a:solidFill>
            <a:sysClr val="windowText" lastClr="000000"/>
          </a:solidFill>
        </a:ln>
      </c:spPr>
    </c:plotArea>
    <c:plotVisOnly val="1"/>
    <c:dispBlanksAs val="gap"/>
    <c:showDLblsOverMax val="0"/>
  </c:chart>
  <c:txPr>
    <a:bodyPr/>
    <a:lstStyle/>
    <a:p>
      <a:pPr>
        <a:defRPr sz="800"/>
      </a:pPr>
      <a:endParaRPr lang="es-CO"/>
    </a:p>
  </c:txPr>
  <c:printSettings>
    <c:headerFooter/>
    <c:pageMargins b="0.75000000000001465" l="0.70000000000000062" r="0.70000000000000062" t="0.75000000000001465" header="0.30000000000000032" footer="0.30000000000000032"/>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'INDICADORES MANTENIMIENTO P2'!$A$10</c:f>
          <c:strCache>
            <c:ptCount val="1"/>
            <c:pt idx="0">
              <c:v>Reproceso (%)</c:v>
            </c:pt>
          </c:strCache>
        </c:strRef>
      </c:tx>
      <c:layout>
        <c:manualLayout>
          <c:xMode val="edge"/>
          <c:yMode val="edge"/>
          <c:x val="0.39300050060588038"/>
          <c:y val="6.2350119904076934E-2"/>
        </c:manualLayout>
      </c:layout>
      <c:overlay val="0"/>
      <c:txPr>
        <a:bodyPr/>
        <a:lstStyle/>
        <a:p>
          <a:pPr>
            <a:defRPr sz="1600"/>
          </a:pPr>
          <a:endParaRPr lang="es-CO"/>
        </a:p>
      </c:txPr>
    </c:title>
    <c:autoTitleDeleted val="0"/>
    <c:plotArea>
      <c:layout>
        <c:manualLayout>
          <c:layoutTarget val="inner"/>
          <c:xMode val="edge"/>
          <c:yMode val="edge"/>
          <c:x val="0.14052553578102644"/>
          <c:y val="0.27585528427651584"/>
          <c:w val="0.79248679476561312"/>
          <c:h val="0.45827564719877639"/>
        </c:manualLayout>
      </c:layout>
      <c:barChart>
        <c:barDir val="col"/>
        <c:grouping val="clustered"/>
        <c:varyColors val="0"/>
        <c:ser>
          <c:idx val="0"/>
          <c:order val="0"/>
          <c:invertIfNegative val="0"/>
          <c:dLbls>
            <c:numFmt formatCode="#,##0.0" sourceLinked="0"/>
            <c:spPr>
              <a:noFill/>
              <a:ln w="25400">
                <a:noFill/>
              </a:ln>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'INDICADORES MANTENIMIENTO P2'!$C$6:$N$6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'INDICADORES MANTENIMIENTO P2'!$C$10:$N$10</c:f>
              <c:numCache>
                <c:formatCode>0.00</c:formatCode>
                <c:ptCount val="12"/>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0-CE3D-47A8-9BC3-DE5F35051DBE}"/>
            </c:ext>
          </c:extLst>
        </c:ser>
        <c:dLbls>
          <c:showLegendKey val="0"/>
          <c:showVal val="0"/>
          <c:showCatName val="0"/>
          <c:showSerName val="0"/>
          <c:showPercent val="0"/>
          <c:showBubbleSize val="0"/>
        </c:dLbls>
        <c:gapWidth val="150"/>
        <c:axId val="148469248"/>
        <c:axId val="148471168"/>
      </c:barChart>
      <c:lineChart>
        <c:grouping val="standard"/>
        <c:varyColors val="0"/>
        <c:ser>
          <c:idx val="1"/>
          <c:order val="1"/>
          <c:marker>
            <c:symbol val="none"/>
          </c:marker>
          <c:cat>
            <c:numRef>
              <c:f>'INDICADORES MANTENIMIENTO P2'!$C$6:$N$6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('INDICADORES MANTENIMIENTO P2'!$B$10,'INDICADORES MANTENIMIENTO P2'!$B$10,'INDICADORES MANTENIMIENTO P2'!$B$10,'INDICADORES MANTENIMIENTO P2'!$B$10,'INDICADORES MANTENIMIENTO P2'!$B$10,'INDICADORES MANTENIMIENTO P2'!$B$10,'INDICADORES MANTENIMIENTO P2'!$B$10,'INDICADORES MANTENIMIENTO P2'!$B$10,'INDICADORES MANTENIMIENTO P2'!$B$10,'INDICADORES MANTENIMIENTO P2'!$B$10,'INDICADORES MANTENIMIENTO P2'!$B$10,'INDICADORES MANTENIMIENTO P2'!$B$10)</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CE3D-47A8-9BC3-DE5F35051DBE}"/>
            </c:ext>
          </c:extLst>
        </c:ser>
        <c:dLbls>
          <c:showLegendKey val="0"/>
          <c:showVal val="0"/>
          <c:showCatName val="0"/>
          <c:showSerName val="0"/>
          <c:showPercent val="0"/>
          <c:showBubbleSize val="0"/>
        </c:dLbls>
        <c:marker val="1"/>
        <c:smooth val="0"/>
        <c:axId val="148469248"/>
        <c:axId val="148471168"/>
      </c:lineChart>
      <c:dateAx>
        <c:axId val="148469248"/>
        <c:scaling>
          <c:orientation val="minMax"/>
        </c:scaling>
        <c:delete val="0"/>
        <c:axPos val="b"/>
        <c:title>
          <c:tx>
            <c:rich>
              <a:bodyPr/>
              <a:lstStyle/>
              <a:p>
                <a:pPr>
                  <a:defRPr/>
                </a:pPr>
                <a:r>
                  <a:rPr lang="es-CO"/>
                  <a:t>Mes</a:t>
                </a:r>
              </a:p>
            </c:rich>
          </c:tx>
          <c:layout>
            <c:manualLayout>
              <c:xMode val="edge"/>
              <c:yMode val="edge"/>
              <c:x val="0.47525388203479912"/>
              <c:y val="0.91181517777903653"/>
            </c:manualLayout>
          </c:layout>
          <c:overlay val="0"/>
        </c:title>
        <c:numFmt formatCode="mmm\-yy" sourceLinked="0"/>
        <c:majorTickMark val="none"/>
        <c:minorTickMark val="none"/>
        <c:tickLblPos val="nextTo"/>
        <c:crossAx val="148471168"/>
        <c:crosses val="autoZero"/>
        <c:auto val="1"/>
        <c:lblOffset val="100"/>
        <c:baseTimeUnit val="months"/>
      </c:dateAx>
      <c:valAx>
        <c:axId val="148471168"/>
        <c:scaling>
          <c:orientation val="minMax"/>
          <c:max val="15"/>
          <c:min val="0"/>
        </c:scaling>
        <c:delete val="0"/>
        <c:axPos val="l"/>
        <c:title>
          <c:tx>
            <c:rich>
              <a:bodyPr rot="-5400000" vert="horz"/>
              <a:lstStyle/>
              <a:p>
                <a:pPr>
                  <a:defRPr/>
                </a:pPr>
                <a:r>
                  <a:rPr lang="es-CO"/>
                  <a:t>% Reproceso</a:t>
                </a:r>
              </a:p>
            </c:rich>
          </c:tx>
          <c:layout>
            <c:manualLayout>
              <c:xMode val="edge"/>
              <c:yMode val="edge"/>
              <c:x val="3.0743376329296197E-2"/>
              <c:y val="0.3286130780415038"/>
            </c:manualLayout>
          </c:layout>
          <c:overlay val="0"/>
        </c:title>
        <c:numFmt formatCode="0" sourceLinked="0"/>
        <c:majorTickMark val="none"/>
        <c:minorTickMark val="none"/>
        <c:tickLblPos val="nextTo"/>
        <c:crossAx val="148469248"/>
        <c:crosses val="autoZero"/>
        <c:crossBetween val="between"/>
        <c:majorUnit val="5"/>
        <c:minorUnit val="5"/>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'INDICADORES MANTENIMIENTO P2'!$A$11</c:f>
          <c:strCache>
            <c:ptCount val="1"/>
            <c:pt idx="0">
              <c:v>Cumplimiento Mantenimiento Preventivo (%)</c:v>
            </c:pt>
          </c:strCache>
        </c:strRef>
      </c:tx>
      <c:layout>
        <c:manualLayout>
          <c:xMode val="edge"/>
          <c:yMode val="edge"/>
          <c:x val="0.12918588385008023"/>
          <c:y val="6.2350117419534036E-2"/>
        </c:manualLayout>
      </c:layout>
      <c:overlay val="0"/>
      <c:txPr>
        <a:bodyPr/>
        <a:lstStyle/>
        <a:p>
          <a:pPr>
            <a:defRPr sz="1600"/>
          </a:pPr>
          <a:endParaRPr lang="es-CO"/>
        </a:p>
      </c:txPr>
    </c:title>
    <c:autoTitleDeleted val="0"/>
    <c:plotArea>
      <c:layout>
        <c:manualLayout>
          <c:layoutTarget val="inner"/>
          <c:xMode val="edge"/>
          <c:yMode val="edge"/>
          <c:x val="0.14052553578102644"/>
          <c:y val="0.27585528427651584"/>
          <c:w val="0.79248679476561268"/>
          <c:h val="0.45827564719877639"/>
        </c:manualLayout>
      </c:layout>
      <c:barChart>
        <c:barDir val="col"/>
        <c:grouping val="clustered"/>
        <c:varyColors val="0"/>
        <c:ser>
          <c:idx val="0"/>
          <c:order val="0"/>
          <c:invertIfNegative val="0"/>
          <c:dLbls>
            <c:numFmt formatCode="#,##0" sourceLinked="0"/>
            <c:spPr>
              <a:noFill/>
              <a:ln w="25400">
                <a:noFill/>
              </a:ln>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'INDICADORES MANTENIMIENTO P2'!$C$6:$N$6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'INDICADORES MANTENIMIENTO P2'!$C$11:$N$11</c:f>
              <c:numCache>
                <c:formatCode>0.00</c:formatCode>
                <c:ptCount val="12"/>
                <c:pt idx="0">
                  <c:v>90</c:v>
                </c:pt>
                <c:pt idx="1">
                  <c:v>91</c:v>
                </c:pt>
                <c:pt idx="2">
                  <c:v>90.1</c:v>
                </c:pt>
                <c:pt idx="3">
                  <c:v>91.5</c:v>
                </c:pt>
                <c:pt idx="4">
                  <c:v>91.5</c:v>
                </c:pt>
                <c:pt idx="5">
                  <c:v>93.7</c:v>
                </c:pt>
                <c:pt idx="6">
                  <c:v>93.6</c:v>
                </c:pt>
                <c:pt idx="7">
                  <c:v>94.1</c:v>
                </c:pt>
                <c:pt idx="8">
                  <c:v>94</c:v>
                </c:pt>
                <c:pt idx="9">
                  <c:v>100</c:v>
                </c:pt>
                <c:pt idx="10">
                  <c:v>100</c:v>
                </c:pt>
              </c:numCache>
            </c:numRef>
          </c:val>
          <c:extLst>
            <c:ext xmlns:c16="http://schemas.microsoft.com/office/drawing/2014/chart" uri="{C3380CC4-5D6E-409C-BE32-E72D297353CC}">
              <c16:uniqueId val="{00000000-4D6F-4D71-9A31-6570C96A53E9}"/>
            </c:ext>
          </c:extLst>
        </c:ser>
        <c:dLbls>
          <c:showLegendKey val="0"/>
          <c:showVal val="0"/>
          <c:showCatName val="0"/>
          <c:showSerName val="0"/>
          <c:showPercent val="0"/>
          <c:showBubbleSize val="0"/>
        </c:dLbls>
        <c:gapWidth val="150"/>
        <c:axId val="153032192"/>
        <c:axId val="153034112"/>
      </c:barChart>
      <c:lineChart>
        <c:grouping val="standard"/>
        <c:varyColors val="0"/>
        <c:ser>
          <c:idx val="1"/>
          <c:order val="1"/>
          <c:marker>
            <c:symbol val="none"/>
          </c:marker>
          <c:cat>
            <c:numRef>
              <c:f>'INDICADORES MANTENIMIENTO P2'!$C$6:$N$6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('INDICADORES MANTENIMIENTO P2'!$B$11,'INDICADORES MANTENIMIENTO P2'!$B$11,'INDICADORES MANTENIMIENTO P2'!$B$11,'INDICADORES MANTENIMIENTO P2'!$B$11,'INDICADORES MANTENIMIENTO P2'!$B$11,'INDICADORES MANTENIMIENTO P2'!$B$11,'INDICADORES MANTENIMIENTO P2'!$B$11,'INDICADORES MANTENIMIENTO P2'!$B$11,'INDICADORES MANTENIMIENTO P2'!$B$11,'INDICADORES MANTENIMIENTO P2'!$B$11,'INDICADORES MANTENIMIENTO P2'!$B$11,'INDICADORES MANTENIMIENTO P2'!$B$11)</c:f>
              <c:numCache>
                <c:formatCode>0.00</c:formatCode>
                <c:ptCount val="12"/>
                <c:pt idx="0">
                  <c:v>95</c:v>
                </c:pt>
                <c:pt idx="1">
                  <c:v>95</c:v>
                </c:pt>
                <c:pt idx="2">
                  <c:v>95</c:v>
                </c:pt>
                <c:pt idx="3">
                  <c:v>95</c:v>
                </c:pt>
                <c:pt idx="4">
                  <c:v>95</c:v>
                </c:pt>
                <c:pt idx="5">
                  <c:v>95</c:v>
                </c:pt>
                <c:pt idx="6">
                  <c:v>95</c:v>
                </c:pt>
                <c:pt idx="7">
                  <c:v>95</c:v>
                </c:pt>
                <c:pt idx="8">
                  <c:v>95</c:v>
                </c:pt>
                <c:pt idx="9">
                  <c:v>95</c:v>
                </c:pt>
                <c:pt idx="10">
                  <c:v>95</c:v>
                </c:pt>
                <c:pt idx="11">
                  <c:v>95</c:v>
                </c:pt>
              </c:numCache>
            </c:numRef>
          </c:val>
          <c:smooth val="0"/>
          <c:extLst>
            <c:ext xmlns:c16="http://schemas.microsoft.com/office/drawing/2014/chart" uri="{C3380CC4-5D6E-409C-BE32-E72D297353CC}">
              <c16:uniqueId val="{00000001-4D6F-4D71-9A31-6570C96A53E9}"/>
            </c:ext>
          </c:extLst>
        </c:ser>
        <c:dLbls>
          <c:showLegendKey val="0"/>
          <c:showVal val="0"/>
          <c:showCatName val="0"/>
          <c:showSerName val="0"/>
          <c:showPercent val="0"/>
          <c:showBubbleSize val="0"/>
        </c:dLbls>
        <c:marker val="1"/>
        <c:smooth val="0"/>
        <c:axId val="153032192"/>
        <c:axId val="153034112"/>
      </c:lineChart>
      <c:dateAx>
        <c:axId val="153032192"/>
        <c:scaling>
          <c:orientation val="minMax"/>
        </c:scaling>
        <c:delete val="0"/>
        <c:axPos val="b"/>
        <c:title>
          <c:tx>
            <c:rich>
              <a:bodyPr/>
              <a:lstStyle/>
              <a:p>
                <a:pPr>
                  <a:defRPr/>
                </a:pPr>
                <a:r>
                  <a:rPr lang="es-CO"/>
                  <a:t>Mes</a:t>
                </a:r>
              </a:p>
            </c:rich>
          </c:tx>
          <c:layout>
            <c:manualLayout>
              <c:xMode val="edge"/>
              <c:yMode val="edge"/>
              <c:x val="0.47525388203479912"/>
              <c:y val="0.91181517777903653"/>
            </c:manualLayout>
          </c:layout>
          <c:overlay val="0"/>
        </c:title>
        <c:numFmt formatCode="mmm\-yy" sourceLinked="0"/>
        <c:majorTickMark val="none"/>
        <c:minorTickMark val="none"/>
        <c:tickLblPos val="nextTo"/>
        <c:crossAx val="153034112"/>
        <c:crosses val="autoZero"/>
        <c:auto val="1"/>
        <c:lblOffset val="100"/>
        <c:baseTimeUnit val="months"/>
      </c:dateAx>
      <c:valAx>
        <c:axId val="153034112"/>
        <c:scaling>
          <c:orientation val="minMax"/>
          <c:max val="100"/>
          <c:min val="80"/>
        </c:scaling>
        <c:delete val="0"/>
        <c:axPos val="l"/>
        <c:title>
          <c:tx>
            <c:rich>
              <a:bodyPr rot="-5400000" vert="horz"/>
              <a:lstStyle/>
              <a:p>
                <a:pPr>
                  <a:defRPr/>
                </a:pPr>
                <a:r>
                  <a:rPr lang="es-CO"/>
                  <a:t>% Cumplimiento</a:t>
                </a:r>
              </a:p>
            </c:rich>
          </c:tx>
          <c:layout>
            <c:manualLayout>
              <c:xMode val="edge"/>
              <c:yMode val="edge"/>
              <c:x val="3.0743376329296208E-2"/>
              <c:y val="0.3286130780415038"/>
            </c:manualLayout>
          </c:layout>
          <c:overlay val="0"/>
        </c:title>
        <c:numFmt formatCode="0" sourceLinked="0"/>
        <c:majorTickMark val="none"/>
        <c:minorTickMark val="none"/>
        <c:tickLblPos val="nextTo"/>
        <c:crossAx val="153032192"/>
        <c:crosses val="autoZero"/>
        <c:crossBetween val="between"/>
        <c:majorUnit val="5"/>
        <c:minorUnit val="5"/>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'INDICADORES MANTENIMIENTO P3'!$A$7</c:f>
          <c:strCache>
            <c:ptCount val="1"/>
            <c:pt idx="0">
              <c:v>Disponibilidad de Planta Esterificación (%)</c:v>
            </c:pt>
          </c:strCache>
        </c:strRef>
      </c:tx>
      <c:layout>
        <c:manualLayout>
          <c:xMode val="edge"/>
          <c:yMode val="edge"/>
          <c:x val="0.10779550951853184"/>
          <c:y val="6.2350119904076934E-2"/>
        </c:manualLayout>
      </c:layout>
      <c:overlay val="0"/>
      <c:txPr>
        <a:bodyPr/>
        <a:lstStyle/>
        <a:p>
          <a:pPr>
            <a:defRPr sz="1600"/>
          </a:pPr>
          <a:endParaRPr lang="es-CO"/>
        </a:p>
      </c:txPr>
    </c:title>
    <c:autoTitleDeleted val="0"/>
    <c:plotArea>
      <c:layout>
        <c:manualLayout>
          <c:layoutTarget val="inner"/>
          <c:xMode val="edge"/>
          <c:yMode val="edge"/>
          <c:x val="0.14052553578102644"/>
          <c:y val="0.27585528427651584"/>
          <c:w val="0.79248679476561346"/>
          <c:h val="0.45827564719877639"/>
        </c:manualLayout>
      </c:layout>
      <c:barChart>
        <c:barDir val="col"/>
        <c:grouping val="clustered"/>
        <c:varyColors val="0"/>
        <c:ser>
          <c:idx val="0"/>
          <c:order val="0"/>
          <c:invertIfNegative val="0"/>
          <c:dLbls>
            <c:numFmt formatCode="#,##0" sourceLinked="0"/>
            <c:spPr>
              <a:noFill/>
              <a:ln w="25400">
                <a:noFill/>
              </a:ln>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'INDICADORES MANTENIMIENTO P3'!$C$6:$N$6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'INDICADORES MANTENIMIENTO P3'!$C$7:$N$7</c:f>
              <c:numCache>
                <c:formatCode>0.00</c:formatCode>
                <c:ptCount val="12"/>
                <c:pt idx="0">
                  <c:v>100</c:v>
                </c:pt>
                <c:pt idx="1">
                  <c:v>99</c:v>
                </c:pt>
                <c:pt idx="2">
                  <c:v>100</c:v>
                </c:pt>
                <c:pt idx="3">
                  <c:v>100</c:v>
                </c:pt>
                <c:pt idx="4">
                  <c:v>100</c:v>
                </c:pt>
                <c:pt idx="5">
                  <c:v>100</c:v>
                </c:pt>
                <c:pt idx="6">
                  <c:v>99.6</c:v>
                </c:pt>
                <c:pt idx="7">
                  <c:v>100</c:v>
                </c:pt>
                <c:pt idx="8">
                  <c:v>100</c:v>
                </c:pt>
                <c:pt idx="9">
                  <c:v>100</c:v>
                </c:pt>
                <c:pt idx="10">
                  <c:v>100</c:v>
                </c:pt>
              </c:numCache>
            </c:numRef>
          </c:val>
          <c:extLst>
            <c:ext xmlns:c16="http://schemas.microsoft.com/office/drawing/2014/chart" uri="{C3380CC4-5D6E-409C-BE32-E72D297353CC}">
              <c16:uniqueId val="{00000000-5D0C-40FE-A038-A234B4507C94}"/>
            </c:ext>
          </c:extLst>
        </c:ser>
        <c:dLbls>
          <c:showLegendKey val="0"/>
          <c:showVal val="0"/>
          <c:showCatName val="0"/>
          <c:showSerName val="0"/>
          <c:showPercent val="0"/>
          <c:showBubbleSize val="0"/>
        </c:dLbls>
        <c:gapWidth val="150"/>
        <c:axId val="153546112"/>
        <c:axId val="153552384"/>
      </c:barChart>
      <c:lineChart>
        <c:grouping val="standard"/>
        <c:varyColors val="0"/>
        <c:ser>
          <c:idx val="1"/>
          <c:order val="1"/>
          <c:marker>
            <c:symbol val="none"/>
          </c:marker>
          <c:cat>
            <c:numRef>
              <c:f>'INDICADORES MANTENIMIENTO P3'!$C$6:$N$6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('INDICADORES MANTENIMIENTO P3'!$B$7,'INDICADORES MANTENIMIENTO P3'!$B$7,'INDICADORES MANTENIMIENTO P3'!$B$7,'INDICADORES MANTENIMIENTO P3'!$B$7,'INDICADORES MANTENIMIENTO P3'!$B$7,'INDICADORES MANTENIMIENTO P3'!$B$7,'INDICADORES MANTENIMIENTO P3'!$B$7,'INDICADORES MANTENIMIENTO P3'!$B$7,'INDICADORES MANTENIMIENTO P3'!$B$7,'INDICADORES MANTENIMIENTO P3'!$B$7,'INDICADORES MANTENIMIENTO P3'!$B$7,'INDICADORES MANTENIMIENTO P3'!$B$7)</c:f>
              <c:numCache>
                <c:formatCode>0.00</c:formatCode>
                <c:ptCount val="12"/>
                <c:pt idx="0">
                  <c:v>95</c:v>
                </c:pt>
                <c:pt idx="1">
                  <c:v>95</c:v>
                </c:pt>
                <c:pt idx="2">
                  <c:v>95</c:v>
                </c:pt>
                <c:pt idx="3">
                  <c:v>95</c:v>
                </c:pt>
                <c:pt idx="4">
                  <c:v>95</c:v>
                </c:pt>
                <c:pt idx="5">
                  <c:v>95</c:v>
                </c:pt>
                <c:pt idx="6">
                  <c:v>95</c:v>
                </c:pt>
                <c:pt idx="7">
                  <c:v>95</c:v>
                </c:pt>
                <c:pt idx="8">
                  <c:v>95</c:v>
                </c:pt>
                <c:pt idx="9">
                  <c:v>95</c:v>
                </c:pt>
                <c:pt idx="10">
                  <c:v>95</c:v>
                </c:pt>
                <c:pt idx="11">
                  <c:v>95</c:v>
                </c:pt>
              </c:numCache>
            </c:numRef>
          </c:val>
          <c:smooth val="0"/>
          <c:extLst>
            <c:ext xmlns:c16="http://schemas.microsoft.com/office/drawing/2014/chart" uri="{C3380CC4-5D6E-409C-BE32-E72D297353CC}">
              <c16:uniqueId val="{00000001-5D0C-40FE-A038-A234B4507C94}"/>
            </c:ext>
          </c:extLst>
        </c:ser>
        <c:dLbls>
          <c:showLegendKey val="0"/>
          <c:showVal val="0"/>
          <c:showCatName val="0"/>
          <c:showSerName val="0"/>
          <c:showPercent val="0"/>
          <c:showBubbleSize val="0"/>
        </c:dLbls>
        <c:marker val="1"/>
        <c:smooth val="0"/>
        <c:axId val="153546112"/>
        <c:axId val="153552384"/>
      </c:lineChart>
      <c:dateAx>
        <c:axId val="153546112"/>
        <c:scaling>
          <c:orientation val="minMax"/>
        </c:scaling>
        <c:delete val="0"/>
        <c:axPos val="b"/>
        <c:title>
          <c:tx>
            <c:rich>
              <a:bodyPr/>
              <a:lstStyle/>
              <a:p>
                <a:pPr>
                  <a:defRPr/>
                </a:pPr>
                <a:r>
                  <a:rPr lang="es-CO"/>
                  <a:t>Mes</a:t>
                </a:r>
              </a:p>
            </c:rich>
          </c:tx>
          <c:layout>
            <c:manualLayout>
              <c:xMode val="edge"/>
              <c:yMode val="edge"/>
              <c:x val="0.47525388203479912"/>
              <c:y val="0.91181517777903653"/>
            </c:manualLayout>
          </c:layout>
          <c:overlay val="0"/>
        </c:title>
        <c:numFmt formatCode="mmm\-yy" sourceLinked="0"/>
        <c:majorTickMark val="none"/>
        <c:minorTickMark val="none"/>
        <c:tickLblPos val="nextTo"/>
        <c:crossAx val="153552384"/>
        <c:crosses val="autoZero"/>
        <c:auto val="1"/>
        <c:lblOffset val="100"/>
        <c:baseTimeUnit val="months"/>
      </c:dateAx>
      <c:valAx>
        <c:axId val="153552384"/>
        <c:scaling>
          <c:orientation val="minMax"/>
          <c:max val="100"/>
          <c:min val="80"/>
        </c:scaling>
        <c:delete val="0"/>
        <c:axPos val="l"/>
        <c:title>
          <c:tx>
            <c:rich>
              <a:bodyPr rot="-5400000" vert="horz"/>
              <a:lstStyle/>
              <a:p>
                <a:pPr>
                  <a:defRPr/>
                </a:pPr>
                <a:r>
                  <a:rPr lang="es-CO"/>
                  <a:t>% Disponibilidad</a:t>
                </a:r>
              </a:p>
            </c:rich>
          </c:tx>
          <c:layout>
            <c:manualLayout>
              <c:xMode val="edge"/>
              <c:yMode val="edge"/>
              <c:x val="3.0743376329296183E-2"/>
              <c:y val="0.3286130780415038"/>
            </c:manualLayout>
          </c:layout>
          <c:overlay val="0"/>
        </c:title>
        <c:numFmt formatCode="0" sourceLinked="0"/>
        <c:majorTickMark val="none"/>
        <c:minorTickMark val="none"/>
        <c:tickLblPos val="nextTo"/>
        <c:crossAx val="153546112"/>
        <c:crosses val="autoZero"/>
        <c:crossBetween val="between"/>
        <c:majorUnit val="5"/>
        <c:minorUnit val="5"/>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'INDICADORES MANTENIMIENTO P3'!$A$8</c:f>
          <c:strCache>
            <c:ptCount val="1"/>
            <c:pt idx="0">
              <c:v>Paradas por Mantenimiento Correctivo (%)</c:v>
            </c:pt>
          </c:strCache>
        </c:strRef>
      </c:tx>
      <c:layout>
        <c:manualLayout>
          <c:xMode val="edge"/>
          <c:yMode val="edge"/>
          <c:x val="0.16721321599505945"/>
          <c:y val="5.7553956834533487E-2"/>
        </c:manualLayout>
      </c:layout>
      <c:overlay val="0"/>
      <c:txPr>
        <a:bodyPr/>
        <a:lstStyle/>
        <a:p>
          <a:pPr>
            <a:defRPr sz="1600"/>
          </a:pPr>
          <a:endParaRPr lang="es-CO"/>
        </a:p>
      </c:txPr>
    </c:title>
    <c:autoTitleDeleted val="0"/>
    <c:plotArea>
      <c:layout>
        <c:manualLayout>
          <c:layoutTarget val="inner"/>
          <c:xMode val="edge"/>
          <c:yMode val="edge"/>
          <c:x val="0.14052553578102644"/>
          <c:y val="0.27585528427651584"/>
          <c:w val="0.79248679476561312"/>
          <c:h val="0.45827564719877639"/>
        </c:manualLayout>
      </c:layout>
      <c:barChart>
        <c:barDir val="col"/>
        <c:grouping val="clustered"/>
        <c:varyColors val="0"/>
        <c:ser>
          <c:idx val="0"/>
          <c:order val="0"/>
          <c:invertIfNegative val="0"/>
          <c:dLbls>
            <c:numFmt formatCode="#,##0.0" sourceLinked="0"/>
            <c:spPr>
              <a:noFill/>
              <a:ln w="25400">
                <a:noFill/>
              </a:ln>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'INDICADORES MANTENIMIENTO P3'!$C$6:$N$6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'INDICADORES MANTENIMIENTO P3'!$C$8:$N$8</c:f>
              <c:numCache>
                <c:formatCode>0.00</c:formatCode>
                <c:ptCount val="12"/>
                <c:pt idx="0">
                  <c:v>0</c:v>
                </c:pt>
                <c:pt idx="1">
                  <c:v>0.6</c:v>
                </c:pt>
                <c:pt idx="2">
                  <c:v>0</c:v>
                </c:pt>
                <c:pt idx="3">
                  <c:v>0</c:v>
                </c:pt>
                <c:pt idx="4">
                  <c:v>0</c:v>
                </c:pt>
                <c:pt idx="5">
                  <c:v>0</c:v>
                </c:pt>
                <c:pt idx="6">
                  <c:v>0.35</c:v>
                </c:pt>
                <c:pt idx="7">
                  <c:v>0</c:v>
                </c:pt>
                <c:pt idx="8">
                  <c:v>0</c:v>
                </c:pt>
                <c:pt idx="9">
                  <c:v>0</c:v>
                </c:pt>
                <c:pt idx="10">
                  <c:v>0</c:v>
                </c:pt>
              </c:numCache>
            </c:numRef>
          </c:val>
          <c:extLst>
            <c:ext xmlns:c16="http://schemas.microsoft.com/office/drawing/2014/chart" uri="{C3380CC4-5D6E-409C-BE32-E72D297353CC}">
              <c16:uniqueId val="{00000000-7232-41ED-8AF1-52FDAE9FED06}"/>
            </c:ext>
          </c:extLst>
        </c:ser>
        <c:dLbls>
          <c:showLegendKey val="0"/>
          <c:showVal val="0"/>
          <c:showCatName val="0"/>
          <c:showSerName val="0"/>
          <c:showPercent val="0"/>
          <c:showBubbleSize val="0"/>
        </c:dLbls>
        <c:gapWidth val="150"/>
        <c:axId val="153652608"/>
        <c:axId val="153662976"/>
      </c:barChart>
      <c:lineChart>
        <c:grouping val="standard"/>
        <c:varyColors val="0"/>
        <c:ser>
          <c:idx val="1"/>
          <c:order val="1"/>
          <c:marker>
            <c:symbol val="none"/>
          </c:marker>
          <c:cat>
            <c:numRef>
              <c:f>'INDICADORES MANTENIMIENTO P3'!$C$6:$N$6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('INDICADORES MANTENIMIENTO P3'!$B$8,'INDICADORES MANTENIMIENTO P3'!$B$8,'INDICADORES MANTENIMIENTO P3'!$B$8,'INDICADORES MANTENIMIENTO P3'!$B$8,'INDICADORES MANTENIMIENTO P3'!$B$8,'INDICADORES MANTENIMIENTO P3'!$B$8,'INDICADORES MANTENIMIENTO P3'!$B$8,'INDICADORES MANTENIMIENTO P3'!$B$8,'INDICADORES MANTENIMIENTO P3'!$B$8,'INDICADORES MANTENIMIENTO P3'!$B$8,'INDICADORES MANTENIMIENTO P3'!$B$8,'INDICADORES MANTENIMIENTO P3'!$B$8)</c:f>
              <c:numCache>
                <c:formatCode>0.00</c:formatCode>
                <c:ptCount val="12"/>
                <c:pt idx="0">
                  <c:v>3.3</c:v>
                </c:pt>
                <c:pt idx="1">
                  <c:v>3.3</c:v>
                </c:pt>
                <c:pt idx="2">
                  <c:v>3.3</c:v>
                </c:pt>
                <c:pt idx="3">
                  <c:v>3.3</c:v>
                </c:pt>
                <c:pt idx="4">
                  <c:v>3.3</c:v>
                </c:pt>
                <c:pt idx="5">
                  <c:v>3.3</c:v>
                </c:pt>
                <c:pt idx="6">
                  <c:v>3.3</c:v>
                </c:pt>
                <c:pt idx="7">
                  <c:v>3.3</c:v>
                </c:pt>
                <c:pt idx="8">
                  <c:v>3.3</c:v>
                </c:pt>
                <c:pt idx="9">
                  <c:v>3.3</c:v>
                </c:pt>
                <c:pt idx="10">
                  <c:v>3.3</c:v>
                </c:pt>
                <c:pt idx="11">
                  <c:v>3.3</c:v>
                </c:pt>
              </c:numCache>
            </c:numRef>
          </c:val>
          <c:smooth val="0"/>
          <c:extLst>
            <c:ext xmlns:c16="http://schemas.microsoft.com/office/drawing/2014/chart" uri="{C3380CC4-5D6E-409C-BE32-E72D297353CC}">
              <c16:uniqueId val="{00000001-7232-41ED-8AF1-52FDAE9FED06}"/>
            </c:ext>
          </c:extLst>
        </c:ser>
        <c:dLbls>
          <c:showLegendKey val="0"/>
          <c:showVal val="0"/>
          <c:showCatName val="0"/>
          <c:showSerName val="0"/>
          <c:showPercent val="0"/>
          <c:showBubbleSize val="0"/>
        </c:dLbls>
        <c:marker val="1"/>
        <c:smooth val="0"/>
        <c:axId val="153652608"/>
        <c:axId val="153662976"/>
      </c:lineChart>
      <c:dateAx>
        <c:axId val="153652608"/>
        <c:scaling>
          <c:orientation val="minMax"/>
        </c:scaling>
        <c:delete val="0"/>
        <c:axPos val="b"/>
        <c:title>
          <c:tx>
            <c:rich>
              <a:bodyPr/>
              <a:lstStyle/>
              <a:p>
                <a:pPr>
                  <a:defRPr/>
                </a:pPr>
                <a:r>
                  <a:rPr lang="es-CO"/>
                  <a:t>Mes</a:t>
                </a:r>
              </a:p>
            </c:rich>
          </c:tx>
          <c:layout>
            <c:manualLayout>
              <c:xMode val="edge"/>
              <c:yMode val="edge"/>
              <c:x val="0.47525388203479912"/>
              <c:y val="0.91181517777903653"/>
            </c:manualLayout>
          </c:layout>
          <c:overlay val="0"/>
        </c:title>
        <c:numFmt formatCode="mmm\-yy" sourceLinked="0"/>
        <c:majorTickMark val="none"/>
        <c:minorTickMark val="none"/>
        <c:tickLblPos val="nextTo"/>
        <c:crossAx val="153662976"/>
        <c:crosses val="autoZero"/>
        <c:auto val="1"/>
        <c:lblOffset val="100"/>
        <c:baseTimeUnit val="months"/>
      </c:dateAx>
      <c:valAx>
        <c:axId val="153662976"/>
        <c:scaling>
          <c:orientation val="minMax"/>
          <c:max val="15"/>
          <c:min val="0"/>
        </c:scaling>
        <c:delete val="0"/>
        <c:axPos val="l"/>
        <c:title>
          <c:tx>
            <c:rich>
              <a:bodyPr rot="-5400000" vert="horz"/>
              <a:lstStyle/>
              <a:p>
                <a:pPr>
                  <a:defRPr/>
                </a:pPr>
                <a:r>
                  <a:rPr lang="es-CO"/>
                  <a:t>%Paradas</a:t>
                </a:r>
              </a:p>
            </c:rich>
          </c:tx>
          <c:layout>
            <c:manualLayout>
              <c:xMode val="edge"/>
              <c:yMode val="edge"/>
              <c:x val="3.0743376329296197E-2"/>
              <c:y val="0.3286130780415038"/>
            </c:manualLayout>
          </c:layout>
          <c:overlay val="0"/>
        </c:title>
        <c:numFmt formatCode="0" sourceLinked="0"/>
        <c:majorTickMark val="none"/>
        <c:minorTickMark val="none"/>
        <c:tickLblPos val="nextTo"/>
        <c:crossAx val="153652608"/>
        <c:crosses val="autoZero"/>
        <c:crossBetween val="between"/>
        <c:majorUnit val="5"/>
        <c:minorUnit val="1"/>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'INDICADORES MANTENIMIENTO P3'!$A$9</c:f>
          <c:strCache>
            <c:ptCount val="1"/>
            <c:pt idx="0">
              <c:v>Reproceso (%)</c:v>
            </c:pt>
          </c:strCache>
        </c:strRef>
      </c:tx>
      <c:layout>
        <c:manualLayout>
          <c:xMode val="edge"/>
          <c:yMode val="edge"/>
          <c:x val="0.39300050060588054"/>
          <c:y val="6.2350119904076934E-2"/>
        </c:manualLayout>
      </c:layout>
      <c:overlay val="0"/>
      <c:txPr>
        <a:bodyPr/>
        <a:lstStyle/>
        <a:p>
          <a:pPr>
            <a:defRPr sz="1600"/>
          </a:pPr>
          <a:endParaRPr lang="es-CO"/>
        </a:p>
      </c:txPr>
    </c:title>
    <c:autoTitleDeleted val="0"/>
    <c:plotArea>
      <c:layout>
        <c:manualLayout>
          <c:layoutTarget val="inner"/>
          <c:xMode val="edge"/>
          <c:yMode val="edge"/>
          <c:x val="0.14052553578102644"/>
          <c:y val="0.27585528427651584"/>
          <c:w val="0.79248679476561268"/>
          <c:h val="0.45827564719877639"/>
        </c:manualLayout>
      </c:layout>
      <c:barChart>
        <c:barDir val="col"/>
        <c:grouping val="clustered"/>
        <c:varyColors val="0"/>
        <c:ser>
          <c:idx val="0"/>
          <c:order val="0"/>
          <c:invertIfNegative val="0"/>
          <c:dLbls>
            <c:numFmt formatCode="#,##0.0" sourceLinked="0"/>
            <c:spPr>
              <a:noFill/>
              <a:ln w="25400">
                <a:noFill/>
              </a:ln>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'INDICADORES MANTENIMIENTO P3'!$C$6:$N$6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'INDICADORES MANTENIMIENTO P3'!$C$9:$N$9</c:f>
              <c:numCache>
                <c:formatCode>0.00</c:formatCode>
                <c:ptCount val="12"/>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0-354F-4715-8971-4030DF6950F9}"/>
            </c:ext>
          </c:extLst>
        </c:ser>
        <c:dLbls>
          <c:showLegendKey val="0"/>
          <c:showVal val="0"/>
          <c:showCatName val="0"/>
          <c:showSerName val="0"/>
          <c:showPercent val="0"/>
          <c:showBubbleSize val="0"/>
        </c:dLbls>
        <c:gapWidth val="150"/>
        <c:axId val="153906560"/>
        <c:axId val="153916928"/>
      </c:barChart>
      <c:lineChart>
        <c:grouping val="standard"/>
        <c:varyColors val="0"/>
        <c:ser>
          <c:idx val="1"/>
          <c:order val="1"/>
          <c:marker>
            <c:symbol val="none"/>
          </c:marker>
          <c:cat>
            <c:numRef>
              <c:f>'INDICADORES MANTENIMIENTO P3'!$C$6:$N$6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('INDICADORES MANTENIMIENTO P3'!$B$9,'INDICADORES MANTENIMIENTO P3'!$B$9,'INDICADORES MANTENIMIENTO P3'!$B$9,'INDICADORES MANTENIMIENTO P3'!$B$9,'INDICADORES MANTENIMIENTO P3'!$B$9,'INDICADORES MANTENIMIENTO P3'!$B$9,'INDICADORES MANTENIMIENTO P3'!$B$9,'INDICADORES MANTENIMIENTO P3'!$B$9,'INDICADORES MANTENIMIENTO P3'!$B$9,'INDICADORES MANTENIMIENTO P3'!$B$9,'INDICADORES MANTENIMIENTO P3'!$B$9,'INDICADORES MANTENIMIENTO P3'!$B$9)</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354F-4715-8971-4030DF6950F9}"/>
            </c:ext>
          </c:extLst>
        </c:ser>
        <c:dLbls>
          <c:showLegendKey val="0"/>
          <c:showVal val="0"/>
          <c:showCatName val="0"/>
          <c:showSerName val="0"/>
          <c:showPercent val="0"/>
          <c:showBubbleSize val="0"/>
        </c:dLbls>
        <c:marker val="1"/>
        <c:smooth val="0"/>
        <c:axId val="153906560"/>
        <c:axId val="153916928"/>
      </c:lineChart>
      <c:dateAx>
        <c:axId val="153906560"/>
        <c:scaling>
          <c:orientation val="minMax"/>
        </c:scaling>
        <c:delete val="0"/>
        <c:axPos val="b"/>
        <c:title>
          <c:tx>
            <c:rich>
              <a:bodyPr/>
              <a:lstStyle/>
              <a:p>
                <a:pPr>
                  <a:defRPr/>
                </a:pPr>
                <a:r>
                  <a:rPr lang="es-CO"/>
                  <a:t>Mes</a:t>
                </a:r>
              </a:p>
            </c:rich>
          </c:tx>
          <c:layout>
            <c:manualLayout>
              <c:xMode val="edge"/>
              <c:yMode val="edge"/>
              <c:x val="0.47525388203479912"/>
              <c:y val="0.91181517777903653"/>
            </c:manualLayout>
          </c:layout>
          <c:overlay val="0"/>
        </c:title>
        <c:numFmt formatCode="mmm\-yy" sourceLinked="0"/>
        <c:majorTickMark val="none"/>
        <c:minorTickMark val="none"/>
        <c:tickLblPos val="nextTo"/>
        <c:crossAx val="153916928"/>
        <c:crosses val="autoZero"/>
        <c:auto val="1"/>
        <c:lblOffset val="100"/>
        <c:baseTimeUnit val="months"/>
      </c:dateAx>
      <c:valAx>
        <c:axId val="153916928"/>
        <c:scaling>
          <c:orientation val="minMax"/>
          <c:max val="15"/>
          <c:min val="0"/>
        </c:scaling>
        <c:delete val="0"/>
        <c:axPos val="l"/>
        <c:title>
          <c:tx>
            <c:rich>
              <a:bodyPr rot="-5400000" vert="horz"/>
              <a:lstStyle/>
              <a:p>
                <a:pPr>
                  <a:defRPr/>
                </a:pPr>
                <a:r>
                  <a:rPr lang="es-CO"/>
                  <a:t>% Reproceso</a:t>
                </a:r>
              </a:p>
            </c:rich>
          </c:tx>
          <c:layout>
            <c:manualLayout>
              <c:xMode val="edge"/>
              <c:yMode val="edge"/>
              <c:x val="3.0743376329296208E-2"/>
              <c:y val="0.3286130780415038"/>
            </c:manualLayout>
          </c:layout>
          <c:overlay val="0"/>
        </c:title>
        <c:numFmt formatCode="0" sourceLinked="0"/>
        <c:majorTickMark val="none"/>
        <c:minorTickMark val="none"/>
        <c:tickLblPos val="nextTo"/>
        <c:crossAx val="153906560"/>
        <c:crosses val="autoZero"/>
        <c:crossBetween val="between"/>
        <c:majorUnit val="5"/>
        <c:minorUnit val="5"/>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'INDICADORES MANTENIMIENTO P3'!$A$10</c:f>
          <c:strCache>
            <c:ptCount val="1"/>
            <c:pt idx="0">
              <c:v>Cumplimiento Mantenimiento Preventivo (%)</c:v>
            </c:pt>
          </c:strCache>
        </c:strRef>
      </c:tx>
      <c:layout>
        <c:manualLayout>
          <c:xMode val="edge"/>
          <c:yMode val="edge"/>
          <c:x val="0.12918588385008023"/>
          <c:y val="6.235011741953405E-2"/>
        </c:manualLayout>
      </c:layout>
      <c:overlay val="0"/>
      <c:txPr>
        <a:bodyPr/>
        <a:lstStyle/>
        <a:p>
          <a:pPr>
            <a:defRPr sz="1600"/>
          </a:pPr>
          <a:endParaRPr lang="es-CO"/>
        </a:p>
      </c:txPr>
    </c:title>
    <c:autoTitleDeleted val="0"/>
    <c:plotArea>
      <c:layout>
        <c:manualLayout>
          <c:layoutTarget val="inner"/>
          <c:xMode val="edge"/>
          <c:yMode val="edge"/>
          <c:x val="0.14052553578102644"/>
          <c:y val="0.27585528427651584"/>
          <c:w val="0.79248679476561235"/>
          <c:h val="0.45827564719877639"/>
        </c:manualLayout>
      </c:layout>
      <c:barChart>
        <c:barDir val="col"/>
        <c:grouping val="clustered"/>
        <c:varyColors val="0"/>
        <c:ser>
          <c:idx val="0"/>
          <c:order val="0"/>
          <c:invertIfNegative val="0"/>
          <c:dLbls>
            <c:numFmt formatCode="#,##0" sourceLinked="0"/>
            <c:spPr>
              <a:noFill/>
              <a:ln w="25400">
                <a:noFill/>
              </a:ln>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'INDICADORES MANTENIMIENTO P3'!$C$6:$N$6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'INDICADORES MANTENIMIENTO P3'!$C$10:$N$10</c:f>
              <c:numCache>
                <c:formatCode>0.00</c:formatCode>
                <c:ptCount val="12"/>
                <c:pt idx="0">
                  <c:v>90</c:v>
                </c:pt>
                <c:pt idx="1">
                  <c:v>91</c:v>
                </c:pt>
                <c:pt idx="2">
                  <c:v>90.1</c:v>
                </c:pt>
                <c:pt idx="3">
                  <c:v>91.5</c:v>
                </c:pt>
                <c:pt idx="4">
                  <c:v>91.5</c:v>
                </c:pt>
                <c:pt idx="5">
                  <c:v>93.7</c:v>
                </c:pt>
                <c:pt idx="6">
                  <c:v>93.6</c:v>
                </c:pt>
                <c:pt idx="7">
                  <c:v>94.1</c:v>
                </c:pt>
                <c:pt idx="8">
                  <c:v>94</c:v>
                </c:pt>
                <c:pt idx="9">
                  <c:v>100</c:v>
                </c:pt>
                <c:pt idx="10">
                  <c:v>100</c:v>
                </c:pt>
              </c:numCache>
            </c:numRef>
          </c:val>
          <c:extLst>
            <c:ext xmlns:c16="http://schemas.microsoft.com/office/drawing/2014/chart" uri="{C3380CC4-5D6E-409C-BE32-E72D297353CC}">
              <c16:uniqueId val="{00000000-8C36-4439-A987-98298DC58D0D}"/>
            </c:ext>
          </c:extLst>
        </c:ser>
        <c:dLbls>
          <c:showLegendKey val="0"/>
          <c:showVal val="0"/>
          <c:showCatName val="0"/>
          <c:showSerName val="0"/>
          <c:showPercent val="0"/>
          <c:showBubbleSize val="0"/>
        </c:dLbls>
        <c:gapWidth val="150"/>
        <c:axId val="154275200"/>
        <c:axId val="154297856"/>
      </c:barChart>
      <c:lineChart>
        <c:grouping val="standard"/>
        <c:varyColors val="0"/>
        <c:ser>
          <c:idx val="1"/>
          <c:order val="1"/>
          <c:marker>
            <c:symbol val="none"/>
          </c:marker>
          <c:cat>
            <c:numRef>
              <c:f>'INDICADORES MANTENIMIENTO P3'!$C$6:$N$6</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('INDICADORES MANTENIMIENTO P3'!$B$10,'INDICADORES MANTENIMIENTO P3'!$B$10,'INDICADORES MANTENIMIENTO P3'!$B$10,'INDICADORES MANTENIMIENTO P3'!$B$10,'INDICADORES MANTENIMIENTO P3'!$B$10,'INDICADORES MANTENIMIENTO P3'!$B$10,'INDICADORES MANTENIMIENTO P3'!$B$10,'INDICADORES MANTENIMIENTO P3'!$B$10,'INDICADORES MANTENIMIENTO P3'!$B$10,'INDICADORES MANTENIMIENTO P3'!$B$10,'INDICADORES MANTENIMIENTO P3'!$B$10,'INDICADORES MANTENIMIENTO P3'!$B$10)</c:f>
              <c:numCache>
                <c:formatCode>0.00</c:formatCode>
                <c:ptCount val="12"/>
                <c:pt idx="0">
                  <c:v>95</c:v>
                </c:pt>
                <c:pt idx="1">
                  <c:v>95</c:v>
                </c:pt>
                <c:pt idx="2">
                  <c:v>95</c:v>
                </c:pt>
                <c:pt idx="3">
                  <c:v>95</c:v>
                </c:pt>
                <c:pt idx="4">
                  <c:v>95</c:v>
                </c:pt>
                <c:pt idx="5">
                  <c:v>95</c:v>
                </c:pt>
                <c:pt idx="6">
                  <c:v>95</c:v>
                </c:pt>
                <c:pt idx="7">
                  <c:v>95</c:v>
                </c:pt>
                <c:pt idx="8">
                  <c:v>95</c:v>
                </c:pt>
                <c:pt idx="9">
                  <c:v>95</c:v>
                </c:pt>
                <c:pt idx="10">
                  <c:v>95</c:v>
                </c:pt>
                <c:pt idx="11">
                  <c:v>95</c:v>
                </c:pt>
              </c:numCache>
            </c:numRef>
          </c:val>
          <c:smooth val="0"/>
          <c:extLst>
            <c:ext xmlns:c16="http://schemas.microsoft.com/office/drawing/2014/chart" uri="{C3380CC4-5D6E-409C-BE32-E72D297353CC}">
              <c16:uniqueId val="{00000001-8C36-4439-A987-98298DC58D0D}"/>
            </c:ext>
          </c:extLst>
        </c:ser>
        <c:dLbls>
          <c:showLegendKey val="0"/>
          <c:showVal val="0"/>
          <c:showCatName val="0"/>
          <c:showSerName val="0"/>
          <c:showPercent val="0"/>
          <c:showBubbleSize val="0"/>
        </c:dLbls>
        <c:marker val="1"/>
        <c:smooth val="0"/>
        <c:axId val="154275200"/>
        <c:axId val="154297856"/>
      </c:lineChart>
      <c:dateAx>
        <c:axId val="154275200"/>
        <c:scaling>
          <c:orientation val="minMax"/>
        </c:scaling>
        <c:delete val="0"/>
        <c:axPos val="b"/>
        <c:title>
          <c:tx>
            <c:rich>
              <a:bodyPr/>
              <a:lstStyle/>
              <a:p>
                <a:pPr>
                  <a:defRPr/>
                </a:pPr>
                <a:r>
                  <a:rPr lang="es-CO"/>
                  <a:t>Mes</a:t>
                </a:r>
              </a:p>
            </c:rich>
          </c:tx>
          <c:layout>
            <c:manualLayout>
              <c:xMode val="edge"/>
              <c:yMode val="edge"/>
              <c:x val="0.47525388203479912"/>
              <c:y val="0.91181517777903653"/>
            </c:manualLayout>
          </c:layout>
          <c:overlay val="0"/>
        </c:title>
        <c:numFmt formatCode="mmm\-yy" sourceLinked="0"/>
        <c:majorTickMark val="none"/>
        <c:minorTickMark val="none"/>
        <c:tickLblPos val="nextTo"/>
        <c:crossAx val="154297856"/>
        <c:crosses val="autoZero"/>
        <c:auto val="1"/>
        <c:lblOffset val="100"/>
        <c:baseTimeUnit val="months"/>
      </c:dateAx>
      <c:valAx>
        <c:axId val="154297856"/>
        <c:scaling>
          <c:orientation val="minMax"/>
          <c:max val="100"/>
          <c:min val="80"/>
        </c:scaling>
        <c:delete val="0"/>
        <c:axPos val="l"/>
        <c:title>
          <c:tx>
            <c:rich>
              <a:bodyPr rot="-5400000" vert="horz"/>
              <a:lstStyle/>
              <a:p>
                <a:pPr>
                  <a:defRPr/>
                </a:pPr>
                <a:r>
                  <a:rPr lang="es-CO"/>
                  <a:t>% Cumplimiento</a:t>
                </a:r>
              </a:p>
            </c:rich>
          </c:tx>
          <c:layout>
            <c:manualLayout>
              <c:xMode val="edge"/>
              <c:yMode val="edge"/>
              <c:x val="3.0743376329296218E-2"/>
              <c:y val="0.3286130780415038"/>
            </c:manualLayout>
          </c:layout>
          <c:overlay val="0"/>
        </c:title>
        <c:numFmt formatCode="0" sourceLinked="0"/>
        <c:majorTickMark val="none"/>
        <c:minorTickMark val="none"/>
        <c:tickLblPos val="nextTo"/>
        <c:crossAx val="154275200"/>
        <c:crosses val="autoZero"/>
        <c:crossBetween val="between"/>
        <c:majorUnit val="5"/>
        <c:minorUnit val="5"/>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300"/>
            </a:pPr>
            <a:r>
              <a:rPr lang="es-ES" sz="900" b="1" i="0" baseline="0"/>
              <a:t>CONSUMO DE ACEITE RBD VS CONSUMO DE ACEITE SINTETICO</a:t>
            </a:r>
            <a:endParaRPr lang="es-CO" sz="300"/>
          </a:p>
        </c:rich>
      </c:tx>
      <c:overlay val="0"/>
    </c:title>
    <c:autoTitleDeleted val="0"/>
    <c:plotArea>
      <c:layout/>
      <c:lineChart>
        <c:grouping val="standard"/>
        <c:varyColors val="0"/>
        <c:ser>
          <c:idx val="1"/>
          <c:order val="0"/>
          <c:tx>
            <c:v>RBD</c:v>
          </c:tx>
          <c:spPr>
            <a:ln w="22225"/>
          </c:spPr>
          <c:marker>
            <c:symbol val="circle"/>
            <c:size val="4"/>
          </c:marker>
          <c:dLbls>
            <c:numFmt formatCode="#,##0.0" sourceLinked="0"/>
            <c:spPr>
              <a:noFill/>
              <a:ln>
                <a:noFill/>
              </a:ln>
              <a:effectLst/>
            </c:sp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'INDICADORES PRODUCCION'!$C$7:$N$7</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'INDICADORES PRODUCCION'!$C$25:$N$25</c:f>
              <c:numCache>
                <c:formatCode>0.00</c:formatCode>
                <c:ptCount val="12"/>
                <c:pt idx="0">
                  <c:v>914.66976121628943</c:v>
                </c:pt>
                <c:pt idx="1">
                  <c:v>925.56004238890421</c:v>
                </c:pt>
                <c:pt idx="2">
                  <c:v>897.8782555230481</c:v>
                </c:pt>
                <c:pt idx="3">
                  <c:v>913.635376309089</c:v>
                </c:pt>
                <c:pt idx="4">
                  <c:v>924.47375893891513</c:v>
                </c:pt>
                <c:pt idx="5">
                  <c:v>938.79305124400344</c:v>
                </c:pt>
                <c:pt idx="6">
                  <c:v>911.59910107548012</c:v>
                </c:pt>
                <c:pt idx="7">
                  <c:v>957.5630555292305</c:v>
                </c:pt>
                <c:pt idx="8">
                  <c:v>936.37700735179669</c:v>
                </c:pt>
                <c:pt idx="9">
                  <c:v>936.01542958403741</c:v>
                </c:pt>
                <c:pt idx="10">
                  <c:v>944.30227155780585</c:v>
                </c:pt>
                <c:pt idx="11">
                  <c:v>970.27847825119727</c:v>
                </c:pt>
              </c:numCache>
            </c:numRef>
          </c:val>
          <c:smooth val="0"/>
          <c:extLst>
            <c:ext xmlns:c16="http://schemas.microsoft.com/office/drawing/2014/chart" uri="{C3380CC4-5D6E-409C-BE32-E72D297353CC}">
              <c16:uniqueId val="{00000000-686D-453D-94D0-8D0F49D501A1}"/>
            </c:ext>
          </c:extLst>
        </c:ser>
        <c:ser>
          <c:idx val="0"/>
          <c:order val="1"/>
          <c:tx>
            <c:v>AS</c:v>
          </c:tx>
          <c:spPr>
            <a:ln w="22225"/>
          </c:spPr>
          <c:marker>
            <c:symbol val="circle"/>
            <c:size val="4"/>
          </c:marker>
          <c:dLbls>
            <c:numFmt formatCode="#,##0.0" sourceLinked="0"/>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'INDICADORES PRODUCCION'!$C$7:$N$7</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'INDICADORES PRODUCCION'!$C$26:$N$26</c:f>
              <c:numCache>
                <c:formatCode>0.00</c:formatCode>
                <c:ptCount val="12"/>
                <c:pt idx="0">
                  <c:v>107.11838060546238</c:v>
                </c:pt>
                <c:pt idx="1">
                  <c:v>98.865116452777002</c:v>
                </c:pt>
                <c:pt idx="2">
                  <c:v>124.98228454257297</c:v>
                </c:pt>
                <c:pt idx="3">
                  <c:v>108.23316334273387</c:v>
                </c:pt>
                <c:pt idx="4">
                  <c:v>99.271484180308704</c:v>
                </c:pt>
                <c:pt idx="5">
                  <c:v>79.8633534497353</c:v>
                </c:pt>
                <c:pt idx="6">
                  <c:v>112.71218269122767</c:v>
                </c:pt>
                <c:pt idx="7">
                  <c:v>65.016189843589601</c:v>
                </c:pt>
                <c:pt idx="8">
                  <c:v>87.48709157222747</c:v>
                </c:pt>
                <c:pt idx="9">
                  <c:v>90.072228808945724</c:v>
                </c:pt>
                <c:pt idx="10">
                  <c:v>88.896628188144334</c:v>
                </c:pt>
                <c:pt idx="11">
                  <c:v>48.23698375268448</c:v>
                </c:pt>
              </c:numCache>
            </c:numRef>
          </c:val>
          <c:smooth val="0"/>
          <c:extLst>
            <c:ext xmlns:c16="http://schemas.microsoft.com/office/drawing/2014/chart" uri="{C3380CC4-5D6E-409C-BE32-E72D297353CC}">
              <c16:uniqueId val="{00000001-686D-453D-94D0-8D0F49D501A1}"/>
            </c:ext>
          </c:extLst>
        </c:ser>
        <c:dLbls>
          <c:showLegendKey val="0"/>
          <c:showVal val="0"/>
          <c:showCatName val="0"/>
          <c:showSerName val="0"/>
          <c:showPercent val="0"/>
          <c:showBubbleSize val="0"/>
        </c:dLbls>
        <c:marker val="1"/>
        <c:smooth val="0"/>
        <c:axId val="131826048"/>
        <c:axId val="131827584"/>
      </c:lineChart>
      <c:lineChart>
        <c:grouping val="standard"/>
        <c:varyColors val="0"/>
        <c:ser>
          <c:idx val="2"/>
          <c:order val="2"/>
          <c:tx>
            <c:v>B100 - P1</c:v>
          </c:tx>
          <c:cat>
            <c:numRef>
              <c:f>'INDICADORES PRODUCCION'!$C$7:$N$7</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'INDICADORES PRODUCCION'!$C$8:$N$8</c:f>
              <c:numCache>
                <c:formatCode>_-* #,##0.00\ _€_-;\-* #,##0.00\ _€_-;_-* "-"??\ _€_-;_-@_-</c:formatCode>
                <c:ptCount val="12"/>
                <c:pt idx="0">
                  <c:v>5964.8959999999997</c:v>
                </c:pt>
                <c:pt idx="1">
                  <c:v>5355.1750000000002</c:v>
                </c:pt>
                <c:pt idx="2">
                  <c:v>9342.1239999999998</c:v>
                </c:pt>
                <c:pt idx="3">
                  <c:v>7241.7730000000001</c:v>
                </c:pt>
                <c:pt idx="4">
                  <c:v>5968.9849999999997</c:v>
                </c:pt>
                <c:pt idx="5">
                  <c:v>9049.3320000000003</c:v>
                </c:pt>
                <c:pt idx="6">
                  <c:v>9116.6720000000005</c:v>
                </c:pt>
                <c:pt idx="7">
                  <c:v>7164.6769999999997</c:v>
                </c:pt>
                <c:pt idx="8">
                  <c:v>8011.2389999999996</c:v>
                </c:pt>
                <c:pt idx="9">
                  <c:v>7086.6459999999997</c:v>
                </c:pt>
                <c:pt idx="10">
                  <c:v>8166.1139999999996</c:v>
                </c:pt>
                <c:pt idx="11">
                  <c:v>8361.0120000000006</c:v>
                </c:pt>
              </c:numCache>
            </c:numRef>
          </c:val>
          <c:smooth val="0"/>
          <c:extLst>
            <c:ext xmlns:c16="http://schemas.microsoft.com/office/drawing/2014/chart" uri="{C3380CC4-5D6E-409C-BE32-E72D297353CC}">
              <c16:uniqueId val="{00000002-686D-453D-94D0-8D0F49D501A1}"/>
            </c:ext>
          </c:extLst>
        </c:ser>
        <c:ser>
          <c:idx val="3"/>
          <c:order val="3"/>
          <c:tx>
            <c:v>RBD+AS</c:v>
          </c:tx>
          <c:marker>
            <c:symbol val="diamond"/>
            <c:size val="4"/>
          </c:marker>
          <c:dLbls>
            <c:numFmt formatCode="#,##0" sourceLinked="0"/>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val>
            <c:numRef>
              <c:f>'INDICADORES PRODUCCION'!$C$27:$N$27</c:f>
              <c:numCache>
                <c:formatCode>0.00</c:formatCode>
                <c:ptCount val="12"/>
                <c:pt idx="0">
                  <c:v>1021.7881418217518</c:v>
                </c:pt>
                <c:pt idx="1">
                  <c:v>1024.4251588416812</c:v>
                </c:pt>
                <c:pt idx="2">
                  <c:v>1022.8605400656211</c:v>
                </c:pt>
                <c:pt idx="3">
                  <c:v>1021.8685396518229</c:v>
                </c:pt>
                <c:pt idx="4">
                  <c:v>1023.7452431192238</c:v>
                </c:pt>
                <c:pt idx="5">
                  <c:v>1018.6564046937388</c:v>
                </c:pt>
                <c:pt idx="6">
                  <c:v>1024.3112837667077</c:v>
                </c:pt>
                <c:pt idx="7">
                  <c:v>1022.5792453728201</c:v>
                </c:pt>
                <c:pt idx="8">
                  <c:v>1023.8640989240241</c:v>
                </c:pt>
                <c:pt idx="9">
                  <c:v>1026.087658392983</c:v>
                </c:pt>
                <c:pt idx="10">
                  <c:v>1033.1988997459503</c:v>
                </c:pt>
                <c:pt idx="11">
                  <c:v>1018.5154620038818</c:v>
                </c:pt>
              </c:numCache>
            </c:numRef>
          </c:val>
          <c:smooth val="0"/>
          <c:extLst>
            <c:ext xmlns:c16="http://schemas.microsoft.com/office/drawing/2014/chart" uri="{C3380CC4-5D6E-409C-BE32-E72D297353CC}">
              <c16:uniqueId val="{00000000-2657-4010-AE28-559F4BFB5FB3}"/>
            </c:ext>
          </c:extLst>
        </c:ser>
        <c:dLbls>
          <c:showLegendKey val="0"/>
          <c:showVal val="0"/>
          <c:showCatName val="0"/>
          <c:showSerName val="0"/>
          <c:showPercent val="0"/>
          <c:showBubbleSize val="0"/>
        </c:dLbls>
        <c:marker val="1"/>
        <c:smooth val="0"/>
        <c:axId val="132318720"/>
        <c:axId val="132317184"/>
      </c:lineChart>
      <c:dateAx>
        <c:axId val="131826048"/>
        <c:scaling>
          <c:orientation val="minMax"/>
        </c:scaling>
        <c:delete val="0"/>
        <c:axPos val="b"/>
        <c:numFmt formatCode="mmm\-yy" sourceLinked="0"/>
        <c:majorTickMark val="none"/>
        <c:minorTickMark val="none"/>
        <c:tickLblPos val="nextTo"/>
        <c:txPr>
          <a:bodyPr rot="0" vert="horz"/>
          <a:lstStyle/>
          <a:p>
            <a:pPr>
              <a:defRPr/>
            </a:pPr>
            <a:endParaRPr lang="es-CO"/>
          </a:p>
        </c:txPr>
        <c:crossAx val="131827584"/>
        <c:crosses val="autoZero"/>
        <c:auto val="0"/>
        <c:lblOffset val="100"/>
        <c:baseTimeUnit val="months"/>
      </c:dateAx>
      <c:valAx>
        <c:axId val="131827584"/>
        <c:scaling>
          <c:orientation val="minMax"/>
          <c:max val="1400"/>
          <c:min val="0"/>
        </c:scaling>
        <c:delete val="0"/>
        <c:axPos val="l"/>
        <c:majorGridlines/>
        <c:title>
          <c:tx>
            <c:rich>
              <a:bodyPr anchor="t" anchorCtr="1"/>
              <a:lstStyle/>
              <a:p>
                <a:pPr>
                  <a:defRPr/>
                </a:pPr>
                <a:r>
                  <a:rPr lang="es-CO"/>
                  <a:t>kg/Ton B100</a:t>
                </a:r>
              </a:p>
            </c:rich>
          </c:tx>
          <c:layout>
            <c:manualLayout>
              <c:xMode val="edge"/>
              <c:yMode val="edge"/>
              <c:x val="6.0395523183349016E-2"/>
              <c:y val="0.25197255919552236"/>
            </c:manualLayout>
          </c:layout>
          <c:overlay val="0"/>
        </c:title>
        <c:numFmt formatCode="0" sourceLinked="0"/>
        <c:majorTickMark val="none"/>
        <c:minorTickMark val="none"/>
        <c:tickLblPos val="nextTo"/>
        <c:txPr>
          <a:bodyPr rot="0" vert="horz"/>
          <a:lstStyle/>
          <a:p>
            <a:pPr>
              <a:defRPr/>
            </a:pPr>
            <a:endParaRPr lang="es-CO"/>
          </a:p>
        </c:txPr>
        <c:crossAx val="131826048"/>
        <c:crosses val="autoZero"/>
        <c:crossBetween val="between"/>
        <c:majorUnit val="350"/>
      </c:valAx>
      <c:valAx>
        <c:axId val="132317184"/>
        <c:scaling>
          <c:orientation val="minMax"/>
          <c:max val="4.5"/>
          <c:min val="1"/>
        </c:scaling>
        <c:delete val="1"/>
        <c:axPos val="r"/>
        <c:numFmt formatCode="#,##0.0" sourceLinked="0"/>
        <c:majorTickMark val="out"/>
        <c:minorTickMark val="none"/>
        <c:tickLblPos val="none"/>
        <c:crossAx val="132318720"/>
        <c:crosses val="max"/>
        <c:crossBetween val="between"/>
      </c:valAx>
      <c:dateAx>
        <c:axId val="132318720"/>
        <c:scaling>
          <c:orientation val="minMax"/>
        </c:scaling>
        <c:delete val="1"/>
        <c:axPos val="b"/>
        <c:numFmt formatCode="mmm\-yy" sourceLinked="1"/>
        <c:majorTickMark val="out"/>
        <c:minorTickMark val="none"/>
        <c:tickLblPos val="none"/>
        <c:crossAx val="132317184"/>
        <c:crosses val="autoZero"/>
        <c:auto val="1"/>
        <c:lblOffset val="100"/>
        <c:baseTimeUnit val="months"/>
      </c:dateAx>
      <c:dTable>
        <c:showHorzBorder val="1"/>
        <c:showVertBorder val="1"/>
        <c:showOutline val="1"/>
        <c:showKeys val="1"/>
      </c:dTable>
    </c:plotArea>
    <c:plotVisOnly val="1"/>
    <c:dispBlanksAs val="gap"/>
    <c:showDLblsOverMax val="0"/>
  </c:chart>
  <c:txPr>
    <a:bodyPr/>
    <a:lstStyle/>
    <a:p>
      <a:pPr>
        <a:defRPr sz="800"/>
      </a:pPr>
      <a:endParaRPr lang="es-CO"/>
    </a:p>
  </c:txPr>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1000"/>
            </a:pPr>
            <a:r>
              <a:rPr lang="es-CO"/>
              <a:t>PRODUCCION</a:t>
            </a:r>
            <a:r>
              <a:rPr lang="es-CO" baseline="0"/>
              <a:t> BIODIESEL</a:t>
            </a:r>
            <a:endParaRPr lang="es-CO"/>
          </a:p>
        </c:rich>
      </c:tx>
      <c:overlay val="0"/>
    </c:title>
    <c:autoTitleDeleted val="0"/>
    <c:plotArea>
      <c:layout>
        <c:manualLayout>
          <c:layoutTarget val="inner"/>
          <c:xMode val="edge"/>
          <c:yMode val="edge"/>
          <c:x val="0.18547075236808269"/>
          <c:y val="0.13858383613248992"/>
          <c:w val="0.76406101569504459"/>
          <c:h val="0.56283360174512276"/>
        </c:manualLayout>
      </c:layout>
      <c:lineChart>
        <c:grouping val="standard"/>
        <c:varyColors val="0"/>
        <c:ser>
          <c:idx val="1"/>
          <c:order val="0"/>
          <c:tx>
            <c:v>B100 - P1</c:v>
          </c:tx>
          <c:spPr>
            <a:ln w="22225"/>
          </c:spPr>
          <c:marker>
            <c:symbol val="circle"/>
            <c:size val="4"/>
          </c:marker>
          <c:dLbls>
            <c:numFmt formatCode="#,##0" sourceLinked="0"/>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'INDICADORES PRODUCCION'!$C$7:$N$7</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'INDICADORES PRODUCCION'!$C$8:$N$8</c:f>
              <c:numCache>
                <c:formatCode>_-* #,##0.00\ _€_-;\-* #,##0.00\ _€_-;_-* "-"??\ _€_-;_-@_-</c:formatCode>
                <c:ptCount val="12"/>
                <c:pt idx="0">
                  <c:v>5964.8959999999997</c:v>
                </c:pt>
                <c:pt idx="1">
                  <c:v>5355.1750000000002</c:v>
                </c:pt>
                <c:pt idx="2">
                  <c:v>9342.1239999999998</c:v>
                </c:pt>
                <c:pt idx="3">
                  <c:v>7241.7730000000001</c:v>
                </c:pt>
                <c:pt idx="4">
                  <c:v>5968.9849999999997</c:v>
                </c:pt>
                <c:pt idx="5">
                  <c:v>9049.3320000000003</c:v>
                </c:pt>
                <c:pt idx="6">
                  <c:v>9116.6720000000005</c:v>
                </c:pt>
                <c:pt idx="7">
                  <c:v>7164.6769999999997</c:v>
                </c:pt>
                <c:pt idx="8">
                  <c:v>8011.2389999999996</c:v>
                </c:pt>
                <c:pt idx="9">
                  <c:v>7086.6459999999997</c:v>
                </c:pt>
                <c:pt idx="10">
                  <c:v>8166.1139999999996</c:v>
                </c:pt>
                <c:pt idx="11">
                  <c:v>8361.0120000000006</c:v>
                </c:pt>
              </c:numCache>
            </c:numRef>
          </c:val>
          <c:smooth val="0"/>
          <c:extLst>
            <c:ext xmlns:c16="http://schemas.microsoft.com/office/drawing/2014/chart" uri="{C3380CC4-5D6E-409C-BE32-E72D297353CC}">
              <c16:uniqueId val="{00000000-9EE2-4D31-A6DA-134965C8BB43}"/>
            </c:ext>
          </c:extLst>
        </c:ser>
        <c:ser>
          <c:idx val="0"/>
          <c:order val="1"/>
          <c:tx>
            <c:v>Nominal</c:v>
          </c:tx>
          <c:spPr>
            <a:ln w="22225"/>
          </c:spPr>
          <c:marker>
            <c:symbol val="none"/>
          </c:marker>
          <c:cat>
            <c:numRef>
              <c:f>'INDICADORES PRODUCCION'!$C$7:$N$7</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Lit>
              <c:formatCode>General</c:formatCode>
              <c:ptCount val="12"/>
              <c:pt idx="0">
                <c:v>8333</c:v>
              </c:pt>
              <c:pt idx="1">
                <c:v>8333</c:v>
              </c:pt>
              <c:pt idx="2">
                <c:v>8333</c:v>
              </c:pt>
              <c:pt idx="3">
                <c:v>8333</c:v>
              </c:pt>
              <c:pt idx="4">
                <c:v>8333</c:v>
              </c:pt>
              <c:pt idx="5">
                <c:v>8333</c:v>
              </c:pt>
              <c:pt idx="6">
                <c:v>8333</c:v>
              </c:pt>
              <c:pt idx="7">
                <c:v>8333</c:v>
              </c:pt>
              <c:pt idx="8">
                <c:v>8333</c:v>
              </c:pt>
              <c:pt idx="9">
                <c:v>8333</c:v>
              </c:pt>
              <c:pt idx="10">
                <c:v>8333</c:v>
              </c:pt>
              <c:pt idx="11">
                <c:v>8333</c:v>
              </c:pt>
            </c:numLit>
          </c:val>
          <c:smooth val="0"/>
          <c:extLst>
            <c:ext xmlns:c16="http://schemas.microsoft.com/office/drawing/2014/chart" uri="{C3380CC4-5D6E-409C-BE32-E72D297353CC}">
              <c16:uniqueId val="{00000001-9EE2-4D31-A6DA-134965C8BB43}"/>
            </c:ext>
          </c:extLst>
        </c:ser>
        <c:dLbls>
          <c:showLegendKey val="0"/>
          <c:showVal val="0"/>
          <c:showCatName val="0"/>
          <c:showSerName val="0"/>
          <c:showPercent val="0"/>
          <c:showBubbleSize val="0"/>
        </c:dLbls>
        <c:marker val="1"/>
        <c:smooth val="0"/>
        <c:axId val="132333952"/>
        <c:axId val="132335488"/>
      </c:lineChart>
      <c:dateAx>
        <c:axId val="132333952"/>
        <c:scaling>
          <c:orientation val="minMax"/>
        </c:scaling>
        <c:delete val="0"/>
        <c:axPos val="b"/>
        <c:numFmt formatCode="mmm\-yy" sourceLinked="0"/>
        <c:majorTickMark val="none"/>
        <c:minorTickMark val="none"/>
        <c:tickLblPos val="nextTo"/>
        <c:txPr>
          <a:bodyPr rot="0" vert="horz"/>
          <a:lstStyle/>
          <a:p>
            <a:pPr>
              <a:defRPr/>
            </a:pPr>
            <a:endParaRPr lang="es-CO"/>
          </a:p>
        </c:txPr>
        <c:crossAx val="132335488"/>
        <c:crosses val="autoZero"/>
        <c:auto val="1"/>
        <c:lblOffset val="100"/>
        <c:baseTimeUnit val="months"/>
      </c:dateAx>
      <c:valAx>
        <c:axId val="132335488"/>
        <c:scaling>
          <c:orientation val="minMax"/>
          <c:max val="10000"/>
          <c:min val="4000"/>
        </c:scaling>
        <c:delete val="0"/>
        <c:axPos val="l"/>
        <c:majorGridlines/>
        <c:title>
          <c:tx>
            <c:rich>
              <a:bodyPr/>
              <a:lstStyle/>
              <a:p>
                <a:pPr>
                  <a:defRPr/>
                </a:pPr>
                <a:r>
                  <a:rPr lang="es-CO"/>
                  <a:t>kg/Ton B100</a:t>
                </a:r>
              </a:p>
            </c:rich>
          </c:tx>
          <c:layout>
            <c:manualLayout>
              <c:xMode val="edge"/>
              <c:yMode val="edge"/>
              <c:x val="8.5048010973936897E-2"/>
              <c:y val="0.25045800070838875"/>
            </c:manualLayout>
          </c:layout>
          <c:overlay val="0"/>
        </c:title>
        <c:numFmt formatCode="0" sourceLinked="0"/>
        <c:majorTickMark val="none"/>
        <c:minorTickMark val="none"/>
        <c:tickLblPos val="nextTo"/>
        <c:txPr>
          <a:bodyPr rot="0" vert="horz"/>
          <a:lstStyle/>
          <a:p>
            <a:pPr>
              <a:defRPr/>
            </a:pPr>
            <a:endParaRPr lang="es-CO"/>
          </a:p>
        </c:txPr>
        <c:crossAx val="132333952"/>
        <c:crosses val="autoZero"/>
        <c:crossBetween val="between"/>
      </c:valAx>
      <c:dTable>
        <c:showHorzBorder val="1"/>
        <c:showVertBorder val="1"/>
        <c:showOutline val="1"/>
        <c:showKeys val="1"/>
      </c:dTable>
      <c:spPr>
        <a:ln>
          <a:solidFill>
            <a:sysClr val="windowText" lastClr="000000"/>
          </a:solidFill>
        </a:ln>
      </c:spPr>
    </c:plotArea>
    <c:plotVisOnly val="1"/>
    <c:dispBlanksAs val="gap"/>
    <c:showDLblsOverMax val="0"/>
  </c:chart>
  <c:txPr>
    <a:bodyPr/>
    <a:lstStyle/>
    <a:p>
      <a:pPr>
        <a:defRPr sz="800"/>
      </a:pPr>
      <a:endParaRPr lang="es-CO"/>
    </a:p>
  </c:txPr>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1000"/>
            </a:pPr>
            <a:r>
              <a:rPr lang="es-CO"/>
              <a:t>CONSUMO DE ACIDO</a:t>
            </a:r>
            <a:r>
              <a:rPr lang="es-CO" baseline="0"/>
              <a:t> CLORHIDRICO</a:t>
            </a:r>
            <a:endParaRPr lang="es-CO"/>
          </a:p>
        </c:rich>
      </c:tx>
      <c:overlay val="0"/>
    </c:title>
    <c:autoTitleDeleted val="0"/>
    <c:plotArea>
      <c:layout>
        <c:manualLayout>
          <c:layoutTarget val="inner"/>
          <c:xMode val="edge"/>
          <c:yMode val="edge"/>
          <c:x val="0.19094876857529486"/>
          <c:y val="0.14785535910787817"/>
          <c:w val="0.73987560574296651"/>
          <c:h val="0.42842858402948547"/>
        </c:manualLayout>
      </c:layout>
      <c:lineChart>
        <c:grouping val="standard"/>
        <c:varyColors val="0"/>
        <c:ser>
          <c:idx val="1"/>
          <c:order val="0"/>
          <c:tx>
            <c:strRef>
              <c:f>'INDICADORES PRODUCCION'!$A$30</c:f>
              <c:strCache>
                <c:ptCount val="1"/>
                <c:pt idx="0">
                  <c:v>Ácido Clorhídrico</c:v>
                </c:pt>
              </c:strCache>
            </c:strRef>
          </c:tx>
          <c:spPr>
            <a:ln w="22225"/>
          </c:spPr>
          <c:marker>
            <c:symbol val="circle"/>
            <c:size val="4"/>
          </c:marker>
          <c:dLbls>
            <c:numFmt formatCode="#,##0.0" sourceLinked="0"/>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'INDICADORES PRODUCCION'!$C$7:$N$7</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'INDICADORES PRODUCCION'!$C$30:$N$30</c:f>
              <c:numCache>
                <c:formatCode>0.00</c:formatCode>
                <c:ptCount val="12"/>
                <c:pt idx="0">
                  <c:v>12.044300520914364</c:v>
                </c:pt>
                <c:pt idx="1">
                  <c:v>12.785203097937975</c:v>
                </c:pt>
                <c:pt idx="2">
                  <c:v>12.73757445309011</c:v>
                </c:pt>
                <c:pt idx="3">
                  <c:v>13.387053142925081</c:v>
                </c:pt>
                <c:pt idx="4">
                  <c:v>12.486209967021194</c:v>
                </c:pt>
                <c:pt idx="5">
                  <c:v>12.076803017062476</c:v>
                </c:pt>
                <c:pt idx="6">
                  <c:v>11.120285999101425</c:v>
                </c:pt>
                <c:pt idx="7">
                  <c:v>11.653840082393106</c:v>
                </c:pt>
                <c:pt idx="8">
                  <c:v>11.947090830769124</c:v>
                </c:pt>
                <c:pt idx="9">
                  <c:v>11.618048933162457</c:v>
                </c:pt>
                <c:pt idx="10">
                  <c:v>13.400988524039708</c:v>
                </c:pt>
                <c:pt idx="11">
                  <c:v>13.299945030577636</c:v>
                </c:pt>
              </c:numCache>
            </c:numRef>
          </c:val>
          <c:smooth val="0"/>
          <c:extLst>
            <c:ext xmlns:c16="http://schemas.microsoft.com/office/drawing/2014/chart" uri="{C3380CC4-5D6E-409C-BE32-E72D297353CC}">
              <c16:uniqueId val="{00000000-ADD9-4A0C-8C3A-B13099077672}"/>
            </c:ext>
          </c:extLst>
        </c:ser>
        <c:ser>
          <c:idx val="0"/>
          <c:order val="1"/>
          <c:tx>
            <c:v>Promedio</c:v>
          </c:tx>
          <c:spPr>
            <a:ln w="22225"/>
          </c:spPr>
          <c:marker>
            <c:symbol val="none"/>
          </c:marker>
          <c:cat>
            <c:numRef>
              <c:f>'INDICADORES PRODUCCION'!$C$7:$N$7</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('INDICADORES PRODUCCION'!$O$30,'INDICADORES PRODUCCION'!$O$30,'INDICADORES PRODUCCION'!$O$30,'INDICADORES PRODUCCION'!$O$30,'INDICADORES PRODUCCION'!$O$30,'INDICADORES PRODUCCION'!$O$30,'INDICADORES PRODUCCION'!$O$30,'INDICADORES PRODUCCION'!$O$30,'INDICADORES PRODUCCION'!$O$30,'INDICADORES PRODUCCION'!$O$30,'INDICADORES PRODUCCION'!$O$30,'INDICADORES PRODUCCION'!$O$30)</c:f>
              <c:numCache>
                <c:formatCode>0.00</c:formatCode>
                <c:ptCount val="12"/>
                <c:pt idx="0">
                  <c:v>12.370810992501317</c:v>
                </c:pt>
                <c:pt idx="1">
                  <c:v>12.370810992501317</c:v>
                </c:pt>
                <c:pt idx="2">
                  <c:v>12.370810992501317</c:v>
                </c:pt>
                <c:pt idx="3">
                  <c:v>12.370810992501317</c:v>
                </c:pt>
                <c:pt idx="4">
                  <c:v>12.370810992501317</c:v>
                </c:pt>
                <c:pt idx="5">
                  <c:v>12.370810992501317</c:v>
                </c:pt>
                <c:pt idx="6">
                  <c:v>12.370810992501317</c:v>
                </c:pt>
                <c:pt idx="7">
                  <c:v>12.370810992501317</c:v>
                </c:pt>
                <c:pt idx="8">
                  <c:v>12.370810992501317</c:v>
                </c:pt>
                <c:pt idx="9">
                  <c:v>12.370810992501317</c:v>
                </c:pt>
                <c:pt idx="10">
                  <c:v>12.370810992501317</c:v>
                </c:pt>
                <c:pt idx="11">
                  <c:v>12.370810992501317</c:v>
                </c:pt>
              </c:numCache>
            </c:numRef>
          </c:val>
          <c:smooth val="0"/>
          <c:extLst>
            <c:ext xmlns:c16="http://schemas.microsoft.com/office/drawing/2014/chart" uri="{C3380CC4-5D6E-409C-BE32-E72D297353CC}">
              <c16:uniqueId val="{00000001-ADD9-4A0C-8C3A-B13099077672}"/>
            </c:ext>
          </c:extLst>
        </c:ser>
        <c:ser>
          <c:idx val="2"/>
          <c:order val="2"/>
          <c:tx>
            <c:v>B100 - P1</c:v>
          </c:tx>
          <c:cat>
            <c:numRef>
              <c:f>'INDICADORES PRODUCCION'!$C$7:$N$7</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'INDICADORES PRODUCCION'!$C$8:$N$8</c:f>
              <c:numCache>
                <c:formatCode>_-* #,##0.00\ _€_-;\-* #,##0.00\ _€_-;_-* "-"??\ _€_-;_-@_-</c:formatCode>
                <c:ptCount val="12"/>
                <c:pt idx="0">
                  <c:v>5964.8959999999997</c:v>
                </c:pt>
                <c:pt idx="1">
                  <c:v>5355.1750000000002</c:v>
                </c:pt>
                <c:pt idx="2">
                  <c:v>9342.1239999999998</c:v>
                </c:pt>
                <c:pt idx="3">
                  <c:v>7241.7730000000001</c:v>
                </c:pt>
                <c:pt idx="4">
                  <c:v>5968.9849999999997</c:v>
                </c:pt>
                <c:pt idx="5">
                  <c:v>9049.3320000000003</c:v>
                </c:pt>
                <c:pt idx="6">
                  <c:v>9116.6720000000005</c:v>
                </c:pt>
                <c:pt idx="7">
                  <c:v>7164.6769999999997</c:v>
                </c:pt>
                <c:pt idx="8">
                  <c:v>8011.2389999999996</c:v>
                </c:pt>
                <c:pt idx="9">
                  <c:v>7086.6459999999997</c:v>
                </c:pt>
                <c:pt idx="10">
                  <c:v>8166.1139999999996</c:v>
                </c:pt>
                <c:pt idx="11">
                  <c:v>8361.0120000000006</c:v>
                </c:pt>
              </c:numCache>
            </c:numRef>
          </c:val>
          <c:smooth val="0"/>
          <c:extLst>
            <c:ext xmlns:c16="http://schemas.microsoft.com/office/drawing/2014/chart" uri="{C3380CC4-5D6E-409C-BE32-E72D297353CC}">
              <c16:uniqueId val="{00000002-ADD9-4A0C-8C3A-B13099077672}"/>
            </c:ext>
          </c:extLst>
        </c:ser>
        <c:dLbls>
          <c:showLegendKey val="0"/>
          <c:showVal val="0"/>
          <c:showCatName val="0"/>
          <c:showSerName val="0"/>
          <c:showPercent val="0"/>
          <c:showBubbleSize val="0"/>
        </c:dLbls>
        <c:marker val="1"/>
        <c:smooth val="0"/>
        <c:axId val="132376832"/>
        <c:axId val="144506880"/>
      </c:lineChart>
      <c:dateAx>
        <c:axId val="132376832"/>
        <c:scaling>
          <c:orientation val="minMax"/>
        </c:scaling>
        <c:delete val="0"/>
        <c:axPos val="b"/>
        <c:numFmt formatCode="mmm\-yy" sourceLinked="0"/>
        <c:majorTickMark val="none"/>
        <c:minorTickMark val="none"/>
        <c:tickLblPos val="nextTo"/>
        <c:txPr>
          <a:bodyPr rot="0" vert="horz"/>
          <a:lstStyle/>
          <a:p>
            <a:pPr>
              <a:defRPr/>
            </a:pPr>
            <a:endParaRPr lang="es-CO"/>
          </a:p>
        </c:txPr>
        <c:crossAx val="144506880"/>
        <c:crosses val="autoZero"/>
        <c:auto val="1"/>
        <c:lblOffset val="100"/>
        <c:baseTimeUnit val="months"/>
      </c:dateAx>
      <c:valAx>
        <c:axId val="144506880"/>
        <c:scaling>
          <c:orientation val="minMax"/>
          <c:max val="17"/>
          <c:min val="12"/>
        </c:scaling>
        <c:delete val="0"/>
        <c:axPos val="l"/>
        <c:majorGridlines/>
        <c:title>
          <c:tx>
            <c:rich>
              <a:bodyPr/>
              <a:lstStyle/>
              <a:p>
                <a:pPr>
                  <a:defRPr/>
                </a:pPr>
                <a:r>
                  <a:rPr lang="es-CO"/>
                  <a:t>kg/Ton</a:t>
                </a:r>
                <a:r>
                  <a:rPr lang="es-CO" baseline="0"/>
                  <a:t> B100</a:t>
                </a:r>
                <a:endParaRPr lang="es-CO"/>
              </a:p>
            </c:rich>
          </c:tx>
          <c:layout>
            <c:manualLayout>
              <c:xMode val="edge"/>
              <c:yMode val="edge"/>
              <c:x val="8.8330042606255862E-2"/>
              <c:y val="0.27840855687350791"/>
            </c:manualLayout>
          </c:layout>
          <c:overlay val="0"/>
        </c:title>
        <c:numFmt formatCode="0" sourceLinked="0"/>
        <c:majorTickMark val="none"/>
        <c:minorTickMark val="none"/>
        <c:tickLblPos val="nextTo"/>
        <c:txPr>
          <a:bodyPr rot="0" vert="horz"/>
          <a:lstStyle/>
          <a:p>
            <a:pPr>
              <a:defRPr/>
            </a:pPr>
            <a:endParaRPr lang="es-CO"/>
          </a:p>
        </c:txPr>
        <c:crossAx val="132376832"/>
        <c:crosses val="autoZero"/>
        <c:crossBetween val="between"/>
        <c:majorUnit val="1"/>
      </c:valAx>
      <c:dTable>
        <c:showHorzBorder val="1"/>
        <c:showVertBorder val="1"/>
        <c:showOutline val="1"/>
        <c:showKeys val="1"/>
      </c:dTable>
      <c:spPr>
        <a:ln>
          <a:solidFill>
            <a:sysClr val="windowText" lastClr="000000"/>
          </a:solidFill>
        </a:ln>
      </c:spPr>
    </c:plotArea>
    <c:plotVisOnly val="1"/>
    <c:dispBlanksAs val="gap"/>
    <c:showDLblsOverMax val="0"/>
  </c:chart>
  <c:txPr>
    <a:bodyPr/>
    <a:lstStyle/>
    <a:p>
      <a:pPr>
        <a:defRPr sz="800"/>
      </a:pPr>
      <a:endParaRPr lang="es-CO"/>
    </a:p>
  </c:txPr>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1000"/>
            </a:pPr>
            <a:r>
              <a:rPr lang="es-CO"/>
              <a:t>CONSUMO DE ACIDO</a:t>
            </a:r>
            <a:r>
              <a:rPr lang="es-CO" baseline="0"/>
              <a:t> CITRICO</a:t>
            </a:r>
            <a:endParaRPr lang="es-CO"/>
          </a:p>
        </c:rich>
      </c:tx>
      <c:overlay val="0"/>
    </c:title>
    <c:autoTitleDeleted val="0"/>
    <c:plotArea>
      <c:layout>
        <c:manualLayout>
          <c:layoutTarget val="inner"/>
          <c:xMode val="edge"/>
          <c:yMode val="edge"/>
          <c:x val="0.21166941059735275"/>
          <c:y val="0.14785535910787825"/>
          <c:w val="0.74412385311731821"/>
          <c:h val="0.42842858402948569"/>
        </c:manualLayout>
      </c:layout>
      <c:lineChart>
        <c:grouping val="standard"/>
        <c:varyColors val="0"/>
        <c:ser>
          <c:idx val="1"/>
          <c:order val="0"/>
          <c:tx>
            <c:strRef>
              <c:f>'INDICADORES PRODUCCION'!$A$32</c:f>
              <c:strCache>
                <c:ptCount val="1"/>
                <c:pt idx="0">
                  <c:v>Ácido Cítrico</c:v>
                </c:pt>
              </c:strCache>
            </c:strRef>
          </c:tx>
          <c:spPr>
            <a:ln w="22225"/>
          </c:spPr>
          <c:marker>
            <c:symbol val="circle"/>
            <c:size val="4"/>
          </c:marker>
          <c:dLbls>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'INDICADORES PRODUCCION'!$C$7:$N$7</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'INDICADORES PRODUCCION'!$C$32:$N$32</c:f>
              <c:numCache>
                <c:formatCode>0.00</c:formatCode>
                <c:ptCount val="12"/>
                <c:pt idx="0">
                  <c:v>0.6035310590494789</c:v>
                </c:pt>
                <c:pt idx="1">
                  <c:v>0.47150653339993553</c:v>
                </c:pt>
                <c:pt idx="2">
                  <c:v>0.50844968446147798</c:v>
                </c:pt>
                <c:pt idx="3">
                  <c:v>0.55235092290244392</c:v>
                </c:pt>
                <c:pt idx="4">
                  <c:v>0.59474098192573788</c:v>
                </c:pt>
                <c:pt idx="5">
                  <c:v>0.70999715780126083</c:v>
                </c:pt>
                <c:pt idx="6">
                  <c:v>0.63071261091766817</c:v>
                </c:pt>
                <c:pt idx="7">
                  <c:v>0.69088948462017208</c:v>
                </c:pt>
                <c:pt idx="8">
                  <c:v>0.79887767672391263</c:v>
                </c:pt>
                <c:pt idx="9">
                  <c:v>0.88899600742015328</c:v>
                </c:pt>
                <c:pt idx="10">
                  <c:v>1.4664257687316145</c:v>
                </c:pt>
                <c:pt idx="11">
                  <c:v>1.0285836212171444</c:v>
                </c:pt>
              </c:numCache>
            </c:numRef>
          </c:val>
          <c:smooth val="0"/>
          <c:extLst>
            <c:ext xmlns:c16="http://schemas.microsoft.com/office/drawing/2014/chart" uri="{C3380CC4-5D6E-409C-BE32-E72D297353CC}">
              <c16:uniqueId val="{00000000-E81A-43F9-8DA3-7F876A005352}"/>
            </c:ext>
          </c:extLst>
        </c:ser>
        <c:ser>
          <c:idx val="0"/>
          <c:order val="1"/>
          <c:tx>
            <c:v>Promedio</c:v>
          </c:tx>
          <c:spPr>
            <a:ln w="22225"/>
          </c:spPr>
          <c:marker>
            <c:symbol val="none"/>
          </c:marker>
          <c:cat>
            <c:numRef>
              <c:f>'INDICADORES PRODUCCION'!$C$7:$N$7</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('INDICADORES PRODUCCION'!$O$32,'INDICADORES PRODUCCION'!$O$32,'INDICADORES PRODUCCION'!$O$32,'INDICADORES PRODUCCION'!$O$32,'INDICADORES PRODUCCION'!$O$32,'INDICADORES PRODUCCION'!$O$32,'INDICADORES PRODUCCION'!$O$32,'INDICADORES PRODUCCION'!$O$32,'INDICADORES PRODUCCION'!$O$32,'INDICADORES PRODUCCION'!$O$32,'INDICADORES PRODUCCION'!$O$32,'INDICADORES PRODUCCION'!$O$32)</c:f>
              <c:numCache>
                <c:formatCode>0.00</c:formatCode>
                <c:ptCount val="12"/>
                <c:pt idx="0">
                  <c:v>0.75774553281071189</c:v>
                </c:pt>
                <c:pt idx="1">
                  <c:v>0.75774553281071189</c:v>
                </c:pt>
                <c:pt idx="2">
                  <c:v>0.75774553281071189</c:v>
                </c:pt>
                <c:pt idx="3">
                  <c:v>0.75774553281071189</c:v>
                </c:pt>
                <c:pt idx="4">
                  <c:v>0.75774553281071189</c:v>
                </c:pt>
                <c:pt idx="5">
                  <c:v>0.75774553281071189</c:v>
                </c:pt>
                <c:pt idx="6">
                  <c:v>0.75774553281071189</c:v>
                </c:pt>
                <c:pt idx="7">
                  <c:v>0.75774553281071189</c:v>
                </c:pt>
                <c:pt idx="8">
                  <c:v>0.75774553281071189</c:v>
                </c:pt>
                <c:pt idx="9">
                  <c:v>0.75774553281071189</c:v>
                </c:pt>
                <c:pt idx="10">
                  <c:v>0.75774553281071189</c:v>
                </c:pt>
                <c:pt idx="11">
                  <c:v>0.75774553281071189</c:v>
                </c:pt>
              </c:numCache>
            </c:numRef>
          </c:val>
          <c:smooth val="0"/>
          <c:extLst>
            <c:ext xmlns:c16="http://schemas.microsoft.com/office/drawing/2014/chart" uri="{C3380CC4-5D6E-409C-BE32-E72D297353CC}">
              <c16:uniqueId val="{00000001-E81A-43F9-8DA3-7F876A005352}"/>
            </c:ext>
          </c:extLst>
        </c:ser>
        <c:ser>
          <c:idx val="2"/>
          <c:order val="2"/>
          <c:tx>
            <c:v>B100 - P1</c:v>
          </c:tx>
          <c:cat>
            <c:numRef>
              <c:f>'INDICADORES PRODUCCION'!$C$7:$N$7</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'INDICADORES PRODUCCION'!$C$8:$N$8</c:f>
              <c:numCache>
                <c:formatCode>_-* #,##0.00\ _€_-;\-* #,##0.00\ _€_-;_-* "-"??\ _€_-;_-@_-</c:formatCode>
                <c:ptCount val="12"/>
                <c:pt idx="0">
                  <c:v>5964.8959999999997</c:v>
                </c:pt>
                <c:pt idx="1">
                  <c:v>5355.1750000000002</c:v>
                </c:pt>
                <c:pt idx="2">
                  <c:v>9342.1239999999998</c:v>
                </c:pt>
                <c:pt idx="3">
                  <c:v>7241.7730000000001</c:v>
                </c:pt>
                <c:pt idx="4">
                  <c:v>5968.9849999999997</c:v>
                </c:pt>
                <c:pt idx="5">
                  <c:v>9049.3320000000003</c:v>
                </c:pt>
                <c:pt idx="6">
                  <c:v>9116.6720000000005</c:v>
                </c:pt>
                <c:pt idx="7">
                  <c:v>7164.6769999999997</c:v>
                </c:pt>
                <c:pt idx="8">
                  <c:v>8011.2389999999996</c:v>
                </c:pt>
                <c:pt idx="9">
                  <c:v>7086.6459999999997</c:v>
                </c:pt>
                <c:pt idx="10">
                  <c:v>8166.1139999999996</c:v>
                </c:pt>
                <c:pt idx="11">
                  <c:v>8361.0120000000006</c:v>
                </c:pt>
              </c:numCache>
            </c:numRef>
          </c:val>
          <c:smooth val="0"/>
          <c:extLst>
            <c:ext xmlns:c16="http://schemas.microsoft.com/office/drawing/2014/chart" uri="{C3380CC4-5D6E-409C-BE32-E72D297353CC}">
              <c16:uniqueId val="{00000002-E81A-43F9-8DA3-7F876A005352}"/>
            </c:ext>
          </c:extLst>
        </c:ser>
        <c:dLbls>
          <c:showLegendKey val="0"/>
          <c:showVal val="0"/>
          <c:showCatName val="0"/>
          <c:showSerName val="0"/>
          <c:showPercent val="0"/>
          <c:showBubbleSize val="0"/>
        </c:dLbls>
        <c:marker val="1"/>
        <c:smooth val="0"/>
        <c:axId val="144548608"/>
        <c:axId val="144550144"/>
      </c:lineChart>
      <c:dateAx>
        <c:axId val="144548608"/>
        <c:scaling>
          <c:orientation val="minMax"/>
        </c:scaling>
        <c:delete val="0"/>
        <c:axPos val="b"/>
        <c:numFmt formatCode="mmm\-yy" sourceLinked="0"/>
        <c:majorTickMark val="none"/>
        <c:minorTickMark val="none"/>
        <c:tickLblPos val="nextTo"/>
        <c:txPr>
          <a:bodyPr rot="0" vert="horz"/>
          <a:lstStyle/>
          <a:p>
            <a:pPr>
              <a:defRPr/>
            </a:pPr>
            <a:endParaRPr lang="es-CO"/>
          </a:p>
        </c:txPr>
        <c:crossAx val="144550144"/>
        <c:crosses val="autoZero"/>
        <c:auto val="1"/>
        <c:lblOffset val="100"/>
        <c:baseTimeUnit val="months"/>
      </c:dateAx>
      <c:valAx>
        <c:axId val="144550144"/>
        <c:scaling>
          <c:orientation val="minMax"/>
          <c:max val="1.4"/>
          <c:min val="0.45"/>
        </c:scaling>
        <c:delete val="0"/>
        <c:axPos val="l"/>
        <c:majorGridlines/>
        <c:title>
          <c:tx>
            <c:rich>
              <a:bodyPr/>
              <a:lstStyle/>
              <a:p>
                <a:pPr>
                  <a:defRPr/>
                </a:pPr>
                <a:r>
                  <a:rPr lang="es-CO"/>
                  <a:t>kg/Ton</a:t>
                </a:r>
                <a:r>
                  <a:rPr lang="es-CO" baseline="0"/>
                  <a:t> B100</a:t>
                </a:r>
                <a:endParaRPr lang="es-CO"/>
              </a:p>
            </c:rich>
          </c:tx>
          <c:layout>
            <c:manualLayout>
              <c:xMode val="edge"/>
              <c:yMode val="edge"/>
              <c:x val="8.8330042606255862E-2"/>
              <c:y val="0.27840855687350791"/>
            </c:manualLayout>
          </c:layout>
          <c:overlay val="0"/>
        </c:title>
        <c:numFmt formatCode="0.0" sourceLinked="0"/>
        <c:majorTickMark val="none"/>
        <c:minorTickMark val="none"/>
        <c:tickLblPos val="nextTo"/>
        <c:txPr>
          <a:bodyPr rot="0" vert="horz"/>
          <a:lstStyle/>
          <a:p>
            <a:pPr>
              <a:defRPr/>
            </a:pPr>
            <a:endParaRPr lang="es-CO"/>
          </a:p>
        </c:txPr>
        <c:crossAx val="144548608"/>
        <c:crosses val="autoZero"/>
        <c:crossBetween val="between"/>
        <c:majorUnit val="0.2"/>
      </c:valAx>
      <c:dTable>
        <c:showHorzBorder val="1"/>
        <c:showVertBorder val="1"/>
        <c:showOutline val="1"/>
        <c:showKeys val="1"/>
      </c:dTable>
      <c:spPr>
        <a:ln>
          <a:solidFill>
            <a:sysClr val="windowText" lastClr="000000"/>
          </a:solidFill>
        </a:ln>
      </c:spPr>
    </c:plotArea>
    <c:plotVisOnly val="1"/>
    <c:dispBlanksAs val="gap"/>
    <c:showDLblsOverMax val="0"/>
  </c:chart>
  <c:txPr>
    <a:bodyPr/>
    <a:lstStyle/>
    <a:p>
      <a:pPr>
        <a:defRPr sz="800"/>
      </a:pPr>
      <a:endParaRPr lang="es-CO"/>
    </a:p>
  </c:tx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cid:image002.png@01D6158D.09EFF0A0" TargetMode="External"/><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3" Type="http://schemas.openxmlformats.org/officeDocument/2006/relationships/chart" Target="../charts/chart36.xml"/><Relationship Id="rId2" Type="http://schemas.openxmlformats.org/officeDocument/2006/relationships/chart" Target="../charts/chart35.xml"/><Relationship Id="rId1" Type="http://schemas.openxmlformats.org/officeDocument/2006/relationships/chart" Target="../charts/chart34.xml"/><Relationship Id="rId6" Type="http://schemas.openxmlformats.org/officeDocument/2006/relationships/image" Target="cid:image002.png@01D6158D.09EFF0A0" TargetMode="External"/><Relationship Id="rId5" Type="http://schemas.openxmlformats.org/officeDocument/2006/relationships/image" Target="../media/image1.png"/><Relationship Id="rId4" Type="http://schemas.openxmlformats.org/officeDocument/2006/relationships/chart" Target="../charts/chart37.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40.xml"/><Relationship Id="rId2" Type="http://schemas.openxmlformats.org/officeDocument/2006/relationships/chart" Target="../charts/chart39.xml"/><Relationship Id="rId1" Type="http://schemas.openxmlformats.org/officeDocument/2006/relationships/chart" Target="../charts/chart38.xml"/><Relationship Id="rId6" Type="http://schemas.openxmlformats.org/officeDocument/2006/relationships/image" Target="cid:image002.png@01D6158D.09EFF0A0" TargetMode="External"/><Relationship Id="rId5" Type="http://schemas.openxmlformats.org/officeDocument/2006/relationships/image" Target="../media/image1.png"/><Relationship Id="rId4" Type="http://schemas.openxmlformats.org/officeDocument/2006/relationships/chart" Target="../charts/chart41.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44.xml"/><Relationship Id="rId7" Type="http://schemas.openxmlformats.org/officeDocument/2006/relationships/image" Target="cid:image002.png@01D6158D.09EFF0A0" TargetMode="External"/><Relationship Id="rId2" Type="http://schemas.openxmlformats.org/officeDocument/2006/relationships/chart" Target="../charts/chart43.xml"/><Relationship Id="rId1" Type="http://schemas.openxmlformats.org/officeDocument/2006/relationships/chart" Target="../charts/chart42.xml"/><Relationship Id="rId6" Type="http://schemas.openxmlformats.org/officeDocument/2006/relationships/image" Target="../media/image1.png"/><Relationship Id="rId5" Type="http://schemas.openxmlformats.org/officeDocument/2006/relationships/chart" Target="../charts/chart46.xml"/><Relationship Id="rId4" Type="http://schemas.openxmlformats.org/officeDocument/2006/relationships/chart" Target="../charts/chart45.xml"/></Relationships>
</file>

<file path=xl/drawings/_rels/drawing1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3" Type="http://schemas.openxmlformats.org/officeDocument/2006/relationships/chart" Target="../charts/chart49.xml"/><Relationship Id="rId7" Type="http://schemas.openxmlformats.org/officeDocument/2006/relationships/image" Target="cid:image002.png@01D6158D.09EFF0A0" TargetMode="External"/><Relationship Id="rId2" Type="http://schemas.openxmlformats.org/officeDocument/2006/relationships/chart" Target="../charts/chart48.xml"/><Relationship Id="rId1" Type="http://schemas.openxmlformats.org/officeDocument/2006/relationships/chart" Target="../charts/chart47.xml"/><Relationship Id="rId6" Type="http://schemas.openxmlformats.org/officeDocument/2006/relationships/image" Target="../media/image1.png"/><Relationship Id="rId5" Type="http://schemas.openxmlformats.org/officeDocument/2006/relationships/chart" Target="../charts/chart51.xml"/><Relationship Id="rId4" Type="http://schemas.openxmlformats.org/officeDocument/2006/relationships/chart" Target="../charts/chart50.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54.xml"/><Relationship Id="rId2" Type="http://schemas.openxmlformats.org/officeDocument/2006/relationships/chart" Target="../charts/chart53.xml"/><Relationship Id="rId1" Type="http://schemas.openxmlformats.org/officeDocument/2006/relationships/chart" Target="../charts/chart52.xml"/><Relationship Id="rId6" Type="http://schemas.openxmlformats.org/officeDocument/2006/relationships/image" Target="cid:image002.png@01D6158D.09EFF0A0" TargetMode="External"/><Relationship Id="rId5" Type="http://schemas.openxmlformats.org/officeDocument/2006/relationships/image" Target="../media/image1.png"/><Relationship Id="rId4" Type="http://schemas.openxmlformats.org/officeDocument/2006/relationships/chart" Target="../charts/chart55.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cid:image002.png@01D6158D.09EFF0A0"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cid:image002.png@01D6158D.09EFF0A0" TargetMode="External"/><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image" Target="cid:image002.png@01D6158D.09EFF0A0" TargetMode="External"/><Relationship Id="rId3" Type="http://schemas.openxmlformats.org/officeDocument/2006/relationships/chart" Target="../charts/chart5.xml"/><Relationship Id="rId7" Type="http://schemas.openxmlformats.org/officeDocument/2006/relationships/chart" Target="../charts/chart9.xml"/><Relationship Id="rId12" Type="http://schemas.openxmlformats.org/officeDocument/2006/relationships/image" Target="../media/image1.png"/><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3.xml"/><Relationship Id="rId5" Type="http://schemas.openxmlformats.org/officeDocument/2006/relationships/chart" Target="../charts/chart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2" Type="http://schemas.openxmlformats.org/officeDocument/2006/relationships/image" Target="cid:image002.png@01D6158D.09EFF0A0" TargetMode="External"/><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cid:image002.png@01D6158D.09EFF0A0" TargetMode="External"/><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8" Type="http://schemas.openxmlformats.org/officeDocument/2006/relationships/chart" Target="../charts/chart21.xml"/><Relationship Id="rId3" Type="http://schemas.openxmlformats.org/officeDocument/2006/relationships/chart" Target="../charts/chart16.xml"/><Relationship Id="rId7" Type="http://schemas.openxmlformats.org/officeDocument/2006/relationships/chart" Target="../charts/chart20.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11" Type="http://schemas.openxmlformats.org/officeDocument/2006/relationships/image" Target="cid:image002.png@01D6158D.09EFF0A0" TargetMode="External"/><Relationship Id="rId5" Type="http://schemas.openxmlformats.org/officeDocument/2006/relationships/chart" Target="../charts/chart18.xml"/><Relationship Id="rId10" Type="http://schemas.openxmlformats.org/officeDocument/2006/relationships/image" Target="../media/image1.png"/><Relationship Id="rId4" Type="http://schemas.openxmlformats.org/officeDocument/2006/relationships/chart" Target="../charts/chart17.xml"/><Relationship Id="rId9" Type="http://schemas.openxmlformats.org/officeDocument/2006/relationships/chart" Target="../charts/chart22.xml"/></Relationships>
</file>

<file path=xl/drawings/_rels/drawing8.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25.xml"/><Relationship Id="rId7" Type="http://schemas.openxmlformats.org/officeDocument/2006/relationships/chart" Target="../charts/chart29.xml"/><Relationship Id="rId2" Type="http://schemas.openxmlformats.org/officeDocument/2006/relationships/chart" Target="../charts/chart24.xml"/><Relationship Id="rId1" Type="http://schemas.openxmlformats.org/officeDocument/2006/relationships/chart" Target="../charts/chart23.xml"/><Relationship Id="rId6" Type="http://schemas.openxmlformats.org/officeDocument/2006/relationships/chart" Target="../charts/chart28.xml"/><Relationship Id="rId5" Type="http://schemas.openxmlformats.org/officeDocument/2006/relationships/chart" Target="../charts/chart27.xml"/><Relationship Id="rId4" Type="http://schemas.openxmlformats.org/officeDocument/2006/relationships/chart" Target="../charts/chart26.xml"/><Relationship Id="rId9" Type="http://schemas.openxmlformats.org/officeDocument/2006/relationships/image" Target="cid:image002.png@01D6158D.09EFF0A0" TargetMode="External"/></Relationships>
</file>

<file path=xl/drawings/_rels/drawing9.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chart" Target="../charts/chart30.xml"/><Relationship Id="rId6" Type="http://schemas.openxmlformats.org/officeDocument/2006/relationships/image" Target="cid:image002.png@01D6158D.09EFF0A0" TargetMode="External"/><Relationship Id="rId5" Type="http://schemas.openxmlformats.org/officeDocument/2006/relationships/image" Target="../media/image1.png"/><Relationship Id="rId4" Type="http://schemas.openxmlformats.org/officeDocument/2006/relationships/chart" Target="../charts/chart33.xml"/></Relationships>
</file>

<file path=xl/drawings/drawing1.xml><?xml version="1.0" encoding="utf-8"?>
<xdr:wsDr xmlns:xdr="http://schemas.openxmlformats.org/drawingml/2006/spreadsheetDrawing" xmlns:a="http://schemas.openxmlformats.org/drawingml/2006/main">
  <xdr:twoCellAnchor editAs="oneCell">
    <xdr:from>
      <xdr:col>0</xdr:col>
      <xdr:colOff>202406</xdr:colOff>
      <xdr:row>0</xdr:row>
      <xdr:rowOff>107157</xdr:rowOff>
    </xdr:from>
    <xdr:to>
      <xdr:col>0</xdr:col>
      <xdr:colOff>1780835</xdr:colOff>
      <xdr:row>3</xdr:row>
      <xdr:rowOff>76541</xdr:rowOff>
    </xdr:to>
    <xdr:pic>
      <xdr:nvPicPr>
        <xdr:cNvPr id="3" name="2 Imagen" descr="cid:image002.png@01D6158D.09EFF0A0">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r:link="rId2" cstate="print"/>
        <a:srcRect/>
        <a:stretch>
          <a:fillRect/>
        </a:stretch>
      </xdr:blipFill>
      <xdr:spPr bwMode="auto">
        <a:xfrm>
          <a:off x="202406" y="107157"/>
          <a:ext cx="1578429" cy="612322"/>
        </a:xfrm>
        <a:prstGeom prst="rect">
          <a:avLst/>
        </a:prstGeom>
        <a:noFill/>
        <a:ln w="9525">
          <a:noFill/>
          <a:miter lim="800000"/>
          <a:headEnd/>
          <a:tailEnd/>
        </a:ln>
      </xdr:spPr>
    </xdr:pic>
    <xdr:clientData/>
  </xdr:twoCellAnchor>
</xdr:wsDr>
</file>

<file path=xl/drawings/drawing10.xml><?xml version="1.0" encoding="utf-8"?>
<c:userShapes xmlns:c="http://schemas.openxmlformats.org/drawingml/2006/chart">
  <cdr:relSizeAnchor xmlns:cdr="http://schemas.openxmlformats.org/drawingml/2006/chartDrawing">
    <cdr:from>
      <cdr:x>0.30725</cdr:x>
      <cdr:y>0.17448</cdr:y>
    </cdr:from>
    <cdr:to>
      <cdr:x>0.66704</cdr:x>
      <cdr:y>0.27398</cdr:y>
    </cdr:to>
    <cdr:sp macro="" textlink="">
      <cdr:nvSpPr>
        <cdr:cNvPr id="2" name="1 CuadroTexto"/>
        <cdr:cNvSpPr txBox="1"/>
      </cdr:nvSpPr>
      <cdr:spPr>
        <a:xfrm xmlns:a="http://schemas.openxmlformats.org/drawingml/2006/main" rot="5400000">
          <a:off x="3664705" y="-523874"/>
          <a:ext cx="400921" cy="2854640"/>
        </a:xfrm>
        <a:prstGeom xmlns:a="http://schemas.openxmlformats.org/drawingml/2006/main" prst="rect">
          <a:avLst/>
        </a:prstGeom>
      </cdr:spPr>
      <cdr:txBody>
        <a:bodyPr xmlns:a="http://schemas.openxmlformats.org/drawingml/2006/main" vertOverflow="clip" vert="vert270" wrap="square" rtlCol="0"/>
        <a:lstStyle xmlns:a="http://schemas.openxmlformats.org/drawingml/2006/main"/>
        <a:p xmlns:a="http://schemas.openxmlformats.org/drawingml/2006/main">
          <a:pPr algn="ctr"/>
          <a:r>
            <a:rPr lang="es-CO" sz="1200" b="1"/>
            <a:t>Disponibilidad de Planta</a:t>
          </a:r>
        </a:p>
      </cdr:txBody>
    </cdr:sp>
  </cdr:relSizeAnchor>
</c:userShapes>
</file>

<file path=xl/drawings/drawing11.xml><?xml version="1.0" encoding="utf-8"?>
<xdr:wsDr xmlns:xdr="http://schemas.openxmlformats.org/drawingml/2006/spreadsheetDrawing" xmlns:a="http://schemas.openxmlformats.org/drawingml/2006/main">
  <xdr:twoCellAnchor>
    <xdr:from>
      <xdr:col>10</xdr:col>
      <xdr:colOff>304800</xdr:colOff>
      <xdr:row>52</xdr:row>
      <xdr:rowOff>152400</xdr:rowOff>
    </xdr:from>
    <xdr:to>
      <xdr:col>20</xdr:col>
      <xdr:colOff>266700</xdr:colOff>
      <xdr:row>71</xdr:row>
      <xdr:rowOff>200025</xdr:rowOff>
    </xdr:to>
    <xdr:graphicFrame macro="">
      <xdr:nvGraphicFramePr>
        <xdr:cNvPr id="2" name="2 Gráfico">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52</xdr:row>
      <xdr:rowOff>133350</xdr:rowOff>
    </xdr:from>
    <xdr:to>
      <xdr:col>10</xdr:col>
      <xdr:colOff>171450</xdr:colOff>
      <xdr:row>65</xdr:row>
      <xdr:rowOff>123825</xdr:rowOff>
    </xdr:to>
    <xdr:graphicFrame macro="">
      <xdr:nvGraphicFramePr>
        <xdr:cNvPr id="3" name="3 Gráfico">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38100</xdr:rowOff>
    </xdr:from>
    <xdr:to>
      <xdr:col>20</xdr:col>
      <xdr:colOff>247650</xdr:colOff>
      <xdr:row>51</xdr:row>
      <xdr:rowOff>171450</xdr:rowOff>
    </xdr:to>
    <xdr:graphicFrame macro="">
      <xdr:nvGraphicFramePr>
        <xdr:cNvPr id="4" name="4 Gráfico">
          <a:extLst>
            <a:ext uri="{FF2B5EF4-FFF2-40B4-BE49-F238E27FC236}">
              <a16:creationId xmlns:a16="http://schemas.microsoft.com/office/drawing/2014/main" id="{00000000-0008-0000-0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0</xdr:colOff>
      <xdr:row>32</xdr:row>
      <xdr:rowOff>0</xdr:rowOff>
    </xdr:from>
    <xdr:to>
      <xdr:col>40</xdr:col>
      <xdr:colOff>676275</xdr:colOff>
      <xdr:row>51</xdr:row>
      <xdr:rowOff>133350</xdr:rowOff>
    </xdr:to>
    <xdr:graphicFrame macro="">
      <xdr:nvGraphicFramePr>
        <xdr:cNvPr id="5" name="4 Gráfico">
          <a:extLst>
            <a:ext uri="{FF2B5EF4-FFF2-40B4-BE49-F238E27FC236}">
              <a16:creationId xmlns:a16="http://schemas.microsoft.com/office/drawing/2014/main" id="{00000000-0008-0000-09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442232</xdr:colOff>
      <xdr:row>0</xdr:row>
      <xdr:rowOff>56697</xdr:rowOff>
    </xdr:from>
    <xdr:to>
      <xdr:col>0</xdr:col>
      <xdr:colOff>2020661</xdr:colOff>
      <xdr:row>3</xdr:row>
      <xdr:rowOff>56698</xdr:rowOff>
    </xdr:to>
    <xdr:pic>
      <xdr:nvPicPr>
        <xdr:cNvPr id="7" name="2 Imagen" descr="cid:image002.png@01D6158D.09EFF0A0">
          <a:extLst>
            <a:ext uri="{FF2B5EF4-FFF2-40B4-BE49-F238E27FC236}">
              <a16:creationId xmlns:a16="http://schemas.microsoft.com/office/drawing/2014/main" id="{00000000-0008-0000-0900-000007000000}"/>
            </a:ext>
          </a:extLst>
        </xdr:cNvPr>
        <xdr:cNvPicPr/>
      </xdr:nvPicPr>
      <xdr:blipFill>
        <a:blip xmlns:r="http://schemas.openxmlformats.org/officeDocument/2006/relationships" r:embed="rId5" r:link="rId6" cstate="print"/>
        <a:srcRect/>
        <a:stretch>
          <a:fillRect/>
        </a:stretch>
      </xdr:blipFill>
      <xdr:spPr bwMode="auto">
        <a:xfrm>
          <a:off x="442232" y="56697"/>
          <a:ext cx="1578429" cy="628651"/>
        </a:xfrm>
        <a:prstGeom prst="rect">
          <a:avLst/>
        </a:prstGeom>
        <a:noFill/>
        <a:ln w="9525">
          <a:noFill/>
          <a:miter lim="800000"/>
          <a:headEnd/>
          <a:tailEnd/>
        </a:ln>
      </xdr:spPr>
    </xdr:pic>
    <xdr:clientData/>
  </xdr:twoCellAnchor>
</xdr:wsDr>
</file>

<file path=xl/drawings/drawing12.xml><?xml version="1.0" encoding="utf-8"?>
<c:userShapes xmlns:c="http://schemas.openxmlformats.org/drawingml/2006/chart">
  <cdr:relSizeAnchor xmlns:cdr="http://schemas.openxmlformats.org/drawingml/2006/chartDrawing">
    <cdr:from>
      <cdr:x>0.30725</cdr:x>
      <cdr:y>0.17448</cdr:y>
    </cdr:from>
    <cdr:to>
      <cdr:x>0.66704</cdr:x>
      <cdr:y>0.27398</cdr:y>
    </cdr:to>
    <cdr:sp macro="" textlink="">
      <cdr:nvSpPr>
        <cdr:cNvPr id="2" name="1 CuadroTexto"/>
        <cdr:cNvSpPr txBox="1"/>
      </cdr:nvSpPr>
      <cdr:spPr>
        <a:xfrm xmlns:a="http://schemas.openxmlformats.org/drawingml/2006/main" rot="5400000">
          <a:off x="3664705" y="-523874"/>
          <a:ext cx="400921" cy="2854640"/>
        </a:xfrm>
        <a:prstGeom xmlns:a="http://schemas.openxmlformats.org/drawingml/2006/main" prst="rect">
          <a:avLst/>
        </a:prstGeom>
      </cdr:spPr>
      <cdr:txBody>
        <a:bodyPr xmlns:a="http://schemas.openxmlformats.org/drawingml/2006/main" vertOverflow="clip" vert="vert270" wrap="square" rtlCol="0"/>
        <a:lstStyle xmlns:a="http://schemas.openxmlformats.org/drawingml/2006/main"/>
        <a:p xmlns:a="http://schemas.openxmlformats.org/drawingml/2006/main">
          <a:pPr algn="ctr"/>
          <a:r>
            <a:rPr lang="es-CO" sz="1200" b="1"/>
            <a:t>Disponibilidad de Planta</a:t>
          </a:r>
        </a:p>
      </cdr:txBody>
    </cdr:sp>
  </cdr:relSizeAnchor>
</c:userShapes>
</file>

<file path=xl/drawings/drawing13.xml><?xml version="1.0" encoding="utf-8"?>
<xdr:wsDr xmlns:xdr="http://schemas.openxmlformats.org/drawingml/2006/spreadsheetDrawing" xmlns:a="http://schemas.openxmlformats.org/drawingml/2006/main">
  <xdr:twoCellAnchor>
    <xdr:from>
      <xdr:col>10</xdr:col>
      <xdr:colOff>304800</xdr:colOff>
      <xdr:row>52</xdr:row>
      <xdr:rowOff>152400</xdr:rowOff>
    </xdr:from>
    <xdr:to>
      <xdr:col>20</xdr:col>
      <xdr:colOff>266700</xdr:colOff>
      <xdr:row>71</xdr:row>
      <xdr:rowOff>200025</xdr:rowOff>
    </xdr:to>
    <xdr:graphicFrame macro="">
      <xdr:nvGraphicFramePr>
        <xdr:cNvPr id="2" name="2 Gráfico">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52</xdr:row>
      <xdr:rowOff>133350</xdr:rowOff>
    </xdr:from>
    <xdr:to>
      <xdr:col>10</xdr:col>
      <xdr:colOff>171450</xdr:colOff>
      <xdr:row>65</xdr:row>
      <xdr:rowOff>123825</xdr:rowOff>
    </xdr:to>
    <xdr:graphicFrame macro="">
      <xdr:nvGraphicFramePr>
        <xdr:cNvPr id="3" name="3 Gráfico">
          <a:extLst>
            <a:ext uri="{FF2B5EF4-FFF2-40B4-BE49-F238E27FC236}">
              <a16:creationId xmlns:a16="http://schemas.microsoft.com/office/drawing/2014/main" id="{00000000-0008-0000-0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38100</xdr:rowOff>
    </xdr:from>
    <xdr:to>
      <xdr:col>20</xdr:col>
      <xdr:colOff>247650</xdr:colOff>
      <xdr:row>51</xdr:row>
      <xdr:rowOff>171450</xdr:rowOff>
    </xdr:to>
    <xdr:graphicFrame macro="">
      <xdr:nvGraphicFramePr>
        <xdr:cNvPr id="4" name="4 Gráfico">
          <a:extLst>
            <a:ext uri="{FF2B5EF4-FFF2-40B4-BE49-F238E27FC236}">
              <a16:creationId xmlns:a16="http://schemas.microsoft.com/office/drawing/2014/main" id="{00000000-0008-0000-0A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0</xdr:colOff>
      <xdr:row>32</xdr:row>
      <xdr:rowOff>0</xdr:rowOff>
    </xdr:from>
    <xdr:to>
      <xdr:col>40</xdr:col>
      <xdr:colOff>676275</xdr:colOff>
      <xdr:row>51</xdr:row>
      <xdr:rowOff>133350</xdr:rowOff>
    </xdr:to>
    <xdr:graphicFrame macro="">
      <xdr:nvGraphicFramePr>
        <xdr:cNvPr id="5" name="4 Gráfico">
          <a:extLst>
            <a:ext uri="{FF2B5EF4-FFF2-40B4-BE49-F238E27FC236}">
              <a16:creationId xmlns:a16="http://schemas.microsoft.com/office/drawing/2014/main" id="{00000000-0008-0000-0A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657678</xdr:colOff>
      <xdr:row>0</xdr:row>
      <xdr:rowOff>34018</xdr:rowOff>
    </xdr:from>
    <xdr:to>
      <xdr:col>0</xdr:col>
      <xdr:colOff>2236107</xdr:colOff>
      <xdr:row>3</xdr:row>
      <xdr:rowOff>34019</xdr:rowOff>
    </xdr:to>
    <xdr:pic>
      <xdr:nvPicPr>
        <xdr:cNvPr id="7" name="2 Imagen" descr="cid:image002.png@01D6158D.09EFF0A0">
          <a:extLst>
            <a:ext uri="{FF2B5EF4-FFF2-40B4-BE49-F238E27FC236}">
              <a16:creationId xmlns:a16="http://schemas.microsoft.com/office/drawing/2014/main" id="{00000000-0008-0000-0A00-000007000000}"/>
            </a:ext>
          </a:extLst>
        </xdr:cNvPr>
        <xdr:cNvPicPr/>
      </xdr:nvPicPr>
      <xdr:blipFill>
        <a:blip xmlns:r="http://schemas.openxmlformats.org/officeDocument/2006/relationships" r:embed="rId5" r:link="rId6" cstate="print"/>
        <a:srcRect/>
        <a:stretch>
          <a:fillRect/>
        </a:stretch>
      </xdr:blipFill>
      <xdr:spPr bwMode="auto">
        <a:xfrm>
          <a:off x="657678" y="34018"/>
          <a:ext cx="1578429" cy="628651"/>
        </a:xfrm>
        <a:prstGeom prst="rect">
          <a:avLst/>
        </a:prstGeom>
        <a:noFill/>
        <a:ln w="9525">
          <a:noFill/>
          <a:miter lim="800000"/>
          <a:headEnd/>
          <a:tailEnd/>
        </a:ln>
      </xdr:spPr>
    </xdr:pic>
    <xdr:clientData/>
  </xdr:twoCellAnchor>
</xdr:wsDr>
</file>

<file path=xl/drawings/drawing14.xml><?xml version="1.0" encoding="utf-8"?>
<c:userShapes xmlns:c="http://schemas.openxmlformats.org/drawingml/2006/chart">
  <cdr:relSizeAnchor xmlns:cdr="http://schemas.openxmlformats.org/drawingml/2006/chartDrawing">
    <cdr:from>
      <cdr:x>0.30725</cdr:x>
      <cdr:y>0.17448</cdr:y>
    </cdr:from>
    <cdr:to>
      <cdr:x>0.66704</cdr:x>
      <cdr:y>0.27398</cdr:y>
    </cdr:to>
    <cdr:sp macro="" textlink="">
      <cdr:nvSpPr>
        <cdr:cNvPr id="2" name="1 CuadroTexto"/>
        <cdr:cNvSpPr txBox="1"/>
      </cdr:nvSpPr>
      <cdr:spPr>
        <a:xfrm xmlns:a="http://schemas.openxmlformats.org/drawingml/2006/main" rot="5400000">
          <a:off x="3664705" y="-523874"/>
          <a:ext cx="400921" cy="2854640"/>
        </a:xfrm>
        <a:prstGeom xmlns:a="http://schemas.openxmlformats.org/drawingml/2006/main" prst="rect">
          <a:avLst/>
        </a:prstGeom>
      </cdr:spPr>
      <cdr:txBody>
        <a:bodyPr xmlns:a="http://schemas.openxmlformats.org/drawingml/2006/main" vertOverflow="clip" vert="vert270" wrap="square" rtlCol="0"/>
        <a:lstStyle xmlns:a="http://schemas.openxmlformats.org/drawingml/2006/main"/>
        <a:p xmlns:a="http://schemas.openxmlformats.org/drawingml/2006/main">
          <a:pPr algn="ctr"/>
          <a:r>
            <a:rPr lang="es-CO" sz="1200" b="1"/>
            <a:t>Disponibilidad de Planta</a:t>
          </a:r>
        </a:p>
      </cdr:txBody>
    </cdr:sp>
  </cdr:relSizeAnchor>
</c:userShapes>
</file>

<file path=xl/drawings/drawing15.xml><?xml version="1.0" encoding="utf-8"?>
<xdr:wsDr xmlns:xdr="http://schemas.openxmlformats.org/drawingml/2006/spreadsheetDrawing" xmlns:a="http://schemas.openxmlformats.org/drawingml/2006/main">
  <xdr:twoCellAnchor>
    <xdr:from>
      <xdr:col>0</xdr:col>
      <xdr:colOff>133350</xdr:colOff>
      <xdr:row>12</xdr:row>
      <xdr:rowOff>9525</xdr:rowOff>
    </xdr:from>
    <xdr:to>
      <xdr:col>4</xdr:col>
      <xdr:colOff>666750</xdr:colOff>
      <xdr:row>25</xdr:row>
      <xdr:rowOff>161925</xdr:rowOff>
    </xdr:to>
    <xdr:graphicFrame macro="">
      <xdr:nvGraphicFramePr>
        <xdr:cNvPr id="19231227" name="11 Gráfico">
          <a:extLst>
            <a:ext uri="{FF2B5EF4-FFF2-40B4-BE49-F238E27FC236}">
              <a16:creationId xmlns:a16="http://schemas.microsoft.com/office/drawing/2014/main" id="{00000000-0008-0000-0B00-0000FB712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190500</xdr:colOff>
      <xdr:row>12</xdr:row>
      <xdr:rowOff>19050</xdr:rowOff>
    </xdr:from>
    <xdr:to>
      <xdr:col>12</xdr:col>
      <xdr:colOff>666750</xdr:colOff>
      <xdr:row>25</xdr:row>
      <xdr:rowOff>171450</xdr:rowOff>
    </xdr:to>
    <xdr:graphicFrame macro="">
      <xdr:nvGraphicFramePr>
        <xdr:cNvPr id="7" name="11 Gráfico">
          <a:extLst>
            <a:ext uri="{FF2B5EF4-FFF2-40B4-BE49-F238E27FC236}">
              <a16:creationId xmlns:a16="http://schemas.microsoft.com/office/drawing/2014/main" id="{00000000-0008-0000-0B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142875</xdr:colOff>
      <xdr:row>27</xdr:row>
      <xdr:rowOff>9525</xdr:rowOff>
    </xdr:from>
    <xdr:to>
      <xdr:col>4</xdr:col>
      <xdr:colOff>676275</xdr:colOff>
      <xdr:row>40</xdr:row>
      <xdr:rowOff>180975</xdr:rowOff>
    </xdr:to>
    <xdr:graphicFrame macro="">
      <xdr:nvGraphicFramePr>
        <xdr:cNvPr id="8" name="11 Gráfico">
          <a:extLst>
            <a:ext uri="{FF2B5EF4-FFF2-40B4-BE49-F238E27FC236}">
              <a16:creationId xmlns:a16="http://schemas.microsoft.com/office/drawing/2014/main" id="{00000000-0008-0000-0B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171450</xdr:colOff>
      <xdr:row>12</xdr:row>
      <xdr:rowOff>28575</xdr:rowOff>
    </xdr:from>
    <xdr:to>
      <xdr:col>20</xdr:col>
      <xdr:colOff>247650</xdr:colOff>
      <xdr:row>25</xdr:row>
      <xdr:rowOff>180975</xdr:rowOff>
    </xdr:to>
    <xdr:graphicFrame macro="">
      <xdr:nvGraphicFramePr>
        <xdr:cNvPr id="9" name="11 Gráfico">
          <a:extLst>
            <a:ext uri="{FF2B5EF4-FFF2-40B4-BE49-F238E27FC236}">
              <a16:creationId xmlns:a16="http://schemas.microsoft.com/office/drawing/2014/main" id="{00000000-0008-0000-0B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190500</xdr:colOff>
      <xdr:row>27</xdr:row>
      <xdr:rowOff>9525</xdr:rowOff>
    </xdr:from>
    <xdr:to>
      <xdr:col>12</xdr:col>
      <xdr:colOff>666750</xdr:colOff>
      <xdr:row>40</xdr:row>
      <xdr:rowOff>180975</xdr:rowOff>
    </xdr:to>
    <xdr:graphicFrame macro="">
      <xdr:nvGraphicFramePr>
        <xdr:cNvPr id="10" name="11 Gráfico">
          <a:extLst>
            <a:ext uri="{FF2B5EF4-FFF2-40B4-BE49-F238E27FC236}">
              <a16:creationId xmlns:a16="http://schemas.microsoft.com/office/drawing/2014/main" id="{00000000-0008-0000-0B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423334</xdr:colOff>
      <xdr:row>0</xdr:row>
      <xdr:rowOff>105833</xdr:rowOff>
    </xdr:from>
    <xdr:to>
      <xdr:col>0</xdr:col>
      <xdr:colOff>2001763</xdr:colOff>
      <xdr:row>3</xdr:row>
      <xdr:rowOff>83155</xdr:rowOff>
    </xdr:to>
    <xdr:pic>
      <xdr:nvPicPr>
        <xdr:cNvPr id="12" name="2 Imagen" descr="cid:image002.png@01D6158D.09EFF0A0">
          <a:extLst>
            <a:ext uri="{FF2B5EF4-FFF2-40B4-BE49-F238E27FC236}">
              <a16:creationId xmlns:a16="http://schemas.microsoft.com/office/drawing/2014/main" id="{00000000-0008-0000-0B00-00000C000000}"/>
            </a:ext>
          </a:extLst>
        </xdr:cNvPr>
        <xdr:cNvPicPr/>
      </xdr:nvPicPr>
      <xdr:blipFill>
        <a:blip xmlns:r="http://schemas.openxmlformats.org/officeDocument/2006/relationships" r:embed="rId6" r:link="rId7" cstate="print"/>
        <a:srcRect/>
        <a:stretch>
          <a:fillRect/>
        </a:stretch>
      </xdr:blipFill>
      <xdr:spPr bwMode="auto">
        <a:xfrm>
          <a:off x="423334" y="105833"/>
          <a:ext cx="1578429" cy="605972"/>
        </a:xfrm>
        <a:prstGeom prst="rect">
          <a:avLst/>
        </a:prstGeom>
        <a:noFill/>
        <a:ln w="9525">
          <a:noFill/>
          <a:miter lim="800000"/>
          <a:headEnd/>
          <a:tailEnd/>
        </a:ln>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38100</xdr:colOff>
      <xdr:row>0</xdr:row>
      <xdr:rowOff>28575</xdr:rowOff>
    </xdr:from>
    <xdr:to>
      <xdr:col>1</xdr:col>
      <xdr:colOff>714375</xdr:colOff>
      <xdr:row>1</xdr:row>
      <xdr:rowOff>161925</xdr:rowOff>
    </xdr:to>
    <xdr:pic>
      <xdr:nvPicPr>
        <xdr:cNvPr id="16917687" name="Imagen 1" descr="LogoBioSC">
          <a:extLst>
            <a:ext uri="{FF2B5EF4-FFF2-40B4-BE49-F238E27FC236}">
              <a16:creationId xmlns:a16="http://schemas.microsoft.com/office/drawing/2014/main" id="{00000000-0008-0000-0D00-0000B724020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8100" y="28575"/>
          <a:ext cx="1438275" cy="323850"/>
        </a:xfrm>
        <a:prstGeom prst="rect">
          <a:avLst/>
        </a:prstGeom>
        <a:noFill/>
        <a:ln w="9525">
          <a:noFill/>
          <a:miter lim="800000"/>
          <a:headEnd/>
          <a:tailEnd/>
        </a:ln>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133350</xdr:colOff>
      <xdr:row>12</xdr:row>
      <xdr:rowOff>9525</xdr:rowOff>
    </xdr:from>
    <xdr:to>
      <xdr:col>4</xdr:col>
      <xdr:colOff>666750</xdr:colOff>
      <xdr:row>25</xdr:row>
      <xdr:rowOff>161925</xdr:rowOff>
    </xdr:to>
    <xdr:graphicFrame macro="">
      <xdr:nvGraphicFramePr>
        <xdr:cNvPr id="2" name="11 Gráfico">
          <a:extLst>
            <a:ext uri="{FF2B5EF4-FFF2-40B4-BE49-F238E27FC236}">
              <a16:creationId xmlns:a16="http://schemas.microsoft.com/office/drawing/2014/main"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190500</xdr:colOff>
      <xdr:row>12</xdr:row>
      <xdr:rowOff>19050</xdr:rowOff>
    </xdr:from>
    <xdr:to>
      <xdr:col>12</xdr:col>
      <xdr:colOff>666750</xdr:colOff>
      <xdr:row>25</xdr:row>
      <xdr:rowOff>171450</xdr:rowOff>
    </xdr:to>
    <xdr:graphicFrame macro="">
      <xdr:nvGraphicFramePr>
        <xdr:cNvPr id="3" name="11 Gráfico">
          <a:extLst>
            <a:ext uri="{FF2B5EF4-FFF2-40B4-BE49-F238E27FC236}">
              <a16:creationId xmlns:a16="http://schemas.microsoft.com/office/drawing/2014/main" id="{00000000-0008-0000-0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142875</xdr:colOff>
      <xdr:row>27</xdr:row>
      <xdr:rowOff>9525</xdr:rowOff>
    </xdr:from>
    <xdr:to>
      <xdr:col>4</xdr:col>
      <xdr:colOff>676275</xdr:colOff>
      <xdr:row>40</xdr:row>
      <xdr:rowOff>180975</xdr:rowOff>
    </xdr:to>
    <xdr:graphicFrame macro="">
      <xdr:nvGraphicFramePr>
        <xdr:cNvPr id="4" name="11 Gráfico">
          <a:extLst>
            <a:ext uri="{FF2B5EF4-FFF2-40B4-BE49-F238E27FC236}">
              <a16:creationId xmlns:a16="http://schemas.microsoft.com/office/drawing/2014/main" id="{00000000-0008-0000-0E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171450</xdr:colOff>
      <xdr:row>12</xdr:row>
      <xdr:rowOff>28575</xdr:rowOff>
    </xdr:from>
    <xdr:to>
      <xdr:col>20</xdr:col>
      <xdr:colOff>247650</xdr:colOff>
      <xdr:row>25</xdr:row>
      <xdr:rowOff>180975</xdr:rowOff>
    </xdr:to>
    <xdr:graphicFrame macro="">
      <xdr:nvGraphicFramePr>
        <xdr:cNvPr id="5" name="11 Gráfico">
          <a:extLst>
            <a:ext uri="{FF2B5EF4-FFF2-40B4-BE49-F238E27FC236}">
              <a16:creationId xmlns:a16="http://schemas.microsoft.com/office/drawing/2014/main" id="{00000000-0008-0000-0E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190500</xdr:colOff>
      <xdr:row>27</xdr:row>
      <xdr:rowOff>9525</xdr:rowOff>
    </xdr:from>
    <xdr:to>
      <xdr:col>12</xdr:col>
      <xdr:colOff>666750</xdr:colOff>
      <xdr:row>40</xdr:row>
      <xdr:rowOff>180975</xdr:rowOff>
    </xdr:to>
    <xdr:graphicFrame macro="">
      <xdr:nvGraphicFramePr>
        <xdr:cNvPr id="6" name="11 Gráfico">
          <a:extLst>
            <a:ext uri="{FF2B5EF4-FFF2-40B4-BE49-F238E27FC236}">
              <a16:creationId xmlns:a16="http://schemas.microsoft.com/office/drawing/2014/main" id="{00000000-0008-0000-0E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497417</xdr:colOff>
      <xdr:row>0</xdr:row>
      <xdr:rowOff>95250</xdr:rowOff>
    </xdr:from>
    <xdr:to>
      <xdr:col>0</xdr:col>
      <xdr:colOff>2075846</xdr:colOff>
      <xdr:row>3</xdr:row>
      <xdr:rowOff>72572</xdr:rowOff>
    </xdr:to>
    <xdr:pic>
      <xdr:nvPicPr>
        <xdr:cNvPr id="8" name="2 Imagen" descr="cid:image002.png@01D6158D.09EFF0A0">
          <a:extLst>
            <a:ext uri="{FF2B5EF4-FFF2-40B4-BE49-F238E27FC236}">
              <a16:creationId xmlns:a16="http://schemas.microsoft.com/office/drawing/2014/main" id="{00000000-0008-0000-0E00-000008000000}"/>
            </a:ext>
          </a:extLst>
        </xdr:cNvPr>
        <xdr:cNvPicPr/>
      </xdr:nvPicPr>
      <xdr:blipFill>
        <a:blip xmlns:r="http://schemas.openxmlformats.org/officeDocument/2006/relationships" r:embed="rId6" r:link="rId7" cstate="print"/>
        <a:srcRect/>
        <a:stretch>
          <a:fillRect/>
        </a:stretch>
      </xdr:blipFill>
      <xdr:spPr bwMode="auto">
        <a:xfrm>
          <a:off x="497417" y="95250"/>
          <a:ext cx="1578429" cy="605972"/>
        </a:xfrm>
        <a:prstGeom prst="rect">
          <a:avLst/>
        </a:prstGeom>
        <a:noFill/>
        <a:ln w="9525">
          <a:noFill/>
          <a:miter lim="800000"/>
          <a:headEnd/>
          <a:tailEnd/>
        </a:ln>
      </xdr:spPr>
    </xdr:pic>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133350</xdr:colOff>
      <xdr:row>11</xdr:row>
      <xdr:rowOff>9525</xdr:rowOff>
    </xdr:from>
    <xdr:to>
      <xdr:col>4</xdr:col>
      <xdr:colOff>666750</xdr:colOff>
      <xdr:row>24</xdr:row>
      <xdr:rowOff>161925</xdr:rowOff>
    </xdr:to>
    <xdr:graphicFrame macro="">
      <xdr:nvGraphicFramePr>
        <xdr:cNvPr id="2" name="11 Gráfico">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xdr:colOff>
      <xdr:row>26</xdr:row>
      <xdr:rowOff>9525</xdr:rowOff>
    </xdr:from>
    <xdr:to>
      <xdr:col>4</xdr:col>
      <xdr:colOff>676275</xdr:colOff>
      <xdr:row>39</xdr:row>
      <xdr:rowOff>180975</xdr:rowOff>
    </xdr:to>
    <xdr:graphicFrame macro="">
      <xdr:nvGraphicFramePr>
        <xdr:cNvPr id="4" name="11 Gráfico">
          <a:extLst>
            <a:ext uri="{FF2B5EF4-FFF2-40B4-BE49-F238E27FC236}">
              <a16:creationId xmlns:a16="http://schemas.microsoft.com/office/drawing/2014/main" id="{00000000-0008-0000-0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190500</xdr:colOff>
      <xdr:row>11</xdr:row>
      <xdr:rowOff>9525</xdr:rowOff>
    </xdr:from>
    <xdr:to>
      <xdr:col>12</xdr:col>
      <xdr:colOff>666750</xdr:colOff>
      <xdr:row>24</xdr:row>
      <xdr:rowOff>161925</xdr:rowOff>
    </xdr:to>
    <xdr:graphicFrame macro="">
      <xdr:nvGraphicFramePr>
        <xdr:cNvPr id="5" name="11 Gráfico">
          <a:extLst>
            <a:ext uri="{FF2B5EF4-FFF2-40B4-BE49-F238E27FC236}">
              <a16:creationId xmlns:a16="http://schemas.microsoft.com/office/drawing/2014/main" id="{00000000-0008-0000-0F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190500</xdr:colOff>
      <xdr:row>26</xdr:row>
      <xdr:rowOff>9525</xdr:rowOff>
    </xdr:from>
    <xdr:to>
      <xdr:col>12</xdr:col>
      <xdr:colOff>666750</xdr:colOff>
      <xdr:row>39</xdr:row>
      <xdr:rowOff>180975</xdr:rowOff>
    </xdr:to>
    <xdr:graphicFrame macro="">
      <xdr:nvGraphicFramePr>
        <xdr:cNvPr id="6" name="11 Gráfico">
          <a:extLst>
            <a:ext uri="{FF2B5EF4-FFF2-40B4-BE49-F238E27FC236}">
              <a16:creationId xmlns:a16="http://schemas.microsoft.com/office/drawing/2014/main" id="{00000000-0008-0000-0F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486833</xdr:colOff>
      <xdr:row>0</xdr:row>
      <xdr:rowOff>95250</xdr:rowOff>
    </xdr:from>
    <xdr:to>
      <xdr:col>0</xdr:col>
      <xdr:colOff>2065262</xdr:colOff>
      <xdr:row>3</xdr:row>
      <xdr:rowOff>72572</xdr:rowOff>
    </xdr:to>
    <xdr:pic>
      <xdr:nvPicPr>
        <xdr:cNvPr id="8" name="2 Imagen" descr="cid:image002.png@01D6158D.09EFF0A0">
          <a:extLst>
            <a:ext uri="{FF2B5EF4-FFF2-40B4-BE49-F238E27FC236}">
              <a16:creationId xmlns:a16="http://schemas.microsoft.com/office/drawing/2014/main" id="{00000000-0008-0000-0F00-000008000000}"/>
            </a:ext>
          </a:extLst>
        </xdr:cNvPr>
        <xdr:cNvPicPr/>
      </xdr:nvPicPr>
      <xdr:blipFill>
        <a:blip xmlns:r="http://schemas.openxmlformats.org/officeDocument/2006/relationships" r:embed="rId5" r:link="rId6" cstate="print"/>
        <a:srcRect/>
        <a:stretch>
          <a:fillRect/>
        </a:stretch>
      </xdr:blipFill>
      <xdr:spPr bwMode="auto">
        <a:xfrm>
          <a:off x="486833" y="95250"/>
          <a:ext cx="1578429" cy="605972"/>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123825</xdr:colOff>
      <xdr:row>21</xdr:row>
      <xdr:rowOff>47625</xdr:rowOff>
    </xdr:from>
    <xdr:to>
      <xdr:col>5</xdr:col>
      <xdr:colOff>790575</xdr:colOff>
      <xdr:row>37</xdr:row>
      <xdr:rowOff>19050</xdr:rowOff>
    </xdr:to>
    <xdr:graphicFrame macro="">
      <xdr:nvGraphicFramePr>
        <xdr:cNvPr id="21136417" name="1 Gráfico">
          <a:extLst>
            <a:ext uri="{FF2B5EF4-FFF2-40B4-BE49-F238E27FC236}">
              <a16:creationId xmlns:a16="http://schemas.microsoft.com/office/drawing/2014/main" id="{00000000-0008-0000-0100-000021844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838200</xdr:colOff>
      <xdr:row>21</xdr:row>
      <xdr:rowOff>57150</xdr:rowOff>
    </xdr:from>
    <xdr:to>
      <xdr:col>18</xdr:col>
      <xdr:colOff>466725</xdr:colOff>
      <xdr:row>37</xdr:row>
      <xdr:rowOff>28575</xdr:rowOff>
    </xdr:to>
    <xdr:graphicFrame macro="">
      <xdr:nvGraphicFramePr>
        <xdr:cNvPr id="21136418" name="2 Gráfico">
          <a:extLst>
            <a:ext uri="{FF2B5EF4-FFF2-40B4-BE49-F238E27FC236}">
              <a16:creationId xmlns:a16="http://schemas.microsoft.com/office/drawing/2014/main" id="{00000000-0008-0000-0100-000022844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xdr:col>
      <xdr:colOff>152400</xdr:colOff>
      <xdr:row>6</xdr:row>
      <xdr:rowOff>114300</xdr:rowOff>
    </xdr:from>
    <xdr:to>
      <xdr:col>8</xdr:col>
      <xdr:colOff>228600</xdr:colOff>
      <xdr:row>9</xdr:row>
      <xdr:rowOff>104775</xdr:rowOff>
    </xdr:to>
    <xdr:sp macro="" textlink="">
      <xdr:nvSpPr>
        <xdr:cNvPr id="21169216" name="Text Box 4160" hidden="1">
          <a:extLst>
            <a:ext uri="{FF2B5EF4-FFF2-40B4-BE49-F238E27FC236}">
              <a16:creationId xmlns:a16="http://schemas.microsoft.com/office/drawing/2014/main" id="{00000000-0008-0000-0100-000040044301}"/>
            </a:ext>
          </a:extLst>
        </xdr:cNvPr>
        <xdr:cNvSpPr txBox="1">
          <a:spLocks noChangeArrowheads="1"/>
        </xdr:cNvSpPr>
      </xdr:nvSpPr>
      <xdr:spPr bwMode="auto">
        <a:xfrm>
          <a:off x="2686050" y="1771650"/>
          <a:ext cx="4733925" cy="6191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oneCell">
    <xdr:from>
      <xdr:col>0</xdr:col>
      <xdr:colOff>0</xdr:colOff>
      <xdr:row>0</xdr:row>
      <xdr:rowOff>63500</xdr:rowOff>
    </xdr:from>
    <xdr:to>
      <xdr:col>1</xdr:col>
      <xdr:colOff>763512</xdr:colOff>
      <xdr:row>3</xdr:row>
      <xdr:rowOff>40822</xdr:rowOff>
    </xdr:to>
    <xdr:pic>
      <xdr:nvPicPr>
        <xdr:cNvPr id="6" name="2 Imagen" descr="cid:image002.png@01D6158D.09EFF0A0">
          <a:extLst>
            <a:ext uri="{FF2B5EF4-FFF2-40B4-BE49-F238E27FC236}">
              <a16:creationId xmlns:a16="http://schemas.microsoft.com/office/drawing/2014/main" id="{00000000-0008-0000-0100-000006000000}"/>
            </a:ext>
          </a:extLst>
        </xdr:cNvPr>
        <xdr:cNvPicPr/>
      </xdr:nvPicPr>
      <xdr:blipFill>
        <a:blip xmlns:r="http://schemas.openxmlformats.org/officeDocument/2006/relationships" r:embed="rId3" r:link="rId4" cstate="print"/>
        <a:srcRect/>
        <a:stretch>
          <a:fillRect/>
        </a:stretch>
      </xdr:blipFill>
      <xdr:spPr bwMode="auto">
        <a:xfrm>
          <a:off x="0" y="63500"/>
          <a:ext cx="1582662" cy="605972"/>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63500</xdr:colOff>
      <xdr:row>0</xdr:row>
      <xdr:rowOff>126999</xdr:rowOff>
    </xdr:from>
    <xdr:to>
      <xdr:col>0</xdr:col>
      <xdr:colOff>1312333</xdr:colOff>
      <xdr:row>3</xdr:row>
      <xdr:rowOff>74083</xdr:rowOff>
    </xdr:to>
    <xdr:pic>
      <xdr:nvPicPr>
        <xdr:cNvPr id="3" name="2 Imagen" descr="cid:image002.png@01D6158D.09EFF0A0">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1" r:link="rId2" cstate="print"/>
        <a:srcRect/>
        <a:stretch>
          <a:fillRect/>
        </a:stretch>
      </xdr:blipFill>
      <xdr:spPr bwMode="auto">
        <a:xfrm>
          <a:off x="63500" y="126999"/>
          <a:ext cx="1248833" cy="582084"/>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418790</xdr:colOff>
      <xdr:row>77</xdr:row>
      <xdr:rowOff>116031</xdr:rowOff>
    </xdr:from>
    <xdr:to>
      <xdr:col>12</xdr:col>
      <xdr:colOff>194063</xdr:colOff>
      <xdr:row>91</xdr:row>
      <xdr:rowOff>86577</xdr:rowOff>
    </xdr:to>
    <xdr:graphicFrame macro="">
      <xdr:nvGraphicFramePr>
        <xdr:cNvPr id="21356570" name="1 Gráfico">
          <a:extLst>
            <a:ext uri="{FF2B5EF4-FFF2-40B4-BE49-F238E27FC236}">
              <a16:creationId xmlns:a16="http://schemas.microsoft.com/office/drawing/2014/main" id="{00000000-0008-0000-0300-00001AE04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77</xdr:row>
      <xdr:rowOff>211281</xdr:rowOff>
    </xdr:from>
    <xdr:to>
      <xdr:col>5</xdr:col>
      <xdr:colOff>225545</xdr:colOff>
      <xdr:row>91</xdr:row>
      <xdr:rowOff>181827</xdr:rowOff>
    </xdr:to>
    <xdr:graphicFrame macro="">
      <xdr:nvGraphicFramePr>
        <xdr:cNvPr id="21356571" name="2 Gráfico">
          <a:extLst>
            <a:ext uri="{FF2B5EF4-FFF2-40B4-BE49-F238E27FC236}">
              <a16:creationId xmlns:a16="http://schemas.microsoft.com/office/drawing/2014/main" id="{00000000-0008-0000-0300-00001BE04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387309</xdr:colOff>
      <xdr:row>77</xdr:row>
      <xdr:rowOff>116031</xdr:rowOff>
    </xdr:from>
    <xdr:to>
      <xdr:col>18</xdr:col>
      <xdr:colOff>647491</xdr:colOff>
      <xdr:row>91</xdr:row>
      <xdr:rowOff>86577</xdr:rowOff>
    </xdr:to>
    <xdr:graphicFrame macro="">
      <xdr:nvGraphicFramePr>
        <xdr:cNvPr id="21356572" name="3 Gráfico">
          <a:extLst>
            <a:ext uri="{FF2B5EF4-FFF2-40B4-BE49-F238E27FC236}">
              <a16:creationId xmlns:a16="http://schemas.microsoft.com/office/drawing/2014/main" id="{00000000-0008-0000-0300-00001CE04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121135</xdr:colOff>
      <xdr:row>63</xdr:row>
      <xdr:rowOff>69056</xdr:rowOff>
    </xdr:from>
    <xdr:to>
      <xdr:col>12</xdr:col>
      <xdr:colOff>729845</xdr:colOff>
      <xdr:row>77</xdr:row>
      <xdr:rowOff>39602</xdr:rowOff>
    </xdr:to>
    <xdr:graphicFrame macro="">
      <xdr:nvGraphicFramePr>
        <xdr:cNvPr id="12" name="2 Gráfico">
          <a:extLst>
            <a:ext uri="{FF2B5EF4-FFF2-40B4-BE49-F238E27FC236}">
              <a16:creationId xmlns:a16="http://schemas.microsoft.com/office/drawing/2014/main" id="{00000000-0008-0000-03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83343</xdr:colOff>
      <xdr:row>63</xdr:row>
      <xdr:rowOff>92868</xdr:rowOff>
    </xdr:from>
    <xdr:to>
      <xdr:col>5</xdr:col>
      <xdr:colOff>308888</xdr:colOff>
      <xdr:row>77</xdr:row>
      <xdr:rowOff>63414</xdr:rowOff>
    </xdr:to>
    <xdr:graphicFrame macro="">
      <xdr:nvGraphicFramePr>
        <xdr:cNvPr id="13" name="2 Gráfico">
          <a:extLst>
            <a:ext uri="{FF2B5EF4-FFF2-40B4-BE49-F238E27FC236}">
              <a16:creationId xmlns:a16="http://schemas.microsoft.com/office/drawing/2014/main" id="{00000000-0008-0000-03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93</xdr:row>
      <xdr:rowOff>32037</xdr:rowOff>
    </xdr:from>
    <xdr:to>
      <xdr:col>5</xdr:col>
      <xdr:colOff>225545</xdr:colOff>
      <xdr:row>107</xdr:row>
      <xdr:rowOff>2583</xdr:rowOff>
    </xdr:to>
    <xdr:graphicFrame macro="">
      <xdr:nvGraphicFramePr>
        <xdr:cNvPr id="14" name="3 Gráfico">
          <a:extLst>
            <a:ext uri="{FF2B5EF4-FFF2-40B4-BE49-F238E27FC236}">
              <a16:creationId xmlns:a16="http://schemas.microsoft.com/office/drawing/2014/main" id="{00000000-0008-0000-03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418790</xdr:colOff>
      <xdr:row>93</xdr:row>
      <xdr:rowOff>32037</xdr:rowOff>
    </xdr:from>
    <xdr:to>
      <xdr:col>12</xdr:col>
      <xdr:colOff>194063</xdr:colOff>
      <xdr:row>107</xdr:row>
      <xdr:rowOff>2583</xdr:rowOff>
    </xdr:to>
    <xdr:graphicFrame macro="">
      <xdr:nvGraphicFramePr>
        <xdr:cNvPr id="15" name="3 Gráfico">
          <a:extLst>
            <a:ext uri="{FF2B5EF4-FFF2-40B4-BE49-F238E27FC236}">
              <a16:creationId xmlns:a16="http://schemas.microsoft.com/office/drawing/2014/main" id="{00000000-0008-0000-03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387309</xdr:colOff>
      <xdr:row>93</xdr:row>
      <xdr:rowOff>32037</xdr:rowOff>
    </xdr:from>
    <xdr:to>
      <xdr:col>18</xdr:col>
      <xdr:colOff>647491</xdr:colOff>
      <xdr:row>107</xdr:row>
      <xdr:rowOff>2583</xdr:rowOff>
    </xdr:to>
    <xdr:graphicFrame macro="">
      <xdr:nvGraphicFramePr>
        <xdr:cNvPr id="16" name="3 Gráfico">
          <a:extLst>
            <a:ext uri="{FF2B5EF4-FFF2-40B4-BE49-F238E27FC236}">
              <a16:creationId xmlns:a16="http://schemas.microsoft.com/office/drawing/2014/main" id="{00000000-0008-0000-0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108</xdr:row>
      <xdr:rowOff>155863</xdr:rowOff>
    </xdr:from>
    <xdr:to>
      <xdr:col>5</xdr:col>
      <xdr:colOff>225545</xdr:colOff>
      <xdr:row>122</xdr:row>
      <xdr:rowOff>126408</xdr:rowOff>
    </xdr:to>
    <xdr:graphicFrame macro="">
      <xdr:nvGraphicFramePr>
        <xdr:cNvPr id="17" name="3 Gráfico">
          <a:extLst>
            <a:ext uri="{FF2B5EF4-FFF2-40B4-BE49-F238E27FC236}">
              <a16:creationId xmlns:a16="http://schemas.microsoft.com/office/drawing/2014/main" id="{00000000-0008-0000-03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418790</xdr:colOff>
      <xdr:row>108</xdr:row>
      <xdr:rowOff>155863</xdr:rowOff>
    </xdr:from>
    <xdr:to>
      <xdr:col>12</xdr:col>
      <xdr:colOff>194063</xdr:colOff>
      <xdr:row>122</xdr:row>
      <xdr:rowOff>126408</xdr:rowOff>
    </xdr:to>
    <xdr:graphicFrame macro="">
      <xdr:nvGraphicFramePr>
        <xdr:cNvPr id="18" name="3 Gráfico">
          <a:extLst>
            <a:ext uri="{FF2B5EF4-FFF2-40B4-BE49-F238E27FC236}">
              <a16:creationId xmlns:a16="http://schemas.microsoft.com/office/drawing/2014/main" id="{00000000-0008-0000-03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387309</xdr:colOff>
      <xdr:row>108</xdr:row>
      <xdr:rowOff>155863</xdr:rowOff>
    </xdr:from>
    <xdr:to>
      <xdr:col>18</xdr:col>
      <xdr:colOff>647491</xdr:colOff>
      <xdr:row>122</xdr:row>
      <xdr:rowOff>126408</xdr:rowOff>
    </xdr:to>
    <xdr:graphicFrame macro="">
      <xdr:nvGraphicFramePr>
        <xdr:cNvPr id="19" name="3 Gráfico">
          <a:extLst>
            <a:ext uri="{FF2B5EF4-FFF2-40B4-BE49-F238E27FC236}">
              <a16:creationId xmlns:a16="http://schemas.microsoft.com/office/drawing/2014/main" id="{00000000-0008-0000-03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0</xdr:col>
      <xdr:colOff>488157</xdr:colOff>
      <xdr:row>0</xdr:row>
      <xdr:rowOff>83343</xdr:rowOff>
    </xdr:from>
    <xdr:to>
      <xdr:col>0</xdr:col>
      <xdr:colOff>2238375</xdr:colOff>
      <xdr:row>3</xdr:row>
      <xdr:rowOff>95248</xdr:rowOff>
    </xdr:to>
    <xdr:pic>
      <xdr:nvPicPr>
        <xdr:cNvPr id="20" name="2 Imagen" descr="cid:image002.png@01D6158D.09EFF0A0">
          <a:extLst>
            <a:ext uri="{FF2B5EF4-FFF2-40B4-BE49-F238E27FC236}">
              <a16:creationId xmlns:a16="http://schemas.microsoft.com/office/drawing/2014/main" id="{00000000-0008-0000-0300-000014000000}"/>
            </a:ext>
          </a:extLst>
        </xdr:cNvPr>
        <xdr:cNvPicPr/>
      </xdr:nvPicPr>
      <xdr:blipFill>
        <a:blip xmlns:r="http://schemas.openxmlformats.org/officeDocument/2006/relationships" r:embed="rId12" r:link="rId13" cstate="print"/>
        <a:srcRect/>
        <a:stretch>
          <a:fillRect/>
        </a:stretch>
      </xdr:blipFill>
      <xdr:spPr bwMode="auto">
        <a:xfrm>
          <a:off x="488157" y="83343"/>
          <a:ext cx="1750218" cy="654843"/>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5</xdr:col>
      <xdr:colOff>152400</xdr:colOff>
      <xdr:row>17</xdr:row>
      <xdr:rowOff>11906</xdr:rowOff>
    </xdr:from>
    <xdr:to>
      <xdr:col>6</xdr:col>
      <xdr:colOff>752475</xdr:colOff>
      <xdr:row>25</xdr:row>
      <xdr:rowOff>202407</xdr:rowOff>
    </xdr:to>
    <xdr:sp macro="" textlink="">
      <xdr:nvSpPr>
        <xdr:cNvPr id="21158139" name="Text Box 1275" hidden="1">
          <a:extLst>
            <a:ext uri="{FF2B5EF4-FFF2-40B4-BE49-F238E27FC236}">
              <a16:creationId xmlns:a16="http://schemas.microsoft.com/office/drawing/2014/main" id="{00000000-0008-0000-0400-0000FBD84201}"/>
            </a:ext>
          </a:extLst>
        </xdr:cNvPr>
        <xdr:cNvSpPr txBox="1">
          <a:spLocks noChangeArrowheads="1"/>
        </xdr:cNvSpPr>
      </xdr:nvSpPr>
      <xdr:spPr bwMode="auto">
        <a:xfrm>
          <a:off x="6467475" y="4019550"/>
          <a:ext cx="1362075" cy="20574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17</xdr:row>
      <xdr:rowOff>11906</xdr:rowOff>
    </xdr:from>
    <xdr:to>
      <xdr:col>7</xdr:col>
      <xdr:colOff>752475</xdr:colOff>
      <xdr:row>19</xdr:row>
      <xdr:rowOff>171450</xdr:rowOff>
    </xdr:to>
    <xdr:sp macro="" textlink="">
      <xdr:nvSpPr>
        <xdr:cNvPr id="21158140" name="Text Box 1276" hidden="1">
          <a:extLst>
            <a:ext uri="{FF2B5EF4-FFF2-40B4-BE49-F238E27FC236}">
              <a16:creationId xmlns:a16="http://schemas.microsoft.com/office/drawing/2014/main" id="{00000000-0008-0000-0400-0000FCD84201}"/>
            </a:ext>
          </a:extLst>
        </xdr:cNvPr>
        <xdr:cNvSpPr txBox="1">
          <a:spLocks noChangeArrowheads="1"/>
        </xdr:cNvSpPr>
      </xdr:nvSpPr>
      <xdr:spPr bwMode="auto">
        <a:xfrm>
          <a:off x="7229475" y="4019550"/>
          <a:ext cx="1362075" cy="6191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17</xdr:row>
      <xdr:rowOff>11906</xdr:rowOff>
    </xdr:from>
    <xdr:to>
      <xdr:col>8</xdr:col>
      <xdr:colOff>752475</xdr:colOff>
      <xdr:row>19</xdr:row>
      <xdr:rowOff>171450</xdr:rowOff>
    </xdr:to>
    <xdr:sp macro="" textlink="">
      <xdr:nvSpPr>
        <xdr:cNvPr id="21158141" name="Text Box 1277" hidden="1">
          <a:extLst>
            <a:ext uri="{FF2B5EF4-FFF2-40B4-BE49-F238E27FC236}">
              <a16:creationId xmlns:a16="http://schemas.microsoft.com/office/drawing/2014/main" id="{00000000-0008-0000-0400-0000FDD84201}"/>
            </a:ext>
          </a:extLst>
        </xdr:cNvPr>
        <xdr:cNvSpPr txBox="1">
          <a:spLocks noChangeArrowheads="1"/>
        </xdr:cNvSpPr>
      </xdr:nvSpPr>
      <xdr:spPr bwMode="auto">
        <a:xfrm>
          <a:off x="7991475" y="4019550"/>
          <a:ext cx="1362075" cy="6191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17</xdr:row>
      <xdr:rowOff>11906</xdr:rowOff>
    </xdr:from>
    <xdr:to>
      <xdr:col>9</xdr:col>
      <xdr:colOff>752475</xdr:colOff>
      <xdr:row>19</xdr:row>
      <xdr:rowOff>171450</xdr:rowOff>
    </xdr:to>
    <xdr:sp macro="" textlink="">
      <xdr:nvSpPr>
        <xdr:cNvPr id="21158142" name="Text Box 1278" hidden="1">
          <a:extLst>
            <a:ext uri="{FF2B5EF4-FFF2-40B4-BE49-F238E27FC236}">
              <a16:creationId xmlns:a16="http://schemas.microsoft.com/office/drawing/2014/main" id="{00000000-0008-0000-0400-0000FED84201}"/>
            </a:ext>
          </a:extLst>
        </xdr:cNvPr>
        <xdr:cNvSpPr txBox="1">
          <a:spLocks noChangeArrowheads="1"/>
        </xdr:cNvSpPr>
      </xdr:nvSpPr>
      <xdr:spPr bwMode="auto">
        <a:xfrm>
          <a:off x="8753475" y="4019550"/>
          <a:ext cx="1362075" cy="6191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17</xdr:row>
      <xdr:rowOff>11906</xdr:rowOff>
    </xdr:from>
    <xdr:to>
      <xdr:col>10</xdr:col>
      <xdr:colOff>752475</xdr:colOff>
      <xdr:row>19</xdr:row>
      <xdr:rowOff>171450</xdr:rowOff>
    </xdr:to>
    <xdr:sp macro="" textlink="">
      <xdr:nvSpPr>
        <xdr:cNvPr id="21158143" name="Text Box 1279" hidden="1">
          <a:extLst>
            <a:ext uri="{FF2B5EF4-FFF2-40B4-BE49-F238E27FC236}">
              <a16:creationId xmlns:a16="http://schemas.microsoft.com/office/drawing/2014/main" id="{00000000-0008-0000-0400-0000FFD84201}"/>
            </a:ext>
          </a:extLst>
        </xdr:cNvPr>
        <xdr:cNvSpPr txBox="1">
          <a:spLocks noChangeArrowheads="1"/>
        </xdr:cNvSpPr>
      </xdr:nvSpPr>
      <xdr:spPr bwMode="auto">
        <a:xfrm>
          <a:off x="9515475" y="4019550"/>
          <a:ext cx="1362075" cy="6191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17</xdr:row>
      <xdr:rowOff>11906</xdr:rowOff>
    </xdr:from>
    <xdr:to>
      <xdr:col>11</xdr:col>
      <xdr:colOff>752475</xdr:colOff>
      <xdr:row>19</xdr:row>
      <xdr:rowOff>171450</xdr:rowOff>
    </xdr:to>
    <xdr:sp macro="" textlink="">
      <xdr:nvSpPr>
        <xdr:cNvPr id="21158144" name="Text Box 1280" hidden="1">
          <a:extLst>
            <a:ext uri="{FF2B5EF4-FFF2-40B4-BE49-F238E27FC236}">
              <a16:creationId xmlns:a16="http://schemas.microsoft.com/office/drawing/2014/main" id="{00000000-0008-0000-0400-000000D94201}"/>
            </a:ext>
          </a:extLst>
        </xdr:cNvPr>
        <xdr:cNvSpPr txBox="1">
          <a:spLocks noChangeArrowheads="1"/>
        </xdr:cNvSpPr>
      </xdr:nvSpPr>
      <xdr:spPr bwMode="auto">
        <a:xfrm>
          <a:off x="10277475" y="4019550"/>
          <a:ext cx="1362075" cy="6191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17</xdr:row>
      <xdr:rowOff>11906</xdr:rowOff>
    </xdr:from>
    <xdr:to>
      <xdr:col>12</xdr:col>
      <xdr:colOff>752475</xdr:colOff>
      <xdr:row>19</xdr:row>
      <xdr:rowOff>171450</xdr:rowOff>
    </xdr:to>
    <xdr:sp macro="" textlink="">
      <xdr:nvSpPr>
        <xdr:cNvPr id="21158145" name="Text Box 1281" hidden="1">
          <a:extLst>
            <a:ext uri="{FF2B5EF4-FFF2-40B4-BE49-F238E27FC236}">
              <a16:creationId xmlns:a16="http://schemas.microsoft.com/office/drawing/2014/main" id="{00000000-0008-0000-0400-000001D94201}"/>
            </a:ext>
          </a:extLst>
        </xdr:cNvPr>
        <xdr:cNvSpPr txBox="1">
          <a:spLocks noChangeArrowheads="1"/>
        </xdr:cNvSpPr>
      </xdr:nvSpPr>
      <xdr:spPr bwMode="auto">
        <a:xfrm>
          <a:off x="11039475" y="4019550"/>
          <a:ext cx="1362075" cy="6191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17</xdr:row>
      <xdr:rowOff>11906</xdr:rowOff>
    </xdr:from>
    <xdr:to>
      <xdr:col>13</xdr:col>
      <xdr:colOff>752475</xdr:colOff>
      <xdr:row>19</xdr:row>
      <xdr:rowOff>171450</xdr:rowOff>
    </xdr:to>
    <xdr:sp macro="" textlink="">
      <xdr:nvSpPr>
        <xdr:cNvPr id="21158146" name="Text Box 1282" hidden="1">
          <a:extLst>
            <a:ext uri="{FF2B5EF4-FFF2-40B4-BE49-F238E27FC236}">
              <a16:creationId xmlns:a16="http://schemas.microsoft.com/office/drawing/2014/main" id="{00000000-0008-0000-0400-000002D94201}"/>
            </a:ext>
          </a:extLst>
        </xdr:cNvPr>
        <xdr:cNvSpPr txBox="1">
          <a:spLocks noChangeArrowheads="1"/>
        </xdr:cNvSpPr>
      </xdr:nvSpPr>
      <xdr:spPr bwMode="auto">
        <a:xfrm>
          <a:off x="11801475" y="4019550"/>
          <a:ext cx="1362075" cy="6191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17</xdr:row>
      <xdr:rowOff>11906</xdr:rowOff>
    </xdr:from>
    <xdr:to>
      <xdr:col>5</xdr:col>
      <xdr:colOff>752475</xdr:colOff>
      <xdr:row>25</xdr:row>
      <xdr:rowOff>202407</xdr:rowOff>
    </xdr:to>
    <xdr:sp macro="" textlink="">
      <xdr:nvSpPr>
        <xdr:cNvPr id="21158169" name="Text Box 1305" hidden="1">
          <a:extLst>
            <a:ext uri="{FF2B5EF4-FFF2-40B4-BE49-F238E27FC236}">
              <a16:creationId xmlns:a16="http://schemas.microsoft.com/office/drawing/2014/main" id="{00000000-0008-0000-0400-000019D94201}"/>
            </a:ext>
          </a:extLst>
        </xdr:cNvPr>
        <xdr:cNvSpPr txBox="1">
          <a:spLocks noChangeArrowheads="1"/>
        </xdr:cNvSpPr>
      </xdr:nvSpPr>
      <xdr:spPr bwMode="auto">
        <a:xfrm>
          <a:off x="5705475" y="4019550"/>
          <a:ext cx="1362075" cy="20574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17</xdr:row>
      <xdr:rowOff>11906</xdr:rowOff>
    </xdr:from>
    <xdr:to>
      <xdr:col>16</xdr:col>
      <xdr:colOff>752475</xdr:colOff>
      <xdr:row>19</xdr:row>
      <xdr:rowOff>171450</xdr:rowOff>
    </xdr:to>
    <xdr:sp macro="" textlink="">
      <xdr:nvSpPr>
        <xdr:cNvPr id="21158179" name="Text Box 1315" hidden="1">
          <a:extLst>
            <a:ext uri="{FF2B5EF4-FFF2-40B4-BE49-F238E27FC236}">
              <a16:creationId xmlns:a16="http://schemas.microsoft.com/office/drawing/2014/main" id="{00000000-0008-0000-0400-000023D94201}"/>
            </a:ext>
          </a:extLst>
        </xdr:cNvPr>
        <xdr:cNvSpPr txBox="1">
          <a:spLocks noChangeArrowheads="1"/>
        </xdr:cNvSpPr>
      </xdr:nvSpPr>
      <xdr:spPr bwMode="auto">
        <a:xfrm>
          <a:off x="12563475" y="4019550"/>
          <a:ext cx="1362075" cy="6191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oneCell">
    <xdr:from>
      <xdr:col>1</xdr:col>
      <xdr:colOff>201083</xdr:colOff>
      <xdr:row>0</xdr:row>
      <xdr:rowOff>127000</xdr:rowOff>
    </xdr:from>
    <xdr:to>
      <xdr:col>1</xdr:col>
      <xdr:colOff>1779512</xdr:colOff>
      <xdr:row>3</xdr:row>
      <xdr:rowOff>40822</xdr:rowOff>
    </xdr:to>
    <xdr:pic>
      <xdr:nvPicPr>
        <xdr:cNvPr id="13" name="2 Imagen" descr="cid:image002.png@01D6158D.09EFF0A0">
          <a:extLst>
            <a:ext uri="{FF2B5EF4-FFF2-40B4-BE49-F238E27FC236}">
              <a16:creationId xmlns:a16="http://schemas.microsoft.com/office/drawing/2014/main" id="{00000000-0008-0000-0400-00000D000000}"/>
            </a:ext>
          </a:extLst>
        </xdr:cNvPr>
        <xdr:cNvPicPr/>
      </xdr:nvPicPr>
      <xdr:blipFill>
        <a:blip xmlns:r="http://schemas.openxmlformats.org/officeDocument/2006/relationships" r:embed="rId1" r:link="rId2" cstate="print"/>
        <a:srcRect/>
        <a:stretch>
          <a:fillRect/>
        </a:stretch>
      </xdr:blipFill>
      <xdr:spPr bwMode="auto">
        <a:xfrm>
          <a:off x="963083" y="127000"/>
          <a:ext cx="1578429" cy="599622"/>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66675</xdr:colOff>
      <xdr:row>0</xdr:row>
      <xdr:rowOff>66675</xdr:rowOff>
    </xdr:from>
    <xdr:to>
      <xdr:col>3</xdr:col>
      <xdr:colOff>845004</xdr:colOff>
      <xdr:row>3</xdr:row>
      <xdr:rowOff>50347</xdr:rowOff>
    </xdr:to>
    <xdr:pic>
      <xdr:nvPicPr>
        <xdr:cNvPr id="3" name="2 Imagen" descr="cid:image002.png@01D6158D.09EFF0A0">
          <a:extLst>
            <a:ext uri="{FF2B5EF4-FFF2-40B4-BE49-F238E27FC236}">
              <a16:creationId xmlns:a16="http://schemas.microsoft.com/office/drawing/2014/main" id="{00000000-0008-0000-0500-000003000000}"/>
            </a:ext>
          </a:extLst>
        </xdr:cNvPr>
        <xdr:cNvPicPr/>
      </xdr:nvPicPr>
      <xdr:blipFill>
        <a:blip xmlns:r="http://schemas.openxmlformats.org/officeDocument/2006/relationships" r:embed="rId1" r:link="rId2" cstate="print"/>
        <a:srcRect/>
        <a:stretch>
          <a:fillRect/>
        </a:stretch>
      </xdr:blipFill>
      <xdr:spPr bwMode="auto">
        <a:xfrm>
          <a:off x="257175" y="66675"/>
          <a:ext cx="1578429" cy="612322"/>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57151</xdr:colOff>
      <xdr:row>5</xdr:row>
      <xdr:rowOff>47625</xdr:rowOff>
    </xdr:from>
    <xdr:to>
      <xdr:col>2</xdr:col>
      <xdr:colOff>762000</xdr:colOff>
      <xdr:row>15</xdr:row>
      <xdr:rowOff>114300</xdr:rowOff>
    </xdr:to>
    <xdr:graphicFrame macro="">
      <xdr:nvGraphicFramePr>
        <xdr:cNvPr id="2" name="1 Gráfico">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95250</xdr:colOff>
      <xdr:row>17</xdr:row>
      <xdr:rowOff>35719</xdr:rowOff>
    </xdr:from>
    <xdr:to>
      <xdr:col>21</xdr:col>
      <xdr:colOff>452439</xdr:colOff>
      <xdr:row>30</xdr:row>
      <xdr:rowOff>185739</xdr:rowOff>
    </xdr:to>
    <xdr:graphicFrame macro="">
      <xdr:nvGraphicFramePr>
        <xdr:cNvPr id="3" name="2 Gráfico">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11907</xdr:colOff>
      <xdr:row>5</xdr:row>
      <xdr:rowOff>47625</xdr:rowOff>
    </xdr:from>
    <xdr:to>
      <xdr:col>6</xdr:col>
      <xdr:colOff>50006</xdr:colOff>
      <xdr:row>15</xdr:row>
      <xdr:rowOff>114300</xdr:rowOff>
    </xdr:to>
    <xdr:graphicFrame macro="">
      <xdr:nvGraphicFramePr>
        <xdr:cNvPr id="5" name="1 Gráfico">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142874</xdr:colOff>
      <xdr:row>5</xdr:row>
      <xdr:rowOff>35718</xdr:rowOff>
    </xdr:from>
    <xdr:to>
      <xdr:col>9</xdr:col>
      <xdr:colOff>478629</xdr:colOff>
      <xdr:row>15</xdr:row>
      <xdr:rowOff>102393</xdr:rowOff>
    </xdr:to>
    <xdr:graphicFrame macro="">
      <xdr:nvGraphicFramePr>
        <xdr:cNvPr id="6" name="1 Gráfico">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619125</xdr:colOff>
      <xdr:row>5</xdr:row>
      <xdr:rowOff>47625</xdr:rowOff>
    </xdr:from>
    <xdr:to>
      <xdr:col>13</xdr:col>
      <xdr:colOff>2380</xdr:colOff>
      <xdr:row>15</xdr:row>
      <xdr:rowOff>114300</xdr:rowOff>
    </xdr:to>
    <xdr:graphicFrame macro="">
      <xdr:nvGraphicFramePr>
        <xdr:cNvPr id="7" name="1 Gráfico">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119063</xdr:colOff>
      <xdr:row>5</xdr:row>
      <xdr:rowOff>47625</xdr:rowOff>
    </xdr:from>
    <xdr:to>
      <xdr:col>17</xdr:col>
      <xdr:colOff>109537</xdr:colOff>
      <xdr:row>15</xdr:row>
      <xdr:rowOff>114300</xdr:rowOff>
    </xdr:to>
    <xdr:graphicFrame macro="">
      <xdr:nvGraphicFramePr>
        <xdr:cNvPr id="9" name="1 Gráfico">
          <a:extLst>
            <a:ext uri="{FF2B5EF4-FFF2-40B4-BE49-F238E27FC236}">
              <a16:creationId xmlns:a16="http://schemas.microsoft.com/office/drawing/2014/main" id="{00000000-0008-0000-06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214313</xdr:colOff>
      <xdr:row>5</xdr:row>
      <xdr:rowOff>71437</xdr:rowOff>
    </xdr:from>
    <xdr:to>
      <xdr:col>21</xdr:col>
      <xdr:colOff>204787</xdr:colOff>
      <xdr:row>15</xdr:row>
      <xdr:rowOff>138112</xdr:rowOff>
    </xdr:to>
    <xdr:graphicFrame macro="">
      <xdr:nvGraphicFramePr>
        <xdr:cNvPr id="10" name="1 Gráfico">
          <a:extLst>
            <a:ext uri="{FF2B5EF4-FFF2-40B4-BE49-F238E27FC236}">
              <a16:creationId xmlns:a16="http://schemas.microsoft.com/office/drawing/2014/main" id="{00000000-0008-0000-06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285750</xdr:colOff>
      <xdr:row>5</xdr:row>
      <xdr:rowOff>83344</xdr:rowOff>
    </xdr:from>
    <xdr:to>
      <xdr:col>25</xdr:col>
      <xdr:colOff>276224</xdr:colOff>
      <xdr:row>15</xdr:row>
      <xdr:rowOff>150019</xdr:rowOff>
    </xdr:to>
    <xdr:graphicFrame macro="">
      <xdr:nvGraphicFramePr>
        <xdr:cNvPr id="11" name="1 Gráfico">
          <a:extLst>
            <a:ext uri="{FF2B5EF4-FFF2-40B4-BE49-F238E27FC236}">
              <a16:creationId xmlns:a16="http://schemas.microsoft.com/office/drawing/2014/main" id="{00000000-0008-0000-06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416718</xdr:colOff>
      <xdr:row>5</xdr:row>
      <xdr:rowOff>130968</xdr:rowOff>
    </xdr:from>
    <xdr:to>
      <xdr:col>29</xdr:col>
      <xdr:colOff>407192</xdr:colOff>
      <xdr:row>15</xdr:row>
      <xdr:rowOff>197643</xdr:rowOff>
    </xdr:to>
    <xdr:graphicFrame macro="">
      <xdr:nvGraphicFramePr>
        <xdr:cNvPr id="12" name="1 Gráfico">
          <a:extLst>
            <a:ext uri="{FF2B5EF4-FFF2-40B4-BE49-F238E27FC236}">
              <a16:creationId xmlns:a16="http://schemas.microsoft.com/office/drawing/2014/main" id="{00000000-0008-0000-06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1</xdr:colOff>
      <xdr:row>0</xdr:row>
      <xdr:rowOff>119063</xdr:rowOff>
    </xdr:from>
    <xdr:to>
      <xdr:col>0</xdr:col>
      <xdr:colOff>1381125</xdr:colOff>
      <xdr:row>3</xdr:row>
      <xdr:rowOff>95249</xdr:rowOff>
    </xdr:to>
    <xdr:pic>
      <xdr:nvPicPr>
        <xdr:cNvPr id="13" name="2 Imagen" descr="cid:image002.png@01D6158D.09EFF0A0">
          <a:extLst>
            <a:ext uri="{FF2B5EF4-FFF2-40B4-BE49-F238E27FC236}">
              <a16:creationId xmlns:a16="http://schemas.microsoft.com/office/drawing/2014/main" id="{00000000-0008-0000-0600-00000D000000}"/>
            </a:ext>
          </a:extLst>
        </xdr:cNvPr>
        <xdr:cNvPicPr/>
      </xdr:nvPicPr>
      <xdr:blipFill>
        <a:blip xmlns:r="http://schemas.openxmlformats.org/officeDocument/2006/relationships" r:embed="rId10" r:link="rId11" cstate="print"/>
        <a:srcRect/>
        <a:stretch>
          <a:fillRect/>
        </a:stretch>
      </xdr:blipFill>
      <xdr:spPr bwMode="auto">
        <a:xfrm>
          <a:off x="1" y="119063"/>
          <a:ext cx="1381124" cy="619124"/>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34</xdr:row>
      <xdr:rowOff>0</xdr:rowOff>
    </xdr:from>
    <xdr:to>
      <xdr:col>9</xdr:col>
      <xdr:colOff>638175</xdr:colOff>
      <xdr:row>53</xdr:row>
      <xdr:rowOff>161925</xdr:rowOff>
    </xdr:to>
    <xdr:graphicFrame macro="">
      <xdr:nvGraphicFramePr>
        <xdr:cNvPr id="21040248" name="1 Gráfico">
          <a:extLst>
            <a:ext uri="{FF2B5EF4-FFF2-40B4-BE49-F238E27FC236}">
              <a16:creationId xmlns:a16="http://schemas.microsoft.com/office/drawing/2014/main" id="{00000000-0008-0000-0700-0000780C41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257175</xdr:colOff>
      <xdr:row>34</xdr:row>
      <xdr:rowOff>9525</xdr:rowOff>
    </xdr:from>
    <xdr:to>
      <xdr:col>15</xdr:col>
      <xdr:colOff>0</xdr:colOff>
      <xdr:row>53</xdr:row>
      <xdr:rowOff>171450</xdr:rowOff>
    </xdr:to>
    <xdr:graphicFrame macro="">
      <xdr:nvGraphicFramePr>
        <xdr:cNvPr id="21040249" name="2 Gráfico">
          <a:extLst>
            <a:ext uri="{FF2B5EF4-FFF2-40B4-BE49-F238E27FC236}">
              <a16:creationId xmlns:a16="http://schemas.microsoft.com/office/drawing/2014/main" id="{00000000-0008-0000-0700-0000790C41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55</xdr:row>
      <xdr:rowOff>19050</xdr:rowOff>
    </xdr:from>
    <xdr:to>
      <xdr:col>9</xdr:col>
      <xdr:colOff>638175</xdr:colOff>
      <xdr:row>74</xdr:row>
      <xdr:rowOff>180975</xdr:rowOff>
    </xdr:to>
    <xdr:graphicFrame macro="">
      <xdr:nvGraphicFramePr>
        <xdr:cNvPr id="21040250" name="3 Gráfico">
          <a:extLst>
            <a:ext uri="{FF2B5EF4-FFF2-40B4-BE49-F238E27FC236}">
              <a16:creationId xmlns:a16="http://schemas.microsoft.com/office/drawing/2014/main" id="{00000000-0008-0000-0700-00007A0C41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257175</xdr:colOff>
      <xdr:row>55</xdr:row>
      <xdr:rowOff>9525</xdr:rowOff>
    </xdr:from>
    <xdr:to>
      <xdr:col>15</xdr:col>
      <xdr:colOff>0</xdr:colOff>
      <xdr:row>75</xdr:row>
      <xdr:rowOff>38100</xdr:rowOff>
    </xdr:to>
    <xdr:graphicFrame macro="">
      <xdr:nvGraphicFramePr>
        <xdr:cNvPr id="21040251" name="4 Gráfico">
          <a:extLst>
            <a:ext uri="{FF2B5EF4-FFF2-40B4-BE49-F238E27FC236}">
              <a16:creationId xmlns:a16="http://schemas.microsoft.com/office/drawing/2014/main" id="{00000000-0008-0000-0700-00007B0C41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77</xdr:row>
      <xdr:rowOff>0</xdr:rowOff>
    </xdr:from>
    <xdr:to>
      <xdr:col>9</xdr:col>
      <xdr:colOff>666750</xdr:colOff>
      <xdr:row>97</xdr:row>
      <xdr:rowOff>28575</xdr:rowOff>
    </xdr:to>
    <xdr:graphicFrame macro="">
      <xdr:nvGraphicFramePr>
        <xdr:cNvPr id="21040252" name="5 Gráfico">
          <a:extLst>
            <a:ext uri="{FF2B5EF4-FFF2-40B4-BE49-F238E27FC236}">
              <a16:creationId xmlns:a16="http://schemas.microsoft.com/office/drawing/2014/main" id="{00000000-0008-0000-0700-00007C0C41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266700</xdr:colOff>
      <xdr:row>77</xdr:row>
      <xdr:rowOff>0</xdr:rowOff>
    </xdr:from>
    <xdr:to>
      <xdr:col>15</xdr:col>
      <xdr:colOff>0</xdr:colOff>
      <xdr:row>97</xdr:row>
      <xdr:rowOff>28575</xdr:rowOff>
    </xdr:to>
    <xdr:graphicFrame macro="">
      <xdr:nvGraphicFramePr>
        <xdr:cNvPr id="21040253" name="6 Gráfico">
          <a:extLst>
            <a:ext uri="{FF2B5EF4-FFF2-40B4-BE49-F238E27FC236}">
              <a16:creationId xmlns:a16="http://schemas.microsoft.com/office/drawing/2014/main" id="{00000000-0008-0000-0700-00007D0C41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99</xdr:row>
      <xdr:rowOff>0</xdr:rowOff>
    </xdr:from>
    <xdr:to>
      <xdr:col>9</xdr:col>
      <xdr:colOff>666750</xdr:colOff>
      <xdr:row>119</xdr:row>
      <xdr:rowOff>28575</xdr:rowOff>
    </xdr:to>
    <xdr:graphicFrame macro="">
      <xdr:nvGraphicFramePr>
        <xdr:cNvPr id="21040254" name="7 Gráfico">
          <a:extLst>
            <a:ext uri="{FF2B5EF4-FFF2-40B4-BE49-F238E27FC236}">
              <a16:creationId xmlns:a16="http://schemas.microsoft.com/office/drawing/2014/main" id="{00000000-0008-0000-0700-00007E0C41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261675</xdr:colOff>
      <xdr:row>0</xdr:row>
      <xdr:rowOff>73269</xdr:rowOff>
    </xdr:from>
    <xdr:to>
      <xdr:col>1</xdr:col>
      <xdr:colOff>835269</xdr:colOff>
      <xdr:row>3</xdr:row>
      <xdr:rowOff>57569</xdr:rowOff>
    </xdr:to>
    <xdr:pic>
      <xdr:nvPicPr>
        <xdr:cNvPr id="10" name="2 Imagen" descr="cid:image002.png@01D6158D.09EFF0A0">
          <a:extLst>
            <a:ext uri="{FF2B5EF4-FFF2-40B4-BE49-F238E27FC236}">
              <a16:creationId xmlns:a16="http://schemas.microsoft.com/office/drawing/2014/main" id="{00000000-0008-0000-0700-00000A000000}"/>
            </a:ext>
          </a:extLst>
        </xdr:cNvPr>
        <xdr:cNvPicPr/>
      </xdr:nvPicPr>
      <xdr:blipFill>
        <a:blip xmlns:r="http://schemas.openxmlformats.org/officeDocument/2006/relationships" r:embed="rId8" r:link="rId9" cstate="print"/>
        <a:srcRect/>
        <a:stretch>
          <a:fillRect/>
        </a:stretch>
      </xdr:blipFill>
      <xdr:spPr bwMode="auto">
        <a:xfrm>
          <a:off x="261675" y="73269"/>
          <a:ext cx="1573719" cy="612950"/>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10</xdr:col>
      <xdr:colOff>304800</xdr:colOff>
      <xdr:row>55</xdr:row>
      <xdr:rowOff>152400</xdr:rowOff>
    </xdr:from>
    <xdr:to>
      <xdr:col>20</xdr:col>
      <xdr:colOff>266700</xdr:colOff>
      <xdr:row>74</xdr:row>
      <xdr:rowOff>200025</xdr:rowOff>
    </xdr:to>
    <xdr:graphicFrame macro="">
      <xdr:nvGraphicFramePr>
        <xdr:cNvPr id="16341759" name="2 Gráfico">
          <a:extLst>
            <a:ext uri="{FF2B5EF4-FFF2-40B4-BE49-F238E27FC236}">
              <a16:creationId xmlns:a16="http://schemas.microsoft.com/office/drawing/2014/main" id="{00000000-0008-0000-0800-0000FF5AF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55</xdr:row>
      <xdr:rowOff>133350</xdr:rowOff>
    </xdr:from>
    <xdr:to>
      <xdr:col>10</xdr:col>
      <xdr:colOff>171450</xdr:colOff>
      <xdr:row>68</xdr:row>
      <xdr:rowOff>123825</xdr:rowOff>
    </xdr:to>
    <xdr:graphicFrame macro="">
      <xdr:nvGraphicFramePr>
        <xdr:cNvPr id="16341760" name="3 Gráfico">
          <a:extLst>
            <a:ext uri="{FF2B5EF4-FFF2-40B4-BE49-F238E27FC236}">
              <a16:creationId xmlns:a16="http://schemas.microsoft.com/office/drawing/2014/main" id="{00000000-0008-0000-0800-0000005BF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35</xdr:row>
      <xdr:rowOff>38100</xdr:rowOff>
    </xdr:from>
    <xdr:to>
      <xdr:col>20</xdr:col>
      <xdr:colOff>247650</xdr:colOff>
      <xdr:row>54</xdr:row>
      <xdr:rowOff>171450</xdr:rowOff>
    </xdr:to>
    <xdr:graphicFrame macro="">
      <xdr:nvGraphicFramePr>
        <xdr:cNvPr id="16341761" name="4 Gráfico">
          <a:extLst>
            <a:ext uri="{FF2B5EF4-FFF2-40B4-BE49-F238E27FC236}">
              <a16:creationId xmlns:a16="http://schemas.microsoft.com/office/drawing/2014/main" id="{00000000-0008-0000-0800-0000015BF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0</xdr:colOff>
      <xdr:row>35</xdr:row>
      <xdr:rowOff>0</xdr:rowOff>
    </xdr:from>
    <xdr:to>
      <xdr:col>40</xdr:col>
      <xdr:colOff>676275</xdr:colOff>
      <xdr:row>54</xdr:row>
      <xdr:rowOff>133350</xdr:rowOff>
    </xdr:to>
    <xdr:graphicFrame macro="">
      <xdr:nvGraphicFramePr>
        <xdr:cNvPr id="6" name="4 Gráfico">
          <a:extLst>
            <a:ext uri="{FF2B5EF4-FFF2-40B4-BE49-F238E27FC236}">
              <a16:creationId xmlns:a16="http://schemas.microsoft.com/office/drawing/2014/main" id="{00000000-0008-0000-08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476250</xdr:colOff>
      <xdr:row>0</xdr:row>
      <xdr:rowOff>79374</xdr:rowOff>
    </xdr:from>
    <xdr:to>
      <xdr:col>0</xdr:col>
      <xdr:colOff>2054679</xdr:colOff>
      <xdr:row>3</xdr:row>
      <xdr:rowOff>79375</xdr:rowOff>
    </xdr:to>
    <xdr:pic>
      <xdr:nvPicPr>
        <xdr:cNvPr id="7" name="2 Imagen" descr="cid:image002.png@01D6158D.09EFF0A0">
          <a:extLst>
            <a:ext uri="{FF2B5EF4-FFF2-40B4-BE49-F238E27FC236}">
              <a16:creationId xmlns:a16="http://schemas.microsoft.com/office/drawing/2014/main" id="{00000000-0008-0000-0800-000007000000}"/>
            </a:ext>
          </a:extLst>
        </xdr:cNvPr>
        <xdr:cNvPicPr/>
      </xdr:nvPicPr>
      <xdr:blipFill>
        <a:blip xmlns:r="http://schemas.openxmlformats.org/officeDocument/2006/relationships" r:embed="rId5" r:link="rId6" cstate="print"/>
        <a:srcRect/>
        <a:stretch>
          <a:fillRect/>
        </a:stretch>
      </xdr:blipFill>
      <xdr:spPr bwMode="auto">
        <a:xfrm>
          <a:off x="476250" y="79374"/>
          <a:ext cx="1578429" cy="628651"/>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16.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AY58"/>
  <sheetViews>
    <sheetView topLeftCell="A31" zoomScale="80" zoomScaleNormal="80" workbookViewId="0">
      <selection activeCell="A7" sqref="A7"/>
    </sheetView>
  </sheetViews>
  <sheetFormatPr baseColWidth="10" defaultColWidth="14.85546875" defaultRowHeight="16.5" x14ac:dyDescent="0.25"/>
  <cols>
    <col min="1" max="1" width="28.5703125" style="354" customWidth="1"/>
    <col min="2" max="3" width="15.7109375" style="354" customWidth="1"/>
    <col min="4" max="4" width="13.5703125" style="354" customWidth="1"/>
    <col min="5" max="5" width="21.28515625" style="354" customWidth="1"/>
    <col min="6" max="6" width="13.28515625" style="354" customWidth="1"/>
    <col min="7" max="7" width="13.42578125" style="354" customWidth="1"/>
    <col min="8" max="8" width="12.140625" style="354" customWidth="1"/>
    <col min="9" max="9" width="20.5703125" style="354" customWidth="1"/>
    <col min="10" max="10" width="15.7109375" style="354" customWidth="1"/>
    <col min="11" max="11" width="13.7109375" style="354" customWidth="1"/>
    <col min="12" max="12" width="13.42578125" style="354" customWidth="1"/>
    <col min="13" max="13" width="16.7109375" style="354" customWidth="1"/>
    <col min="14" max="14" width="21.28515625" style="354" customWidth="1"/>
    <col min="15" max="15" width="12.140625" style="354" customWidth="1"/>
    <col min="16" max="16" width="13.5703125" style="354" bestFit="1" customWidth="1"/>
    <col min="17" max="17" width="11.7109375" style="354" customWidth="1"/>
    <col min="18" max="18" width="13.140625" style="354" customWidth="1"/>
    <col min="19" max="16384" width="14.85546875" style="354"/>
  </cols>
  <sheetData>
    <row r="1" spans="1:21" ht="16.5" customHeight="1" x14ac:dyDescent="0.25">
      <c r="A1" s="795"/>
      <c r="B1" s="823" t="s">
        <v>260</v>
      </c>
      <c r="C1" s="824"/>
      <c r="D1" s="824"/>
      <c r="E1" s="824"/>
      <c r="F1" s="824"/>
      <c r="G1" s="824"/>
      <c r="H1" s="824"/>
      <c r="I1" s="824"/>
      <c r="J1" s="824"/>
      <c r="K1" s="824"/>
      <c r="L1" s="824"/>
      <c r="M1" s="825"/>
      <c r="N1" s="459" t="s">
        <v>550</v>
      </c>
      <c r="O1" s="353"/>
    </row>
    <row r="2" spans="1:21" ht="16.5" customHeight="1" x14ac:dyDescent="0.25">
      <c r="A2" s="796"/>
      <c r="B2" s="826"/>
      <c r="C2" s="827"/>
      <c r="D2" s="827"/>
      <c r="E2" s="827"/>
      <c r="F2" s="827"/>
      <c r="G2" s="827"/>
      <c r="H2" s="827"/>
      <c r="I2" s="827"/>
      <c r="J2" s="827"/>
      <c r="K2" s="827"/>
      <c r="L2" s="827"/>
      <c r="M2" s="828"/>
      <c r="N2" s="819" t="s">
        <v>533</v>
      </c>
      <c r="O2" s="820"/>
    </row>
    <row r="3" spans="1:21" ht="16.5" customHeight="1" x14ac:dyDescent="0.25">
      <c r="A3" s="796"/>
      <c r="B3" s="826"/>
      <c r="C3" s="827"/>
      <c r="D3" s="827"/>
      <c r="E3" s="827"/>
      <c r="F3" s="827"/>
      <c r="G3" s="827"/>
      <c r="H3" s="827"/>
      <c r="I3" s="827"/>
      <c r="J3" s="827"/>
      <c r="K3" s="827"/>
      <c r="L3" s="827"/>
      <c r="M3" s="828"/>
      <c r="N3" s="819" t="s">
        <v>534</v>
      </c>
      <c r="O3" s="820"/>
    </row>
    <row r="4" spans="1:21" ht="16.5" customHeight="1" thickBot="1" x14ac:dyDescent="0.3">
      <c r="A4" s="797"/>
      <c r="B4" s="829"/>
      <c r="C4" s="830"/>
      <c r="D4" s="830"/>
      <c r="E4" s="830"/>
      <c r="F4" s="830"/>
      <c r="G4" s="830"/>
      <c r="H4" s="830"/>
      <c r="I4" s="830"/>
      <c r="J4" s="830"/>
      <c r="K4" s="830"/>
      <c r="L4" s="830"/>
      <c r="M4" s="831"/>
      <c r="N4" s="821" t="s">
        <v>535</v>
      </c>
      <c r="O4" s="822"/>
    </row>
    <row r="5" spans="1:21" ht="22.5" customHeight="1" thickBot="1" x14ac:dyDescent="0.3">
      <c r="A5" s="832" t="s">
        <v>0</v>
      </c>
      <c r="B5" s="833"/>
      <c r="C5" s="833"/>
      <c r="D5" s="833"/>
      <c r="E5" s="833"/>
      <c r="F5" s="833"/>
      <c r="G5" s="833"/>
      <c r="H5" s="833"/>
      <c r="I5" s="833"/>
      <c r="J5" s="833"/>
      <c r="K5" s="833"/>
      <c r="L5" s="833"/>
      <c r="M5" s="833"/>
      <c r="N5" s="833"/>
      <c r="O5" s="834"/>
    </row>
    <row r="6" spans="1:21" ht="18.75" customHeight="1" thickBot="1" x14ac:dyDescent="0.3">
      <c r="A6" s="684"/>
      <c r="B6" s="685"/>
      <c r="C6" s="356"/>
      <c r="D6" s="356"/>
      <c r="E6" s="356"/>
      <c r="F6" s="356"/>
      <c r="G6" s="356"/>
      <c r="H6" s="356"/>
      <c r="I6" s="356"/>
      <c r="J6" s="356"/>
      <c r="K6" s="356"/>
      <c r="L6" s="356"/>
      <c r="M6" s="355"/>
      <c r="N6" s="355"/>
    </row>
    <row r="7" spans="1:21" s="360" customFormat="1" ht="27" customHeight="1" thickBot="1" x14ac:dyDescent="0.3">
      <c r="A7" s="357" t="s">
        <v>64</v>
      </c>
      <c r="B7" s="358">
        <f>+INVENTARIOS!N6</f>
        <v>44287</v>
      </c>
      <c r="C7" s="359"/>
    </row>
    <row r="8" spans="1:21" s="360" customFormat="1" ht="22.5" customHeight="1" thickBot="1" x14ac:dyDescent="0.3">
      <c r="A8" s="363"/>
      <c r="Q8" s="559"/>
    </row>
    <row r="9" spans="1:21" s="360" customFormat="1" ht="27" customHeight="1" thickBot="1" x14ac:dyDescent="0.3">
      <c r="A9" s="835" t="s">
        <v>482</v>
      </c>
      <c r="B9" s="836"/>
      <c r="C9" s="837"/>
      <c r="D9" s="675"/>
      <c r="E9" s="835" t="s">
        <v>509</v>
      </c>
      <c r="F9" s="836"/>
      <c r="G9" s="837"/>
      <c r="I9" s="835" t="s">
        <v>501</v>
      </c>
      <c r="J9" s="836"/>
      <c r="K9" s="837"/>
      <c r="M9" s="835" t="s">
        <v>328</v>
      </c>
      <c r="N9" s="836"/>
      <c r="O9" s="837"/>
      <c r="Q9" s="363"/>
      <c r="U9" s="559"/>
    </row>
    <row r="10" spans="1:21" s="360" customFormat="1" ht="27" customHeight="1" thickBot="1" x14ac:dyDescent="0.3">
      <c r="A10" s="368" t="s">
        <v>3</v>
      </c>
      <c r="B10" s="369">
        <f>+'PARADAS P1'!M28-'PARADAS P1'!M23</f>
        <v>688</v>
      </c>
      <c r="C10" s="370">
        <f>B10/(B10+B11)</f>
        <v>0.9555555555555556</v>
      </c>
      <c r="D10" s="676"/>
      <c r="E10" s="368" t="s">
        <v>3</v>
      </c>
      <c r="F10" s="369">
        <f>'PARADAS P2'!M21</f>
        <v>168</v>
      </c>
      <c r="G10" s="370">
        <f>F10/(F10+F11)</f>
        <v>0.23333333333333334</v>
      </c>
      <c r="I10" s="368" t="s">
        <v>3</v>
      </c>
      <c r="J10" s="369">
        <f>'PARADAS P3'!M25-'PARADAS P3'!M20</f>
        <v>121</v>
      </c>
      <c r="K10" s="370">
        <f>J10/(J10+J11)</f>
        <v>0.16805555555555557</v>
      </c>
      <c r="M10" s="372" t="s">
        <v>4</v>
      </c>
      <c r="N10" s="373" t="s">
        <v>5</v>
      </c>
      <c r="O10" s="374" t="s">
        <v>6</v>
      </c>
      <c r="Q10" s="375"/>
      <c r="U10" s="559"/>
    </row>
    <row r="11" spans="1:21" s="360" customFormat="1" ht="27" customHeight="1" thickBot="1" x14ac:dyDescent="0.3">
      <c r="A11" s="376" t="s">
        <v>7</v>
      </c>
      <c r="B11" s="561">
        <f>SUM(B15:B29)</f>
        <v>32</v>
      </c>
      <c r="C11" s="562">
        <f>1-C10</f>
        <v>4.4444444444444398E-2</v>
      </c>
      <c r="D11" s="676"/>
      <c r="E11" s="376" t="s">
        <v>7</v>
      </c>
      <c r="F11" s="561">
        <f>'PARADAS P2'!M20</f>
        <v>552</v>
      </c>
      <c r="G11" s="562">
        <f>1-G10</f>
        <v>0.76666666666666661</v>
      </c>
      <c r="I11" s="376" t="s">
        <v>7</v>
      </c>
      <c r="J11" s="561">
        <f>SUM(J15:J26)</f>
        <v>599</v>
      </c>
      <c r="K11" s="562">
        <f>1-K10</f>
        <v>0.83194444444444438</v>
      </c>
      <c r="M11" s="377" t="s">
        <v>9</v>
      </c>
      <c r="N11" s="378">
        <f>INVENTARIOS!N69*1000</f>
        <v>8361012.0000000009</v>
      </c>
      <c r="O11" s="379">
        <f>+SUMIFS('INDICADORES PRODUCCION'!C8:N8,'INDICADORES PRODUCCION'!C7:N7,"&gt;="&amp;DATE(YEAR('INDICADORES PRODUCCION'!N7),1,1),'INDICADORES PRODUCCION'!C7:N7,"&lt;="&amp;DATE(YEAR('INDICADORES PRODUCCION'!N7),12,31))*1000</f>
        <v>31625011</v>
      </c>
      <c r="Q11" s="511"/>
      <c r="U11" s="559"/>
    </row>
    <row r="12" spans="1:21" s="360" customFormat="1" ht="27" customHeight="1" thickBot="1" x14ac:dyDescent="0.3">
      <c r="A12" s="385" t="s">
        <v>512</v>
      </c>
      <c r="B12" s="844">
        <f>N11/B10/1000</f>
        <v>12.152633720930234</v>
      </c>
      <c r="C12" s="845"/>
      <c r="D12" s="677"/>
      <c r="E12" s="385" t="s">
        <v>512</v>
      </c>
      <c r="F12" s="844">
        <f>IFERROR((N17/F10/1000),0)</f>
        <v>3.9447321428571427</v>
      </c>
      <c r="G12" s="845"/>
      <c r="I12" s="385" t="s">
        <v>494</v>
      </c>
      <c r="J12" s="844">
        <f>N22/J10/1000</f>
        <v>3.671404958677686</v>
      </c>
      <c r="K12" s="845"/>
      <c r="M12" s="382" t="s">
        <v>8</v>
      </c>
      <c r="N12" s="383">
        <f>INVENTARIOS!N77*1000</f>
        <v>1278040</v>
      </c>
      <c r="O12" s="384">
        <f>+SUMIFS('INDICADORES PRODUCCION'!C12:N12,'INDICADORES PRODUCCION'!C7:N7,"&gt;="&amp;DATE(YEAR('INDICADORES PRODUCCION'!N7),1,1),'INDICADORES PRODUCCION'!C7:N7,"&lt;="&amp;DATE(YEAR('INDICADORES PRODUCCION'!N7),12,31))*1000</f>
        <v>4550136</v>
      </c>
      <c r="U12" s="559"/>
    </row>
    <row r="13" spans="1:21" s="360" customFormat="1" ht="36.75" customHeight="1" thickBot="1" x14ac:dyDescent="0.3">
      <c r="C13" s="386"/>
      <c r="D13" s="678"/>
      <c r="E13" s="678"/>
      <c r="F13" s="678"/>
      <c r="G13" s="678"/>
      <c r="M13" s="387" t="s">
        <v>261</v>
      </c>
      <c r="N13" s="388">
        <f>'INDICADORES PRODUCCION'!N15*1000</f>
        <v>0</v>
      </c>
      <c r="O13" s="389">
        <f>+SUMIFS('INDICADORES PRODUCCION'!C15:N15,'INDICADORES PRODUCCION'!C7:N7,"&gt;="&amp;DATE(YEAR('INDICADORES PRODUCCION'!N7),1,1),'INDICADORES PRODUCCION'!C7:N7,"&lt;="&amp;DATE(YEAR('INDICADORES PRODUCCION'!N7),12,31))*1000</f>
        <v>0</v>
      </c>
      <c r="U13" s="559"/>
    </row>
    <row r="14" spans="1:21" s="360" customFormat="1" ht="27" customHeight="1" thickBot="1" x14ac:dyDescent="0.3">
      <c r="A14" s="563" t="s">
        <v>418</v>
      </c>
      <c r="B14" s="361" t="s">
        <v>1</v>
      </c>
      <c r="C14" s="362" t="s">
        <v>2</v>
      </c>
      <c r="D14" s="675"/>
      <c r="E14" s="372" t="s">
        <v>510</v>
      </c>
      <c r="F14" s="361" t="s">
        <v>1</v>
      </c>
      <c r="G14" s="362" t="s">
        <v>2</v>
      </c>
      <c r="I14" s="556" t="s">
        <v>475</v>
      </c>
      <c r="J14" s="361" t="s">
        <v>1</v>
      </c>
      <c r="K14" s="362" t="s">
        <v>2</v>
      </c>
      <c r="N14" s="381"/>
      <c r="O14" s="390"/>
      <c r="U14" s="559"/>
    </row>
    <row r="15" spans="1:21" s="360" customFormat="1" ht="33.75" customHeight="1" thickBot="1" x14ac:dyDescent="0.3">
      <c r="A15" s="377" t="s">
        <v>476</v>
      </c>
      <c r="B15" s="364">
        <f>'PARADAS P1'!M7</f>
        <v>0</v>
      </c>
      <c r="C15" s="365">
        <f>B15/($B$10+$B$11)</f>
        <v>0</v>
      </c>
      <c r="D15" s="674"/>
      <c r="E15" s="680" t="s">
        <v>476</v>
      </c>
      <c r="F15" s="364">
        <f>'PARADAS P2'!M7</f>
        <v>0</v>
      </c>
      <c r="G15" s="365">
        <f>F15/($F$10+$F$11)</f>
        <v>0</v>
      </c>
      <c r="I15" s="377" t="s">
        <v>476</v>
      </c>
      <c r="J15" s="570">
        <f>'PARADAS P3'!M7</f>
        <v>0</v>
      </c>
      <c r="K15" s="365">
        <f>J15/($B$10+$B$11)</f>
        <v>0</v>
      </c>
      <c r="M15" s="835" t="s">
        <v>329</v>
      </c>
      <c r="N15" s="836"/>
      <c r="O15" s="837"/>
      <c r="U15" s="559"/>
    </row>
    <row r="16" spans="1:21" s="360" customFormat="1" ht="27" customHeight="1" thickBot="1" x14ac:dyDescent="0.3">
      <c r="A16" s="382" t="s">
        <v>124</v>
      </c>
      <c r="B16" s="366">
        <f>'PARADAS P1'!M8</f>
        <v>0</v>
      </c>
      <c r="C16" s="367">
        <f t="shared" ref="C16:C29" si="0">B16/($B$10+$B$11)</f>
        <v>0</v>
      </c>
      <c r="D16" s="674"/>
      <c r="E16" s="681" t="s">
        <v>124</v>
      </c>
      <c r="F16" s="366">
        <f>'PARADAS P2'!M8</f>
        <v>0</v>
      </c>
      <c r="G16" s="367">
        <f t="shared" ref="G16:G26" si="1">F16/($F$10+$F$11)</f>
        <v>0</v>
      </c>
      <c r="I16" s="382" t="s">
        <v>124</v>
      </c>
      <c r="J16" s="366">
        <f>'PARADAS P3'!M8</f>
        <v>0</v>
      </c>
      <c r="K16" s="367">
        <f t="shared" ref="K16:K26" si="2">J16/($B$10+$B$11)</f>
        <v>0</v>
      </c>
      <c r="M16" s="372" t="s">
        <v>4</v>
      </c>
      <c r="N16" s="373" t="s">
        <v>5</v>
      </c>
      <c r="O16" s="374" t="s">
        <v>6</v>
      </c>
      <c r="Q16" s="391"/>
      <c r="U16" s="559"/>
    </row>
    <row r="17" spans="1:51" s="360" customFormat="1" ht="27" customHeight="1" x14ac:dyDescent="0.25">
      <c r="A17" s="382" t="s">
        <v>265</v>
      </c>
      <c r="B17" s="371">
        <f>'PARADAS P1'!M9</f>
        <v>0</v>
      </c>
      <c r="C17" s="367">
        <f t="shared" si="0"/>
        <v>0</v>
      </c>
      <c r="D17" s="674"/>
      <c r="E17" s="682" t="s">
        <v>265</v>
      </c>
      <c r="F17" s="366">
        <f>'PARADAS P2'!M9</f>
        <v>0</v>
      </c>
      <c r="G17" s="367">
        <f t="shared" si="1"/>
        <v>0</v>
      </c>
      <c r="I17" s="382" t="s">
        <v>265</v>
      </c>
      <c r="J17" s="366">
        <f>'PARADAS P3'!M9</f>
        <v>0</v>
      </c>
      <c r="K17" s="367">
        <f t="shared" si="2"/>
        <v>0</v>
      </c>
      <c r="M17" s="377" t="s">
        <v>9</v>
      </c>
      <c r="N17" s="392">
        <f>INVENTARIOS!N70*1000</f>
        <v>662715</v>
      </c>
      <c r="O17" s="393">
        <f>+SUMIFS('INDICADORES PRODUCCION'!C9:N9,'INDICADORES PRODUCCION'!C7:N7,"&gt;="&amp;DATE(YEAR('INDICADORES PRODUCCION'!N7),1,1),'INDICADORES PRODUCCION'!C7:N7,"&lt;="&amp;DATE(YEAR('INDICADORES PRODUCCION'!N7),12,31))*1000</f>
        <v>662715</v>
      </c>
      <c r="Q17" s="391"/>
      <c r="U17" s="559"/>
    </row>
    <row r="18" spans="1:51" s="360" customFormat="1" ht="27" customHeight="1" thickBot="1" x14ac:dyDescent="0.3">
      <c r="A18" s="382" t="s">
        <v>266</v>
      </c>
      <c r="B18" s="366">
        <f>'PARADAS P1'!M10</f>
        <v>0</v>
      </c>
      <c r="C18" s="367">
        <f t="shared" si="0"/>
        <v>0</v>
      </c>
      <c r="D18" s="674"/>
      <c r="E18" s="682" t="s">
        <v>266</v>
      </c>
      <c r="F18" s="366">
        <f>'PARADAS P2'!M10</f>
        <v>552</v>
      </c>
      <c r="G18" s="367">
        <f t="shared" si="1"/>
        <v>0.76666666666666672</v>
      </c>
      <c r="I18" s="382" t="s">
        <v>477</v>
      </c>
      <c r="J18" s="366">
        <f>'PARADAS P3'!M10</f>
        <v>599</v>
      </c>
      <c r="K18" s="367">
        <f t="shared" si="2"/>
        <v>0.83194444444444449</v>
      </c>
      <c r="M18" s="387" t="s">
        <v>8</v>
      </c>
      <c r="N18" s="394">
        <f>INVENTARIOS!N78*1000</f>
        <v>0</v>
      </c>
      <c r="O18" s="395">
        <f>+SUMIFS('INDICADORES PRODUCCION'!C13:N13,'INDICADORES PRODUCCION'!C7:N7,"&gt;="&amp;DATE(YEAR('INDICADORES PRODUCCION'!N7),1,1),'INDICADORES PRODUCCION'!C7:N7,"&lt;="&amp;DATE(YEAR('INDICADORES PRODUCCION'!N7),12,31))*1000</f>
        <v>0</v>
      </c>
      <c r="Q18" s="391"/>
      <c r="U18" s="559"/>
    </row>
    <row r="19" spans="1:51" s="360" customFormat="1" ht="27" customHeight="1" thickBot="1" x14ac:dyDescent="0.3">
      <c r="A19" s="382" t="s">
        <v>529</v>
      </c>
      <c r="B19" s="371">
        <f>'PARADAS P1'!M11</f>
        <v>27</v>
      </c>
      <c r="C19" s="367">
        <f t="shared" si="0"/>
        <v>3.7499999999999999E-2</v>
      </c>
      <c r="D19" s="674"/>
      <c r="E19" s="682" t="s">
        <v>478</v>
      </c>
      <c r="F19" s="366">
        <f>'PARADAS P2'!M11</f>
        <v>0</v>
      </c>
      <c r="G19" s="367">
        <f t="shared" si="1"/>
        <v>0</v>
      </c>
      <c r="I19" s="382" t="s">
        <v>478</v>
      </c>
      <c r="J19" s="366">
        <f>'PARADAS P3'!M11</f>
        <v>0</v>
      </c>
      <c r="K19" s="367">
        <f t="shared" si="2"/>
        <v>0</v>
      </c>
      <c r="M19" s="391"/>
      <c r="N19" s="391"/>
      <c r="O19" s="391"/>
      <c r="Q19" s="391"/>
      <c r="U19" s="559"/>
    </row>
    <row r="20" spans="1:51" s="360" customFormat="1" ht="27" customHeight="1" thickBot="1" x14ac:dyDescent="0.3">
      <c r="A20" s="382" t="s">
        <v>399</v>
      </c>
      <c r="B20" s="366">
        <f>'PARADAS P1'!M12</f>
        <v>0</v>
      </c>
      <c r="C20" s="367">
        <f t="shared" si="0"/>
        <v>0</v>
      </c>
      <c r="D20" s="674"/>
      <c r="E20" s="682" t="s">
        <v>399</v>
      </c>
      <c r="F20" s="366">
        <f>'PARADAS P2'!M12</f>
        <v>0</v>
      </c>
      <c r="G20" s="367">
        <f t="shared" si="1"/>
        <v>0</v>
      </c>
      <c r="I20" s="382" t="s">
        <v>399</v>
      </c>
      <c r="J20" s="366">
        <f>'PARADAS P3'!M12</f>
        <v>0</v>
      </c>
      <c r="K20" s="367">
        <f t="shared" si="2"/>
        <v>0</v>
      </c>
      <c r="M20" s="835" t="s">
        <v>417</v>
      </c>
      <c r="N20" s="836"/>
      <c r="O20" s="837"/>
      <c r="Q20" s="391"/>
      <c r="R20" s="406"/>
      <c r="S20" s="445"/>
      <c r="T20" s="457"/>
    </row>
    <row r="21" spans="1:51" s="360" customFormat="1" ht="27" customHeight="1" thickBot="1" x14ac:dyDescent="0.3">
      <c r="A21" s="382" t="s">
        <v>269</v>
      </c>
      <c r="B21" s="366">
        <f>'PARADAS P1'!M13</f>
        <v>0</v>
      </c>
      <c r="C21" s="367">
        <f t="shared" si="0"/>
        <v>0</v>
      </c>
      <c r="D21" s="674"/>
      <c r="E21" s="682" t="s">
        <v>269</v>
      </c>
      <c r="F21" s="366">
        <f>'PARADAS P2'!M13</f>
        <v>0</v>
      </c>
      <c r="G21" s="367">
        <f t="shared" si="1"/>
        <v>0</v>
      </c>
      <c r="I21" s="382" t="s">
        <v>269</v>
      </c>
      <c r="J21" s="366">
        <f>'PARADAS P3'!M13</f>
        <v>0</v>
      </c>
      <c r="K21" s="367">
        <f t="shared" si="2"/>
        <v>0</v>
      </c>
      <c r="M21" s="372" t="s">
        <v>4</v>
      </c>
      <c r="N21" s="373" t="s">
        <v>5</v>
      </c>
      <c r="O21" s="374" t="s">
        <v>6</v>
      </c>
      <c r="Q21" s="391"/>
      <c r="R21" s="406"/>
      <c r="S21" s="445"/>
      <c r="T21" s="457"/>
    </row>
    <row r="22" spans="1:51" s="360" customFormat="1" ht="27" customHeight="1" thickBot="1" x14ac:dyDescent="0.3">
      <c r="A22" s="557" t="s">
        <v>270</v>
      </c>
      <c r="B22" s="366">
        <f>'PARADAS P1'!M14</f>
        <v>5</v>
      </c>
      <c r="C22" s="367">
        <f t="shared" si="0"/>
        <v>6.9444444444444441E-3</v>
      </c>
      <c r="D22" s="674"/>
      <c r="E22" s="682" t="s">
        <v>270</v>
      </c>
      <c r="F22" s="366">
        <f>'PARADAS P2'!M14</f>
        <v>0</v>
      </c>
      <c r="G22" s="367">
        <f t="shared" si="1"/>
        <v>0</v>
      </c>
      <c r="I22" s="382" t="s">
        <v>270</v>
      </c>
      <c r="J22" s="366">
        <f>'PARADAS P3'!M14</f>
        <v>0</v>
      </c>
      <c r="K22" s="367">
        <f t="shared" si="2"/>
        <v>0</v>
      </c>
      <c r="M22" s="397" t="s">
        <v>340</v>
      </c>
      <c r="N22" s="398">
        <f>INVENTARIOS!N22*1000</f>
        <v>444240</v>
      </c>
      <c r="O22" s="399">
        <f>+SUMIFS('INDICADORES PRODUCCION'!C16:N16,'INDICADORES PRODUCCION'!C7:N7,"&gt;="&amp;DATE(YEAR('INDICADORES PRODUCCION'!N7),1,1),'INDICADORES PRODUCCION'!C7:N7,"&lt;="&amp;DATE(YEAR('INDICADORES PRODUCCION'!N7),12,31))*1000</f>
        <v>2499620</v>
      </c>
      <c r="Q22" s="391"/>
      <c r="R22" s="406"/>
      <c r="S22" s="558"/>
      <c r="T22" s="457"/>
    </row>
    <row r="23" spans="1:51" s="360" customFormat="1" ht="27" customHeight="1" x14ac:dyDescent="0.25">
      <c r="A23" s="566" t="s">
        <v>489</v>
      </c>
      <c r="B23" s="564">
        <f>'PARADAS P1'!M15</f>
        <v>0</v>
      </c>
      <c r="C23" s="367">
        <f t="shared" si="0"/>
        <v>0</v>
      </c>
      <c r="D23" s="674"/>
      <c r="E23" s="682" t="s">
        <v>271</v>
      </c>
      <c r="F23" s="366">
        <f>'PARADAS P2'!M15</f>
        <v>0</v>
      </c>
      <c r="G23" s="367">
        <f t="shared" si="1"/>
        <v>0</v>
      </c>
      <c r="I23" s="382" t="s">
        <v>479</v>
      </c>
      <c r="J23" s="366">
        <f>'PARADAS P3'!M15</f>
        <v>0</v>
      </c>
      <c r="K23" s="367">
        <f t="shared" si="2"/>
        <v>0</v>
      </c>
      <c r="L23" s="457"/>
      <c r="N23" s="406"/>
      <c r="O23" s="560"/>
      <c r="P23" s="560"/>
      <c r="Q23" s="391"/>
      <c r="R23" s="406"/>
      <c r="S23" s="558"/>
      <c r="T23" s="457"/>
    </row>
    <row r="24" spans="1:51" s="360" customFormat="1" ht="27" customHeight="1" x14ac:dyDescent="0.25">
      <c r="A24" s="566" t="s">
        <v>483</v>
      </c>
      <c r="B24" s="564">
        <f>'PARADAS P1'!M16</f>
        <v>0</v>
      </c>
      <c r="C24" s="367">
        <f t="shared" si="0"/>
        <v>0</v>
      </c>
      <c r="D24" s="674"/>
      <c r="E24" s="681" t="s">
        <v>511</v>
      </c>
      <c r="F24" s="366">
        <f>'PARADAS P2'!M16</f>
        <v>0</v>
      </c>
      <c r="G24" s="367">
        <f t="shared" si="1"/>
        <v>0</v>
      </c>
      <c r="I24" s="382" t="s">
        <v>480</v>
      </c>
      <c r="J24" s="366">
        <f>'PARADAS P3'!M16</f>
        <v>0</v>
      </c>
      <c r="K24" s="367">
        <f t="shared" si="2"/>
        <v>0</v>
      </c>
      <c r="L24" s="457"/>
      <c r="N24" s="406"/>
      <c r="O24" s="560"/>
      <c r="P24" s="560"/>
      <c r="Q24" s="391"/>
      <c r="R24" s="406"/>
      <c r="S24" s="558"/>
      <c r="T24" s="457"/>
    </row>
    <row r="25" spans="1:51" s="360" customFormat="1" ht="27" customHeight="1" x14ac:dyDescent="0.25">
      <c r="A25" s="566" t="s">
        <v>484</v>
      </c>
      <c r="B25" s="564">
        <f>'PARADAS P1'!M17</f>
        <v>0</v>
      </c>
      <c r="C25" s="367">
        <f t="shared" si="0"/>
        <v>0</v>
      </c>
      <c r="D25" s="674"/>
      <c r="E25" s="682" t="s">
        <v>121</v>
      </c>
      <c r="F25" s="366">
        <f>'PARADAS P2'!M17</f>
        <v>0</v>
      </c>
      <c r="G25" s="367">
        <f t="shared" si="1"/>
        <v>0</v>
      </c>
      <c r="I25" s="382" t="s">
        <v>121</v>
      </c>
      <c r="J25" s="366">
        <f>'PARADAS P3'!M17</f>
        <v>0</v>
      </c>
      <c r="K25" s="367">
        <f t="shared" si="2"/>
        <v>0</v>
      </c>
      <c r="L25" s="457"/>
      <c r="N25" s="406"/>
      <c r="O25" s="560"/>
      <c r="P25" s="560"/>
      <c r="Q25" s="391"/>
      <c r="R25" s="406"/>
      <c r="S25" s="558"/>
      <c r="T25" s="457"/>
    </row>
    <row r="26" spans="1:51" s="360" customFormat="1" ht="27" customHeight="1" thickBot="1" x14ac:dyDescent="0.3">
      <c r="A26" s="566" t="s">
        <v>485</v>
      </c>
      <c r="B26" s="564">
        <f>'PARADAS P1'!M18</f>
        <v>0</v>
      </c>
      <c r="C26" s="367">
        <f t="shared" si="0"/>
        <v>0</v>
      </c>
      <c r="D26" s="674"/>
      <c r="E26" s="683" t="s">
        <v>481</v>
      </c>
      <c r="F26" s="679">
        <f>'PARADAS P2'!M18</f>
        <v>0</v>
      </c>
      <c r="G26" s="396">
        <f t="shared" si="1"/>
        <v>0</v>
      </c>
      <c r="I26" s="387" t="s">
        <v>481</v>
      </c>
      <c r="J26" s="571">
        <f>'PARADAS P3'!M18</f>
        <v>0</v>
      </c>
      <c r="K26" s="396">
        <f t="shared" si="2"/>
        <v>0</v>
      </c>
      <c r="L26" s="457"/>
      <c r="N26" s="406"/>
      <c r="O26" s="560"/>
      <c r="P26" s="560"/>
      <c r="Q26" s="391"/>
      <c r="R26" s="406"/>
      <c r="S26" s="558"/>
      <c r="T26" s="457"/>
    </row>
    <row r="27" spans="1:51" s="360" customFormat="1" ht="27" customHeight="1" x14ac:dyDescent="0.25">
      <c r="A27" s="566" t="s">
        <v>486</v>
      </c>
      <c r="B27" s="564">
        <f>'PARADAS P1'!M19</f>
        <v>0</v>
      </c>
      <c r="C27" s="367">
        <f t="shared" si="0"/>
        <v>0</v>
      </c>
      <c r="E27" s="406"/>
      <c r="F27" s="406"/>
      <c r="G27" s="558"/>
      <c r="H27" s="457"/>
      <c r="J27" s="406"/>
      <c r="K27" s="560"/>
      <c r="L27" s="560"/>
      <c r="M27" s="391"/>
      <c r="N27" s="406"/>
      <c r="O27" s="558"/>
      <c r="P27" s="457"/>
    </row>
    <row r="28" spans="1:51" s="360" customFormat="1" ht="27" customHeight="1" x14ac:dyDescent="0.25">
      <c r="A28" s="566" t="s">
        <v>487</v>
      </c>
      <c r="B28" s="564">
        <f>'PARADAS P1'!M20</f>
        <v>0</v>
      </c>
      <c r="C28" s="367">
        <f t="shared" si="0"/>
        <v>0</v>
      </c>
      <c r="E28" s="406"/>
      <c r="F28" s="406"/>
      <c r="G28" s="558"/>
      <c r="H28" s="457"/>
      <c r="J28" s="406"/>
      <c r="K28" s="560"/>
      <c r="L28" s="560"/>
      <c r="M28" s="391"/>
      <c r="N28" s="406"/>
      <c r="O28" s="558"/>
      <c r="P28" s="457"/>
    </row>
    <row r="29" spans="1:51" s="360" customFormat="1" ht="27" customHeight="1" thickBot="1" x14ac:dyDescent="0.3">
      <c r="A29" s="567" t="s">
        <v>488</v>
      </c>
      <c r="B29" s="565">
        <f>'PARADAS P1'!M21</f>
        <v>0</v>
      </c>
      <c r="C29" s="396">
        <f t="shared" si="0"/>
        <v>0</v>
      </c>
      <c r="E29" s="406"/>
      <c r="F29" s="406"/>
      <c r="G29" s="558"/>
      <c r="H29" s="457"/>
      <c r="J29" s="406"/>
      <c r="K29" s="560"/>
      <c r="L29" s="560"/>
      <c r="M29" s="391"/>
      <c r="N29" s="406"/>
      <c r="O29" s="558"/>
      <c r="P29" s="457"/>
    </row>
    <row r="30" spans="1:51" s="400" customFormat="1" ht="15.75" customHeight="1" thickBot="1" x14ac:dyDescent="0.3">
      <c r="A30" s="360"/>
      <c r="B30" s="360"/>
      <c r="C30" s="360"/>
      <c r="D30" s="360"/>
      <c r="E30" s="360"/>
      <c r="F30" s="360"/>
      <c r="G30" s="360"/>
      <c r="H30" s="360"/>
      <c r="I30" s="360"/>
      <c r="J30" s="360"/>
      <c r="K30" s="360"/>
      <c r="L30" s="360"/>
      <c r="M30" s="360"/>
      <c r="N30" s="360"/>
      <c r="O30" s="360"/>
      <c r="P30" s="360"/>
      <c r="Q30" s="360"/>
      <c r="R30" s="360"/>
      <c r="S30" s="360"/>
      <c r="T30" s="360"/>
      <c r="U30" s="360"/>
      <c r="V30" s="360"/>
      <c r="W30" s="360"/>
      <c r="X30" s="360"/>
      <c r="Y30" s="360"/>
      <c r="Z30" s="360"/>
      <c r="AA30" s="360"/>
      <c r="AB30" s="360"/>
      <c r="AC30" s="360"/>
      <c r="AD30" s="360"/>
      <c r="AE30" s="360"/>
      <c r="AF30" s="360"/>
      <c r="AG30" s="360"/>
      <c r="AH30" s="360"/>
      <c r="AI30" s="360"/>
      <c r="AJ30" s="360"/>
      <c r="AK30" s="360"/>
      <c r="AL30" s="360"/>
      <c r="AM30" s="360"/>
      <c r="AN30" s="360"/>
      <c r="AO30" s="360"/>
      <c r="AP30" s="360"/>
      <c r="AQ30" s="360"/>
      <c r="AR30" s="360"/>
      <c r="AS30" s="360"/>
      <c r="AT30" s="360"/>
      <c r="AU30" s="360"/>
      <c r="AV30" s="360"/>
      <c r="AW30" s="360"/>
      <c r="AX30" s="360"/>
      <c r="AY30" s="360"/>
    </row>
    <row r="31" spans="1:51" s="360" customFormat="1" ht="28.5" customHeight="1" thickBot="1" x14ac:dyDescent="0.3">
      <c r="A31" s="838" t="s">
        <v>9</v>
      </c>
      <c r="B31" s="839"/>
      <c r="C31" s="839"/>
      <c r="D31" s="839"/>
      <c r="E31" s="839"/>
      <c r="F31" s="839"/>
      <c r="G31" s="839"/>
      <c r="H31" s="840"/>
      <c r="I31" s="841" t="s">
        <v>102</v>
      </c>
      <c r="J31" s="842"/>
      <c r="K31" s="842"/>
      <c r="L31" s="843"/>
    </row>
    <row r="32" spans="1:51" s="406" customFormat="1" ht="31.5" customHeight="1" x14ac:dyDescent="0.25">
      <c r="A32" s="401" t="s">
        <v>10</v>
      </c>
      <c r="B32" s="402" t="s">
        <v>11</v>
      </c>
      <c r="C32" s="403" t="str">
        <f>"RESULTADO "&amp;UPPER(TEXT(EDATE(B7,-1),"mmmm"))</f>
        <v>RESULTADO MARZO</v>
      </c>
      <c r="D32" s="403" t="str">
        <f>"RESULTADO "&amp;UPPER(TEXT(B7,"mmmm"))</f>
        <v>RESULTADO ABRIL</v>
      </c>
      <c r="E32" s="404" t="s">
        <v>10</v>
      </c>
      <c r="F32" s="405" t="s">
        <v>11</v>
      </c>
      <c r="G32" s="403" t="str">
        <f>"RESULTADO "&amp;UPPER(TEXT(EDATE(B7,-1),"mmmm"))</f>
        <v>RESULTADO MARZO</v>
      </c>
      <c r="H32" s="403" t="str">
        <f>"RESULTADO "&amp;UPPER(TEXT(B7,"mmmm"))</f>
        <v>RESULTADO ABRIL</v>
      </c>
      <c r="I32" s="404" t="s">
        <v>10</v>
      </c>
      <c r="J32" s="402" t="s">
        <v>11</v>
      </c>
      <c r="K32" s="403" t="str">
        <f>C32</f>
        <v>RESULTADO MARZO</v>
      </c>
      <c r="L32" s="403" t="str">
        <f>"RESULTADO "&amp;UPPER(TEXT(B7,"mmmm"))</f>
        <v>RESULTADO ABRIL</v>
      </c>
    </row>
    <row r="33" spans="1:20" s="360" customFormat="1" ht="24.75" customHeight="1" x14ac:dyDescent="0.25">
      <c r="A33" s="407" t="s">
        <v>13</v>
      </c>
      <c r="B33" s="408" t="s">
        <v>14</v>
      </c>
      <c r="C33" s="409">
        <f>CALIDAD!M8</f>
        <v>874.9</v>
      </c>
      <c r="D33" s="409">
        <f>CALIDAD!N8</f>
        <v>873.1</v>
      </c>
      <c r="E33" s="410" t="s">
        <v>15</v>
      </c>
      <c r="F33" s="411" t="s">
        <v>16</v>
      </c>
      <c r="G33" s="409">
        <f>CALIDAD!M14</f>
        <v>0.16</v>
      </c>
      <c r="H33" s="409">
        <f>CALIDAD!N14</f>
        <v>0.17019999999999999</v>
      </c>
      <c r="I33" s="410" t="s">
        <v>17</v>
      </c>
      <c r="J33" s="408" t="s">
        <v>18</v>
      </c>
      <c r="K33" s="409">
        <f>CALIDAD!M24*100</f>
        <v>80.900000000000006</v>
      </c>
      <c r="L33" s="409">
        <f>CALIDAD!N24*100</f>
        <v>78.7</v>
      </c>
    </row>
    <row r="34" spans="1:20" s="360" customFormat="1" ht="24.75" customHeight="1" x14ac:dyDescent="0.25">
      <c r="A34" s="407" t="s">
        <v>20</v>
      </c>
      <c r="B34" s="408" t="s">
        <v>21</v>
      </c>
      <c r="C34" s="409">
        <f>CALIDAD!M9</f>
        <v>0.14000000000000001</v>
      </c>
      <c r="D34" s="409">
        <f>CALIDAD!N9</f>
        <v>0.16</v>
      </c>
      <c r="E34" s="410" t="s">
        <v>22</v>
      </c>
      <c r="F34" s="411" t="s">
        <v>23</v>
      </c>
      <c r="G34" s="409">
        <f>CALIDAD!M15</f>
        <v>1E-3</v>
      </c>
      <c r="H34" s="409">
        <f>CALIDAD!N15</f>
        <v>1E-3</v>
      </c>
      <c r="I34" s="410" t="s">
        <v>24</v>
      </c>
      <c r="J34" s="408" t="s">
        <v>25</v>
      </c>
      <c r="K34" s="409">
        <f>CALIDAD!M25*100</f>
        <v>0.08</v>
      </c>
      <c r="L34" s="409">
        <f>CALIDAD!N25*100</f>
        <v>0.31</v>
      </c>
    </row>
    <row r="35" spans="1:20" s="360" customFormat="1" ht="24.75" customHeight="1" x14ac:dyDescent="0.25">
      <c r="A35" s="407" t="s">
        <v>27</v>
      </c>
      <c r="B35" s="408" t="s">
        <v>28</v>
      </c>
      <c r="C35" s="409">
        <f>CALIDAD!M10</f>
        <v>4.51</v>
      </c>
      <c r="D35" s="409">
        <f>CALIDAD!N10</f>
        <v>4.51</v>
      </c>
      <c r="E35" s="410" t="s">
        <v>29</v>
      </c>
      <c r="F35" s="411" t="s">
        <v>30</v>
      </c>
      <c r="G35" s="409">
        <f>CALIDAD!M16*100</f>
        <v>98.8</v>
      </c>
      <c r="H35" s="409">
        <f>CALIDAD!N16*100</f>
        <v>98.6</v>
      </c>
      <c r="I35" s="410" t="s">
        <v>31</v>
      </c>
      <c r="J35" s="408" t="s">
        <v>32</v>
      </c>
      <c r="K35" s="409">
        <f>100-K33-K34-K36-K37</f>
        <v>3.1199999999999957</v>
      </c>
      <c r="L35" s="409">
        <f>100-L33-L34-L36-L37</f>
        <v>1.7899999999999956</v>
      </c>
    </row>
    <row r="36" spans="1:20" s="360" customFormat="1" ht="24.75" customHeight="1" x14ac:dyDescent="0.25">
      <c r="A36" s="407" t="s">
        <v>34</v>
      </c>
      <c r="B36" s="408" t="s">
        <v>35</v>
      </c>
      <c r="C36" s="412">
        <f>CALIDAD!M11</f>
        <v>195</v>
      </c>
      <c r="D36" s="412">
        <f>CALIDAD!N11</f>
        <v>176</v>
      </c>
      <c r="E36" s="410" t="s">
        <v>36</v>
      </c>
      <c r="F36" s="411" t="s">
        <v>37</v>
      </c>
      <c r="G36" s="409">
        <f>CALIDAD!M17</f>
        <v>15</v>
      </c>
      <c r="H36" s="409">
        <f>CALIDAD!N17</f>
        <v>15</v>
      </c>
      <c r="I36" s="410" t="s">
        <v>38</v>
      </c>
      <c r="J36" s="408" t="s">
        <v>39</v>
      </c>
      <c r="K36" s="409">
        <f>CALIDAD!M27*100</f>
        <v>5.6000000000000005</v>
      </c>
      <c r="L36" s="409">
        <f>CALIDAD!N27*100</f>
        <v>5.3</v>
      </c>
    </row>
    <row r="37" spans="1:20" s="360" customFormat="1" ht="24.75" customHeight="1" x14ac:dyDescent="0.25">
      <c r="A37" s="407" t="s">
        <v>41</v>
      </c>
      <c r="B37" s="408" t="s">
        <v>42</v>
      </c>
      <c r="C37" s="409">
        <f>CALIDAD!M12</f>
        <v>0.32</v>
      </c>
      <c r="D37" s="409">
        <f>CALIDAD!N12</f>
        <v>0.33340000000000003</v>
      </c>
      <c r="E37" s="410" t="s">
        <v>43</v>
      </c>
      <c r="F37" s="411" t="s">
        <v>44</v>
      </c>
      <c r="G37" s="409">
        <f>CALIDAD!M18</f>
        <v>50</v>
      </c>
      <c r="H37" s="409">
        <f>CALIDAD!N18</f>
        <v>49</v>
      </c>
      <c r="I37" s="410" t="s">
        <v>45</v>
      </c>
      <c r="J37" s="413" t="s">
        <v>46</v>
      </c>
      <c r="K37" s="409">
        <f>CALIDAD!M28*100</f>
        <v>10.299999999999999</v>
      </c>
      <c r="L37" s="409">
        <f>CALIDAD!N28*100</f>
        <v>13.900000000000002</v>
      </c>
    </row>
    <row r="38" spans="1:20" s="360" customFormat="1" ht="24.75" customHeight="1" thickBot="1" x14ac:dyDescent="0.3">
      <c r="A38" s="414" t="s">
        <v>48</v>
      </c>
      <c r="B38" s="415" t="s">
        <v>16</v>
      </c>
      <c r="C38" s="416">
        <f>CALIDAD!M13</f>
        <v>0.2</v>
      </c>
      <c r="D38" s="416">
        <f>CALIDAD!N13</f>
        <v>0.20046666666666668</v>
      </c>
      <c r="E38" s="417" t="s">
        <v>49</v>
      </c>
      <c r="F38" s="418" t="s">
        <v>50</v>
      </c>
      <c r="G38" s="416">
        <f>CALIDAD!M19</f>
        <v>0.129</v>
      </c>
      <c r="H38" s="416">
        <f>CALIDAD!N19</f>
        <v>0.13500000000000001</v>
      </c>
      <c r="I38" s="417"/>
      <c r="J38" s="419"/>
      <c r="K38" s="416"/>
      <c r="L38" s="416"/>
    </row>
    <row r="39" spans="1:20" s="360" customFormat="1" ht="20.25" customHeight="1" thickBot="1" x14ac:dyDescent="0.3"/>
    <row r="40" spans="1:20" s="360" customFormat="1" ht="24.75" customHeight="1" thickBot="1" x14ac:dyDescent="0.3">
      <c r="A40" s="838" t="s">
        <v>57</v>
      </c>
      <c r="B40" s="839"/>
      <c r="C40" s="839"/>
      <c r="D40" s="839"/>
      <c r="E40" s="839"/>
      <c r="F40" s="839"/>
      <c r="G40" s="840"/>
    </row>
    <row r="41" spans="1:20" s="360" customFormat="1" ht="24.75" customHeight="1" thickBot="1" x14ac:dyDescent="0.3">
      <c r="A41" s="420" t="s">
        <v>4</v>
      </c>
      <c r="B41" s="421" t="s">
        <v>58</v>
      </c>
      <c r="C41" s="422" t="str">
        <f>+UPPER(TEXT(EDATE(B7,-4),"mmmm"))</f>
        <v>DICIEMBRE</v>
      </c>
      <c r="D41" s="422" t="str">
        <f>+UPPER(TEXT(EDATE(B7,-3),"mmmm"))</f>
        <v>ENERO</v>
      </c>
      <c r="E41" s="422" t="str">
        <f>+UPPER(TEXT(EDATE(B7,-2),"mmmm"))</f>
        <v>FEBRERO</v>
      </c>
      <c r="F41" s="422" t="str">
        <f>+UPPER(TEXT(EDATE(B7,-1),"mmmm"))</f>
        <v>MARZO</v>
      </c>
      <c r="G41" s="422" t="str">
        <f>+UPPER(TEXT(B7,"mmmm"))</f>
        <v>ABRIL</v>
      </c>
    </row>
    <row r="42" spans="1:20" ht="18.75" customHeight="1" thickBot="1" x14ac:dyDescent="0.3">
      <c r="A42" s="423" t="s">
        <v>12</v>
      </c>
      <c r="B42" s="424">
        <v>102</v>
      </c>
      <c r="C42" s="425">
        <f>'INDICADORES PRODUCCION'!J21</f>
        <v>103.27681206005519</v>
      </c>
      <c r="D42" s="426">
        <f>'INDICADORES PRODUCCION'!K21</f>
        <v>101.61224749380214</v>
      </c>
      <c r="E42" s="425">
        <f>'INDICADORES PRODUCCION'!L21</f>
        <v>102.82438264871703</v>
      </c>
      <c r="F42" s="426">
        <f>'INDICADORES PRODUCCION'!M21</f>
        <v>102.8653286006049</v>
      </c>
      <c r="G42" s="427">
        <f>'INDICADORES PRODUCCION'!N21</f>
        <v>105.81410479975389</v>
      </c>
      <c r="H42" s="428"/>
      <c r="I42" s="429" t="s">
        <v>54</v>
      </c>
      <c r="K42" s="430" t="s">
        <v>465</v>
      </c>
      <c r="L42" s="430"/>
    </row>
    <row r="43" spans="1:20" ht="18.75" customHeight="1" thickBot="1" x14ac:dyDescent="0.3">
      <c r="A43" s="431" t="s">
        <v>19</v>
      </c>
      <c r="B43" s="432" t="s">
        <v>338</v>
      </c>
      <c r="C43" s="433">
        <f>'INDICADORES PRODUCCION'!J22</f>
        <v>18.517233924153174</v>
      </c>
      <c r="D43" s="409">
        <f>'INDICADORES PRODUCCION'!K22</f>
        <v>18.958365865754349</v>
      </c>
      <c r="E43" s="433">
        <f>'INDICADORES PRODUCCION'!L22</f>
        <v>18.529357893705996</v>
      </c>
      <c r="F43" s="409">
        <f>'INDICADORES PRODUCCION'!M22</f>
        <v>21.744002104305672</v>
      </c>
      <c r="G43" s="434">
        <f>'INDICADORES PRODUCCION'!N22</f>
        <v>21.453981886403227</v>
      </c>
      <c r="H43" s="428"/>
      <c r="I43" s="429" t="s">
        <v>55</v>
      </c>
      <c r="J43" s="435"/>
      <c r="K43" s="435"/>
      <c r="L43" s="430"/>
    </row>
    <row r="44" spans="1:20" ht="18.75" customHeight="1" x14ac:dyDescent="0.25">
      <c r="A44" s="431" t="s">
        <v>26</v>
      </c>
      <c r="B44" s="432" t="s">
        <v>63</v>
      </c>
      <c r="C44" s="433">
        <f>'INDICADORES PRODUCCION'!J24</f>
        <v>1034.1460686037124</v>
      </c>
      <c r="D44" s="409">
        <f>'INDICADORES PRODUCCION'!K24</f>
        <v>988.86950254185535</v>
      </c>
      <c r="E44" s="433">
        <f>'INDICADORES PRODUCCION'!L24</f>
        <v>984.66761216210944</v>
      </c>
      <c r="F44" s="409">
        <f>'INDICADORES PRODUCCION'!M24</f>
        <v>996.13698703269881</v>
      </c>
      <c r="G44" s="434">
        <f>'INDICADORES PRODUCCION'!N24</f>
        <v>1031.5597357096947</v>
      </c>
      <c r="H44" s="428"/>
      <c r="K44" s="436"/>
      <c r="L44" s="360"/>
      <c r="M44" s="360"/>
    </row>
    <row r="45" spans="1:20" ht="18.75" customHeight="1" x14ac:dyDescent="0.25">
      <c r="A45" s="431" t="s">
        <v>33</v>
      </c>
      <c r="B45" s="432" t="s">
        <v>337</v>
      </c>
      <c r="C45" s="433">
        <f>'INDICADORES PRODUCCION'!J25</f>
        <v>957.5630555292305</v>
      </c>
      <c r="D45" s="409">
        <f>'INDICADORES PRODUCCION'!K25</f>
        <v>936.37700735179669</v>
      </c>
      <c r="E45" s="433">
        <f>'INDICADORES PRODUCCION'!L25</f>
        <v>936.01542958403741</v>
      </c>
      <c r="F45" s="409">
        <f>'INDICADORES PRODUCCION'!M25</f>
        <v>944.30227155780585</v>
      </c>
      <c r="G45" s="434">
        <f>'INDICADORES PRODUCCION'!N25</f>
        <v>970.27847825119727</v>
      </c>
      <c r="H45" s="428"/>
      <c r="I45" s="428"/>
      <c r="J45" s="437"/>
      <c r="K45" s="436"/>
      <c r="L45" s="360"/>
      <c r="M45" s="360"/>
    </row>
    <row r="46" spans="1:20" ht="18.75" customHeight="1" x14ac:dyDescent="0.25">
      <c r="A46" s="431" t="s">
        <v>340</v>
      </c>
      <c r="B46" s="432"/>
      <c r="C46" s="433">
        <f>'INDICADORES PRODUCCION'!J26</f>
        <v>65.016189843589601</v>
      </c>
      <c r="D46" s="409">
        <f>'INDICADORES PRODUCCION'!K26</f>
        <v>87.48709157222747</v>
      </c>
      <c r="E46" s="433">
        <f>'INDICADORES PRODUCCION'!L26</f>
        <v>90.072228808945724</v>
      </c>
      <c r="F46" s="409">
        <f>'INDICADORES PRODUCCION'!M26</f>
        <v>88.896628188144334</v>
      </c>
      <c r="G46" s="434">
        <f>'INDICADORES PRODUCCION'!N26</f>
        <v>48.23698375268448</v>
      </c>
      <c r="H46" s="438"/>
      <c r="I46" s="439"/>
      <c r="J46" s="440"/>
      <c r="K46" s="436"/>
      <c r="L46" s="360"/>
      <c r="M46" s="360"/>
    </row>
    <row r="47" spans="1:20" ht="18.75" customHeight="1" x14ac:dyDescent="0.25">
      <c r="A47" s="431" t="s">
        <v>40</v>
      </c>
      <c r="B47" s="432">
        <v>12</v>
      </c>
      <c r="C47" s="433">
        <f>'INDICADORES PRODUCCION'!J30</f>
        <v>11.653840082393106</v>
      </c>
      <c r="D47" s="409">
        <f>'INDICADORES PRODUCCION'!K30</f>
        <v>11.947090830769124</v>
      </c>
      <c r="E47" s="433">
        <f>'INDICADORES PRODUCCION'!L30</f>
        <v>11.618048933162457</v>
      </c>
      <c r="F47" s="409">
        <f>'INDICADORES PRODUCCION'!M30</f>
        <v>13.400988524039708</v>
      </c>
      <c r="G47" s="434">
        <f>'INDICADORES PRODUCCION'!N30</f>
        <v>13.299945030577636</v>
      </c>
      <c r="H47" s="441"/>
      <c r="I47" s="439"/>
      <c r="J47" s="442"/>
      <c r="K47" s="443"/>
      <c r="L47" s="443"/>
      <c r="M47" s="443"/>
      <c r="N47" s="443"/>
      <c r="O47" s="443"/>
      <c r="P47" s="443"/>
      <c r="Q47" s="443"/>
      <c r="R47" s="443"/>
      <c r="S47" s="443"/>
      <c r="T47" s="444"/>
    </row>
    <row r="48" spans="1:20" ht="18.75" customHeight="1" x14ac:dyDescent="0.25">
      <c r="A48" s="431" t="s">
        <v>47</v>
      </c>
      <c r="B48" s="432">
        <v>1</v>
      </c>
      <c r="C48" s="433">
        <f>'INDICADORES PRODUCCION'!J31</f>
        <v>0.81064366195433524</v>
      </c>
      <c r="D48" s="409">
        <f>'INDICADORES PRODUCCION'!K31</f>
        <v>0.96963778012364876</v>
      </c>
      <c r="E48" s="433">
        <f>'INDICADORES PRODUCCION'!L31</f>
        <v>0.98466891107584598</v>
      </c>
      <c r="F48" s="409">
        <f>'INDICADORES PRODUCCION'!M31</f>
        <v>1.1624868327823983</v>
      </c>
      <c r="G48" s="434">
        <f>'INDICADORES PRODUCCION'!N31</f>
        <v>1.1499804090700982</v>
      </c>
      <c r="H48" s="441"/>
      <c r="I48" s="439"/>
      <c r="J48" s="445"/>
      <c r="K48" s="445"/>
      <c r="L48" s="445"/>
      <c r="M48" s="445"/>
      <c r="N48" s="445"/>
      <c r="P48" s="445"/>
      <c r="Q48" s="445"/>
      <c r="R48" s="445"/>
      <c r="S48" s="445"/>
      <c r="T48" s="445"/>
    </row>
    <row r="49" spans="1:20" ht="18.75" customHeight="1" x14ac:dyDescent="0.25">
      <c r="A49" s="431" t="s">
        <v>66</v>
      </c>
      <c r="B49" s="446">
        <v>0.85</v>
      </c>
      <c r="C49" s="433">
        <f>'INDICADORES PRODUCCION'!J32</f>
        <v>0.69088948462017208</v>
      </c>
      <c r="D49" s="409">
        <f>'INDICADORES PRODUCCION'!K32</f>
        <v>0.79887767672391263</v>
      </c>
      <c r="E49" s="433">
        <f>'INDICADORES PRODUCCION'!L32</f>
        <v>0.88899600742015328</v>
      </c>
      <c r="F49" s="409">
        <f>'INDICADORES PRODUCCION'!M32</f>
        <v>1.4664257687316145</v>
      </c>
      <c r="G49" s="434">
        <f>'INDICADORES PRODUCCION'!N32</f>
        <v>1.0285836212171444</v>
      </c>
      <c r="H49" s="447"/>
      <c r="I49" s="445"/>
      <c r="J49" s="445"/>
      <c r="K49" s="445"/>
      <c r="L49" s="445"/>
      <c r="M49" s="445"/>
      <c r="N49" s="445"/>
      <c r="O49" s="445"/>
      <c r="P49" s="445"/>
      <c r="Q49" s="445"/>
      <c r="R49" s="445"/>
      <c r="S49" s="445"/>
      <c r="T49" s="445"/>
    </row>
    <row r="50" spans="1:20" ht="18.75" customHeight="1" x14ac:dyDescent="0.25">
      <c r="A50" s="431" t="s">
        <v>52</v>
      </c>
      <c r="B50" s="432" t="s">
        <v>315</v>
      </c>
      <c r="C50" s="433">
        <f>'INDICADORES PRODUCCION'!J58</f>
        <v>2.897009055116321</v>
      </c>
      <c r="D50" s="409">
        <f>'INDICADORES PRODUCCION'!K58</f>
        <v>2.7299148109299951</v>
      </c>
      <c r="E50" s="433">
        <f>'INDICADORES PRODUCCION'!L58</f>
        <v>2.5653884785552994</v>
      </c>
      <c r="F50" s="409">
        <f>'INDICADORES PRODUCCION'!M58</f>
        <v>2.4173064446565404</v>
      </c>
      <c r="G50" s="434">
        <f>'INDICADORES PRODUCCION'!N58</f>
        <v>2.3061424619782929</v>
      </c>
      <c r="H50" s="448"/>
      <c r="I50" s="445"/>
      <c r="J50" s="445"/>
      <c r="K50" s="445"/>
      <c r="L50" s="445"/>
      <c r="M50" s="445"/>
      <c r="N50" s="445"/>
      <c r="O50" s="445"/>
      <c r="P50" s="445"/>
      <c r="Q50" s="445"/>
      <c r="R50" s="445"/>
      <c r="S50" s="445"/>
      <c r="T50" s="445"/>
    </row>
    <row r="51" spans="1:20" ht="18.75" customHeight="1" x14ac:dyDescent="0.25">
      <c r="A51" s="431" t="s">
        <v>53</v>
      </c>
      <c r="B51" s="432">
        <v>385</v>
      </c>
      <c r="C51" s="433">
        <f>'INDICADORES PRODUCCION'!J59</f>
        <v>349.37612365861804</v>
      </c>
      <c r="D51" s="409">
        <f>'INDICADORES PRODUCCION'!K59</f>
        <v>345.03239761040709</v>
      </c>
      <c r="E51" s="433">
        <f>'INDICADORES PRODUCCION'!L59</f>
        <v>356.75194680247893</v>
      </c>
      <c r="F51" s="409">
        <f>'INDICADORES PRODUCCION'!M59</f>
        <v>347.10193857200625</v>
      </c>
      <c r="G51" s="434">
        <f>'INDICADORES PRODUCCION'!N59</f>
        <v>396.40272805238891</v>
      </c>
      <c r="H51" s="449"/>
      <c r="I51" s="386"/>
      <c r="J51" s="386"/>
      <c r="K51" s="386"/>
      <c r="L51" s="386"/>
      <c r="M51" s="386"/>
      <c r="N51" s="386"/>
      <c r="O51" s="445"/>
      <c r="P51" s="445"/>
      <c r="Q51" s="445"/>
      <c r="R51" s="445"/>
      <c r="S51" s="445"/>
      <c r="T51" s="386"/>
    </row>
    <row r="52" spans="1:20" ht="17.25" thickBot="1" x14ac:dyDescent="0.3">
      <c r="A52" s="450" t="s">
        <v>56</v>
      </c>
      <c r="B52" s="451">
        <v>32</v>
      </c>
      <c r="C52" s="452">
        <f>'INDICADORES PRODUCCION'!J60</f>
        <v>42.798721822478633</v>
      </c>
      <c r="D52" s="416">
        <f>'INDICADORES PRODUCCION'!K60</f>
        <v>41.840823151565829</v>
      </c>
      <c r="E52" s="452">
        <f>'INDICADORES PRODUCCION'!L60</f>
        <v>42.349802849095369</v>
      </c>
      <c r="F52" s="416">
        <f>'INDICADORES PRODUCCION'!M60</f>
        <v>42.744141173719349</v>
      </c>
      <c r="G52" s="453">
        <f>'INDICADORES PRODUCCION'!N35</f>
        <v>40.979967496757574</v>
      </c>
      <c r="H52" s="380"/>
      <c r="I52" s="386"/>
      <c r="J52" s="386"/>
      <c r="K52" s="386"/>
      <c r="L52" s="386"/>
      <c r="M52" s="386"/>
      <c r="N52" s="386"/>
      <c r="O52" s="386"/>
      <c r="P52" s="386"/>
      <c r="Q52" s="386"/>
      <c r="R52" s="386"/>
      <c r="S52" s="386"/>
      <c r="T52" s="386"/>
    </row>
    <row r="53" spans="1:20" x14ac:dyDescent="0.25">
      <c r="H53" s="380"/>
      <c r="I53" s="454"/>
      <c r="J53" s="454"/>
      <c r="K53" s="454"/>
      <c r="L53" s="454"/>
      <c r="M53" s="454"/>
      <c r="N53" s="454"/>
      <c r="O53" s="455"/>
      <c r="P53" s="455"/>
      <c r="Q53" s="455"/>
      <c r="R53" s="455"/>
      <c r="S53" s="455"/>
      <c r="T53" s="454"/>
    </row>
    <row r="54" spans="1:20" x14ac:dyDescent="0.25">
      <c r="H54" s="380"/>
      <c r="I54" s="456"/>
      <c r="J54" s="456"/>
      <c r="K54" s="456"/>
      <c r="L54" s="456"/>
      <c r="M54" s="456"/>
      <c r="N54" s="456"/>
      <c r="O54" s="456"/>
      <c r="P54" s="456"/>
      <c r="Q54" s="456"/>
      <c r="R54" s="456"/>
      <c r="S54" s="456"/>
      <c r="T54" s="456"/>
    </row>
    <row r="55" spans="1:20" x14ac:dyDescent="0.25">
      <c r="H55" s="380"/>
      <c r="I55" s="386"/>
      <c r="J55" s="456"/>
      <c r="K55" s="456"/>
      <c r="L55" s="456"/>
      <c r="M55" s="454"/>
      <c r="N55" s="457"/>
      <c r="O55" s="457"/>
      <c r="P55" s="457"/>
      <c r="Q55" s="457"/>
      <c r="R55" s="457"/>
      <c r="S55" s="457"/>
      <c r="T55" s="386"/>
    </row>
    <row r="56" spans="1:20" x14ac:dyDescent="0.25">
      <c r="H56" s="380"/>
      <c r="I56" s="454"/>
      <c r="J56" s="454"/>
      <c r="K56" s="454"/>
      <c r="L56" s="454"/>
      <c r="M56" s="454"/>
      <c r="N56" s="457"/>
      <c r="O56" s="457"/>
      <c r="P56" s="457"/>
      <c r="Q56" s="457"/>
      <c r="R56" s="457"/>
      <c r="S56" s="457"/>
      <c r="T56" s="386"/>
    </row>
    <row r="57" spans="1:20" x14ac:dyDescent="0.25">
      <c r="H57" s="380"/>
      <c r="I57" s="454"/>
      <c r="J57" s="454"/>
      <c r="K57" s="454"/>
      <c r="L57" s="454"/>
      <c r="M57" s="454"/>
      <c r="N57" s="454"/>
      <c r="O57" s="454"/>
      <c r="P57" s="454"/>
      <c r="Q57" s="454"/>
      <c r="R57" s="454"/>
      <c r="S57" s="454"/>
      <c r="T57" s="445"/>
    </row>
    <row r="58" spans="1:20" x14ac:dyDescent="0.25">
      <c r="H58" s="380"/>
      <c r="I58" s="458"/>
      <c r="J58" s="458"/>
      <c r="K58" s="458"/>
      <c r="L58" s="458"/>
      <c r="M58" s="458"/>
      <c r="N58" s="458"/>
      <c r="O58" s="458"/>
      <c r="P58" s="458"/>
      <c r="Q58" s="458"/>
      <c r="R58" s="458"/>
      <c r="S58" s="458"/>
      <c r="T58" s="458"/>
    </row>
  </sheetData>
  <mergeCells count="17">
    <mergeCell ref="M20:O20"/>
    <mergeCell ref="A40:G40"/>
    <mergeCell ref="A9:C9"/>
    <mergeCell ref="A31:H31"/>
    <mergeCell ref="I31:L31"/>
    <mergeCell ref="B12:C12"/>
    <mergeCell ref="I9:K9"/>
    <mergeCell ref="J12:K12"/>
    <mergeCell ref="M9:O9"/>
    <mergeCell ref="M15:O15"/>
    <mergeCell ref="E9:G9"/>
    <mergeCell ref="F12:G12"/>
    <mergeCell ref="N2:O2"/>
    <mergeCell ref="N3:O3"/>
    <mergeCell ref="N4:O4"/>
    <mergeCell ref="B1:M4"/>
    <mergeCell ref="A5:O5"/>
  </mergeCells>
  <pageMargins left="0.70866141732283472" right="0.70866141732283472" top="0.74803149606299213" bottom="0.74803149606299213" header="0.31496062992125984" footer="0.31496062992125984"/>
  <pageSetup scale="47" orientation="landscape"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5"/>
  <dimension ref="A1:AJ64"/>
  <sheetViews>
    <sheetView topLeftCell="A4" zoomScale="84" zoomScaleNormal="84" workbookViewId="0">
      <selection activeCell="C18" sqref="C18"/>
    </sheetView>
  </sheetViews>
  <sheetFormatPr baseColWidth="10" defaultRowHeight="16.5" x14ac:dyDescent="0.25"/>
  <cols>
    <col min="1" max="1" width="35.7109375" style="197" customWidth="1"/>
    <col min="2" max="14" width="10.7109375" style="197" customWidth="1"/>
    <col min="15" max="15" width="33.28515625" style="197" customWidth="1"/>
    <col min="16" max="16" width="13.42578125" style="197" customWidth="1"/>
    <col min="17" max="17" width="14.5703125" style="197" customWidth="1"/>
    <col min="18" max="18" width="36.140625" style="197" customWidth="1"/>
    <col min="19" max="19" width="11.42578125" style="197"/>
    <col min="20" max="20" width="45.140625" style="197" customWidth="1"/>
    <col min="21" max="21" width="11.42578125" style="197"/>
    <col min="22" max="22" width="18.42578125" style="197" customWidth="1"/>
    <col min="23" max="23" width="21.85546875" style="197" bestFit="1" customWidth="1"/>
    <col min="24" max="16384" width="11.42578125" style="197"/>
  </cols>
  <sheetData>
    <row r="1" spans="1:36" ht="16.5" customHeight="1" x14ac:dyDescent="0.25">
      <c r="A1" s="892"/>
      <c r="B1" s="893"/>
      <c r="C1" s="902" t="s">
        <v>260</v>
      </c>
      <c r="D1" s="903"/>
      <c r="E1" s="903"/>
      <c r="F1" s="903"/>
      <c r="G1" s="903"/>
      <c r="H1" s="903"/>
      <c r="I1" s="903"/>
      <c r="J1" s="903"/>
      <c r="K1" s="903"/>
      <c r="L1" s="904"/>
      <c r="M1" s="459" t="s">
        <v>550</v>
      </c>
      <c r="N1" s="353"/>
    </row>
    <row r="2" spans="1:36" ht="16.5" customHeight="1" x14ac:dyDescent="0.25">
      <c r="A2" s="894"/>
      <c r="B2" s="895"/>
      <c r="C2" s="905"/>
      <c r="D2" s="851"/>
      <c r="E2" s="851"/>
      <c r="F2" s="851"/>
      <c r="G2" s="851"/>
      <c r="H2" s="851"/>
      <c r="I2" s="851"/>
      <c r="J2" s="851"/>
      <c r="K2" s="851"/>
      <c r="L2" s="906"/>
      <c r="M2" s="819" t="s">
        <v>533</v>
      </c>
      <c r="N2" s="820"/>
    </row>
    <row r="3" spans="1:36" ht="16.5" customHeight="1" x14ac:dyDescent="0.25">
      <c r="A3" s="894"/>
      <c r="B3" s="895"/>
      <c r="C3" s="905"/>
      <c r="D3" s="851"/>
      <c r="E3" s="851"/>
      <c r="F3" s="851"/>
      <c r="G3" s="851"/>
      <c r="H3" s="851"/>
      <c r="I3" s="851"/>
      <c r="J3" s="851"/>
      <c r="K3" s="851"/>
      <c r="L3" s="906"/>
      <c r="M3" s="819" t="s">
        <v>534</v>
      </c>
      <c r="N3" s="820"/>
    </row>
    <row r="4" spans="1:36" ht="17.25" customHeight="1" thickBot="1" x14ac:dyDescent="0.3">
      <c r="A4" s="896"/>
      <c r="B4" s="897"/>
      <c r="C4" s="907"/>
      <c r="D4" s="908"/>
      <c r="E4" s="908"/>
      <c r="F4" s="908"/>
      <c r="G4" s="908"/>
      <c r="H4" s="908"/>
      <c r="I4" s="908"/>
      <c r="J4" s="908"/>
      <c r="K4" s="908"/>
      <c r="L4" s="909"/>
      <c r="M4" s="912" t="s">
        <v>544</v>
      </c>
      <c r="N4" s="857"/>
    </row>
    <row r="5" spans="1:36" ht="17.25" thickBot="1" x14ac:dyDescent="0.3"/>
    <row r="6" spans="1:36" ht="30" customHeight="1" thickBot="1" x14ac:dyDescent="0.3">
      <c r="A6" s="345" t="s">
        <v>513</v>
      </c>
      <c r="B6" s="635">
        <v>43952</v>
      </c>
      <c r="C6" s="635">
        <v>43983</v>
      </c>
      <c r="D6" s="635">
        <v>44013</v>
      </c>
      <c r="E6" s="635">
        <v>44044</v>
      </c>
      <c r="F6" s="635">
        <v>44075</v>
      </c>
      <c r="G6" s="635">
        <v>44105</v>
      </c>
      <c r="H6" s="635">
        <v>44136</v>
      </c>
      <c r="I6" s="635">
        <v>44166</v>
      </c>
      <c r="J6" s="635">
        <v>44197</v>
      </c>
      <c r="K6" s="635">
        <v>44228</v>
      </c>
      <c r="L6" s="635">
        <v>44256</v>
      </c>
      <c r="M6" s="635">
        <v>44287</v>
      </c>
      <c r="N6" s="254" t="s">
        <v>74</v>
      </c>
      <c r="O6" s="7"/>
      <c r="X6" s="249"/>
      <c r="Y6" s="249"/>
      <c r="Z6" s="249"/>
      <c r="AA6" s="249"/>
      <c r="AB6" s="249"/>
      <c r="AC6" s="249"/>
      <c r="AD6" s="249"/>
      <c r="AE6" s="249"/>
      <c r="AF6" s="249"/>
      <c r="AG6" s="249"/>
      <c r="AH6" s="249"/>
      <c r="AI6" s="249"/>
      <c r="AJ6" s="7"/>
    </row>
    <row r="7" spans="1:36" ht="33" x14ac:dyDescent="0.25">
      <c r="A7" s="552" t="s">
        <v>476</v>
      </c>
      <c r="B7" s="636">
        <v>0</v>
      </c>
      <c r="C7" s="636">
        <v>0</v>
      </c>
      <c r="D7" s="636">
        <v>0</v>
      </c>
      <c r="E7" s="636">
        <v>0</v>
      </c>
      <c r="F7" s="636">
        <v>0</v>
      </c>
      <c r="G7" s="636">
        <v>0</v>
      </c>
      <c r="H7" s="636">
        <v>0</v>
      </c>
      <c r="I7" s="636">
        <v>0</v>
      </c>
      <c r="J7" s="636">
        <v>0</v>
      </c>
      <c r="K7" s="636">
        <v>0</v>
      </c>
      <c r="L7" s="636">
        <v>0</v>
      </c>
      <c r="M7" s="636">
        <v>0</v>
      </c>
      <c r="N7" s="336">
        <f>SUM(B7:M7)</f>
        <v>0</v>
      </c>
      <c r="O7" s="573"/>
      <c r="X7" s="5"/>
      <c r="Y7" s="5"/>
      <c r="Z7" s="5"/>
      <c r="AA7" s="5"/>
      <c r="AB7" s="5"/>
      <c r="AC7" s="5"/>
      <c r="AD7" s="5"/>
      <c r="AE7" s="5"/>
      <c r="AF7" s="5"/>
      <c r="AG7" s="5"/>
      <c r="AH7" s="5"/>
      <c r="AI7" s="5"/>
      <c r="AJ7" s="7"/>
    </row>
    <row r="8" spans="1:36" ht="24.95" customHeight="1" x14ac:dyDescent="0.25">
      <c r="A8" s="331" t="s">
        <v>124</v>
      </c>
      <c r="B8" s="637">
        <v>0</v>
      </c>
      <c r="C8" s="637">
        <v>0</v>
      </c>
      <c r="D8" s="637">
        <v>0</v>
      </c>
      <c r="E8" s="637">
        <v>0</v>
      </c>
      <c r="F8" s="637">
        <v>0</v>
      </c>
      <c r="G8" s="637">
        <v>0</v>
      </c>
      <c r="H8" s="637">
        <v>0</v>
      </c>
      <c r="I8" s="637">
        <v>0</v>
      </c>
      <c r="J8" s="637">
        <v>0</v>
      </c>
      <c r="K8" s="637">
        <v>0</v>
      </c>
      <c r="L8" s="637">
        <v>0</v>
      </c>
      <c r="M8" s="637">
        <v>0</v>
      </c>
      <c r="N8" s="337">
        <f t="shared" ref="N8:N18" si="0">SUM(B8:M8)</f>
        <v>0</v>
      </c>
      <c r="O8" s="574"/>
      <c r="X8" s="5"/>
      <c r="Y8" s="5"/>
      <c r="Z8" s="5"/>
      <c r="AA8" s="5"/>
      <c r="AB8" s="5"/>
      <c r="AC8" s="5"/>
      <c r="AD8" s="5"/>
      <c r="AE8" s="5"/>
      <c r="AF8" s="5"/>
      <c r="AG8" s="5"/>
      <c r="AH8" s="5"/>
      <c r="AI8" s="5"/>
      <c r="AJ8" s="7"/>
    </row>
    <row r="9" spans="1:36" ht="24.95" customHeight="1" x14ac:dyDescent="0.25">
      <c r="A9" s="331" t="s">
        <v>265</v>
      </c>
      <c r="B9" s="637">
        <v>0</v>
      </c>
      <c r="C9" s="637">
        <v>0</v>
      </c>
      <c r="D9" s="637">
        <v>0</v>
      </c>
      <c r="E9" s="637">
        <v>0</v>
      </c>
      <c r="F9" s="637">
        <v>0</v>
      </c>
      <c r="G9" s="637">
        <v>0</v>
      </c>
      <c r="H9" s="637">
        <v>0</v>
      </c>
      <c r="I9" s="637">
        <v>0</v>
      </c>
      <c r="J9" s="637">
        <v>0</v>
      </c>
      <c r="K9" s="637">
        <v>0</v>
      </c>
      <c r="L9" s="637">
        <v>0</v>
      </c>
      <c r="M9" s="637">
        <v>0</v>
      </c>
      <c r="N9" s="337">
        <f t="shared" si="0"/>
        <v>0</v>
      </c>
      <c r="O9" s="574"/>
      <c r="X9" s="5"/>
      <c r="Y9" s="5"/>
      <c r="Z9" s="5"/>
      <c r="AA9" s="5"/>
      <c r="AB9" s="5"/>
      <c r="AC9" s="5"/>
      <c r="AD9" s="5"/>
      <c r="AE9" s="5"/>
      <c r="AF9" s="5"/>
      <c r="AG9" s="5"/>
      <c r="AH9" s="5"/>
      <c r="AI9" s="5"/>
      <c r="AJ9" s="7"/>
    </row>
    <row r="10" spans="1:36" ht="24.95" customHeight="1" x14ac:dyDescent="0.25">
      <c r="A10" s="331" t="s">
        <v>266</v>
      </c>
      <c r="B10" s="637">
        <v>744</v>
      </c>
      <c r="C10" s="637">
        <v>720</v>
      </c>
      <c r="D10" s="637">
        <v>744</v>
      </c>
      <c r="E10" s="637">
        <v>744</v>
      </c>
      <c r="F10" s="637">
        <v>720</v>
      </c>
      <c r="G10" s="637">
        <v>744</v>
      </c>
      <c r="H10" s="637">
        <v>720</v>
      </c>
      <c r="I10" s="637">
        <v>720</v>
      </c>
      <c r="J10" s="637">
        <v>744</v>
      </c>
      <c r="K10" s="637">
        <v>672</v>
      </c>
      <c r="L10" s="637">
        <v>744</v>
      </c>
      <c r="M10" s="637">
        <v>552</v>
      </c>
      <c r="N10" s="337">
        <f t="shared" si="0"/>
        <v>8568</v>
      </c>
      <c r="O10" s="574"/>
      <c r="X10" s="5"/>
      <c r="Y10" s="5"/>
      <c r="Z10" s="5"/>
      <c r="AA10" s="5"/>
      <c r="AB10" s="5"/>
      <c r="AC10" s="5"/>
      <c r="AD10" s="5"/>
      <c r="AE10" s="5"/>
      <c r="AF10" s="5"/>
      <c r="AG10" s="5"/>
      <c r="AH10" s="5"/>
      <c r="AI10" s="5"/>
      <c r="AJ10" s="7"/>
    </row>
    <row r="11" spans="1:36" ht="24.95" customHeight="1" x14ac:dyDescent="0.25">
      <c r="A11" s="331" t="s">
        <v>478</v>
      </c>
      <c r="B11" s="637">
        <v>0</v>
      </c>
      <c r="C11" s="637">
        <v>0</v>
      </c>
      <c r="D11" s="637">
        <v>0</v>
      </c>
      <c r="E11" s="637">
        <v>0</v>
      </c>
      <c r="F11" s="637">
        <v>0</v>
      </c>
      <c r="G11" s="637">
        <v>0</v>
      </c>
      <c r="H11" s="637">
        <v>0</v>
      </c>
      <c r="I11" s="637">
        <v>0</v>
      </c>
      <c r="J11" s="637">
        <v>0</v>
      </c>
      <c r="K11" s="637">
        <v>0</v>
      </c>
      <c r="L11" s="637">
        <v>0</v>
      </c>
      <c r="M11" s="637">
        <v>0</v>
      </c>
      <c r="N11" s="337">
        <f t="shared" si="0"/>
        <v>0</v>
      </c>
      <c r="O11" s="574"/>
      <c r="X11" s="5"/>
      <c r="Y11" s="5"/>
      <c r="Z11" s="5"/>
      <c r="AA11" s="5"/>
      <c r="AB11" s="5"/>
      <c r="AC11" s="5"/>
      <c r="AD11" s="5"/>
      <c r="AE11" s="5"/>
      <c r="AF11" s="5"/>
      <c r="AG11" s="5"/>
      <c r="AH11" s="5"/>
      <c r="AI11" s="5"/>
      <c r="AJ11" s="7"/>
    </row>
    <row r="12" spans="1:36" ht="24.95" customHeight="1" x14ac:dyDescent="0.25">
      <c r="A12" s="331" t="s">
        <v>399</v>
      </c>
      <c r="B12" s="637">
        <v>0</v>
      </c>
      <c r="C12" s="637">
        <v>0</v>
      </c>
      <c r="D12" s="637">
        <v>0</v>
      </c>
      <c r="E12" s="637">
        <v>0</v>
      </c>
      <c r="F12" s="637">
        <v>0</v>
      </c>
      <c r="G12" s="637">
        <v>0</v>
      </c>
      <c r="H12" s="637">
        <v>0</v>
      </c>
      <c r="I12" s="637">
        <v>0</v>
      </c>
      <c r="J12" s="637">
        <v>0</v>
      </c>
      <c r="K12" s="637">
        <v>0</v>
      </c>
      <c r="L12" s="637">
        <v>0</v>
      </c>
      <c r="M12" s="637">
        <v>0</v>
      </c>
      <c r="N12" s="337">
        <f t="shared" si="0"/>
        <v>0</v>
      </c>
      <c r="O12" s="574"/>
      <c r="X12" s="5"/>
      <c r="Y12" s="5"/>
      <c r="Z12" s="5"/>
      <c r="AA12" s="5"/>
      <c r="AB12" s="5"/>
      <c r="AC12" s="5"/>
      <c r="AD12" s="5"/>
      <c r="AE12" s="5"/>
      <c r="AF12" s="5"/>
      <c r="AG12" s="5"/>
      <c r="AH12" s="5"/>
      <c r="AI12" s="5"/>
      <c r="AJ12" s="7"/>
    </row>
    <row r="13" spans="1:36" ht="24.95" customHeight="1" x14ac:dyDescent="0.25">
      <c r="A13" s="331" t="s">
        <v>269</v>
      </c>
      <c r="B13" s="637">
        <v>0</v>
      </c>
      <c r="C13" s="637">
        <v>0</v>
      </c>
      <c r="D13" s="637">
        <v>0</v>
      </c>
      <c r="E13" s="637">
        <v>0</v>
      </c>
      <c r="F13" s="637">
        <v>0</v>
      </c>
      <c r="G13" s="637">
        <v>0</v>
      </c>
      <c r="H13" s="637">
        <v>0</v>
      </c>
      <c r="I13" s="637">
        <v>0</v>
      </c>
      <c r="J13" s="637">
        <v>0</v>
      </c>
      <c r="K13" s="637">
        <v>0</v>
      </c>
      <c r="L13" s="637">
        <v>0</v>
      </c>
      <c r="M13" s="637">
        <v>0</v>
      </c>
      <c r="N13" s="337">
        <f t="shared" si="0"/>
        <v>0</v>
      </c>
      <c r="O13" s="574"/>
      <c r="X13" s="5"/>
      <c r="Y13" s="5"/>
      <c r="Z13" s="5"/>
      <c r="AA13" s="5"/>
      <c r="AB13" s="5"/>
      <c r="AC13" s="5"/>
      <c r="AD13" s="5"/>
      <c r="AE13" s="5"/>
      <c r="AF13" s="5"/>
      <c r="AG13" s="5"/>
      <c r="AH13" s="5"/>
      <c r="AI13" s="5"/>
      <c r="AJ13" s="7"/>
    </row>
    <row r="14" spans="1:36" ht="24.95" customHeight="1" x14ac:dyDescent="0.25">
      <c r="A14" s="331" t="s">
        <v>270</v>
      </c>
      <c r="B14" s="637">
        <v>0</v>
      </c>
      <c r="C14" s="637">
        <v>0</v>
      </c>
      <c r="D14" s="637">
        <v>0</v>
      </c>
      <c r="E14" s="637">
        <v>0</v>
      </c>
      <c r="F14" s="637">
        <v>0</v>
      </c>
      <c r="G14" s="637">
        <v>0</v>
      </c>
      <c r="H14" s="637">
        <v>0</v>
      </c>
      <c r="I14" s="637">
        <v>0</v>
      </c>
      <c r="J14" s="637">
        <v>0</v>
      </c>
      <c r="K14" s="637">
        <v>0</v>
      </c>
      <c r="L14" s="637">
        <v>0</v>
      </c>
      <c r="M14" s="637">
        <v>0</v>
      </c>
      <c r="N14" s="337">
        <f t="shared" si="0"/>
        <v>0</v>
      </c>
      <c r="O14" s="574"/>
      <c r="X14" s="5"/>
      <c r="Y14" s="5"/>
      <c r="Z14" s="5"/>
      <c r="AA14" s="5"/>
      <c r="AB14" s="5"/>
      <c r="AC14" s="5"/>
      <c r="AD14" s="5"/>
      <c r="AE14" s="5"/>
      <c r="AF14" s="5"/>
      <c r="AG14" s="5"/>
      <c r="AH14" s="5"/>
      <c r="AI14" s="5"/>
      <c r="AJ14" s="7"/>
    </row>
    <row r="15" spans="1:36" ht="24.95" customHeight="1" x14ac:dyDescent="0.25">
      <c r="A15" s="331" t="s">
        <v>271</v>
      </c>
      <c r="B15" s="637">
        <v>0</v>
      </c>
      <c r="C15" s="637">
        <v>0</v>
      </c>
      <c r="D15" s="637">
        <v>0</v>
      </c>
      <c r="E15" s="637">
        <v>0</v>
      </c>
      <c r="F15" s="637">
        <v>0</v>
      </c>
      <c r="G15" s="637">
        <v>0</v>
      </c>
      <c r="H15" s="637">
        <v>0</v>
      </c>
      <c r="I15" s="637">
        <v>0</v>
      </c>
      <c r="J15" s="637">
        <v>0</v>
      </c>
      <c r="K15" s="637">
        <v>0</v>
      </c>
      <c r="L15" s="637">
        <v>0</v>
      </c>
      <c r="M15" s="637">
        <v>0</v>
      </c>
      <c r="N15" s="337">
        <f t="shared" si="0"/>
        <v>0</v>
      </c>
      <c r="O15" s="574"/>
      <c r="X15" s="5"/>
      <c r="Y15" s="5"/>
      <c r="Z15" s="5"/>
      <c r="AA15" s="5"/>
      <c r="AB15" s="5"/>
      <c r="AC15" s="5"/>
      <c r="AD15" s="5"/>
      <c r="AE15" s="5"/>
      <c r="AF15" s="5"/>
      <c r="AG15" s="5"/>
      <c r="AH15" s="5"/>
      <c r="AI15" s="5"/>
      <c r="AJ15" s="7"/>
    </row>
    <row r="16" spans="1:36" ht="24.95" customHeight="1" x14ac:dyDescent="0.25">
      <c r="A16" s="331" t="s">
        <v>511</v>
      </c>
      <c r="B16" s="637">
        <v>0</v>
      </c>
      <c r="C16" s="637">
        <v>0</v>
      </c>
      <c r="D16" s="637">
        <v>0</v>
      </c>
      <c r="E16" s="637">
        <v>0</v>
      </c>
      <c r="F16" s="637">
        <v>0</v>
      </c>
      <c r="G16" s="637">
        <v>0</v>
      </c>
      <c r="H16" s="637">
        <v>0</v>
      </c>
      <c r="I16" s="637">
        <v>0</v>
      </c>
      <c r="J16" s="637">
        <v>0</v>
      </c>
      <c r="K16" s="637">
        <v>0</v>
      </c>
      <c r="L16" s="637">
        <v>0</v>
      </c>
      <c r="M16" s="637">
        <v>0</v>
      </c>
      <c r="N16" s="337">
        <f t="shared" si="0"/>
        <v>0</v>
      </c>
      <c r="O16" s="574"/>
      <c r="X16" s="5"/>
      <c r="Y16" s="5"/>
      <c r="Z16" s="5"/>
      <c r="AA16" s="5"/>
      <c r="AB16" s="5"/>
      <c r="AC16" s="5"/>
      <c r="AD16" s="5"/>
      <c r="AE16" s="5"/>
      <c r="AF16" s="5"/>
      <c r="AG16" s="5"/>
      <c r="AH16" s="5"/>
      <c r="AI16" s="5"/>
      <c r="AJ16" s="7"/>
    </row>
    <row r="17" spans="1:36" ht="24.95" customHeight="1" x14ac:dyDescent="0.25">
      <c r="A17" s="331" t="s">
        <v>121</v>
      </c>
      <c r="B17" s="637">
        <v>0</v>
      </c>
      <c r="C17" s="637">
        <v>0</v>
      </c>
      <c r="D17" s="637">
        <v>0</v>
      </c>
      <c r="E17" s="637">
        <v>0</v>
      </c>
      <c r="F17" s="637">
        <v>0</v>
      </c>
      <c r="G17" s="637">
        <v>0</v>
      </c>
      <c r="H17" s="637">
        <v>0</v>
      </c>
      <c r="I17" s="637">
        <v>0</v>
      </c>
      <c r="J17" s="637">
        <v>0</v>
      </c>
      <c r="K17" s="637">
        <v>0</v>
      </c>
      <c r="L17" s="637">
        <v>0</v>
      </c>
      <c r="M17" s="637">
        <v>0</v>
      </c>
      <c r="N17" s="337">
        <f t="shared" si="0"/>
        <v>0</v>
      </c>
      <c r="O17" s="574"/>
      <c r="X17" s="5"/>
      <c r="Y17" s="5"/>
      <c r="Z17" s="5"/>
      <c r="AA17" s="5"/>
      <c r="AB17" s="5"/>
      <c r="AC17" s="5"/>
      <c r="AD17" s="5"/>
      <c r="AE17" s="5"/>
      <c r="AF17" s="5"/>
      <c r="AG17" s="5"/>
      <c r="AH17" s="5"/>
      <c r="AI17" s="5"/>
      <c r="AJ17" s="7"/>
    </row>
    <row r="18" spans="1:36" ht="38.25" customHeight="1" thickBot="1" x14ac:dyDescent="0.3">
      <c r="A18" s="331" t="s">
        <v>474</v>
      </c>
      <c r="B18" s="637">
        <v>0</v>
      </c>
      <c r="C18" s="637">
        <v>0</v>
      </c>
      <c r="D18" s="637">
        <v>0</v>
      </c>
      <c r="E18" s="637">
        <v>0</v>
      </c>
      <c r="F18" s="637">
        <v>0</v>
      </c>
      <c r="G18" s="637">
        <v>0</v>
      </c>
      <c r="H18" s="637">
        <v>0</v>
      </c>
      <c r="I18" s="637">
        <v>0</v>
      </c>
      <c r="J18" s="637">
        <v>0</v>
      </c>
      <c r="K18" s="637">
        <v>0</v>
      </c>
      <c r="L18" s="637">
        <v>0</v>
      </c>
      <c r="M18" s="637">
        <v>0</v>
      </c>
      <c r="N18" s="337">
        <f t="shared" si="0"/>
        <v>0</v>
      </c>
      <c r="O18" s="574"/>
      <c r="X18" s="5"/>
      <c r="Y18" s="5"/>
      <c r="Z18" s="5"/>
      <c r="AA18" s="5"/>
      <c r="AB18" s="5"/>
      <c r="AC18" s="5"/>
      <c r="AD18" s="5"/>
      <c r="AE18" s="5"/>
      <c r="AF18" s="5"/>
      <c r="AG18" s="5"/>
      <c r="AH18" s="5"/>
      <c r="AI18" s="5"/>
      <c r="AJ18" s="7"/>
    </row>
    <row r="19" spans="1:36" ht="24.95" customHeight="1" x14ac:dyDescent="0.25">
      <c r="A19" s="580" t="s">
        <v>496</v>
      </c>
      <c r="B19" s="772">
        <f>+DAY(EOMONTH(B6,0))*24</f>
        <v>744</v>
      </c>
      <c r="C19" s="583">
        <f>+DAY(EOMONTH(C6,0))*24</f>
        <v>720</v>
      </c>
      <c r="D19" s="583">
        <f>+DAY(EOMONTH(D6,0))*24</f>
        <v>744</v>
      </c>
      <c r="E19" s="583">
        <f>+DAY(EOMONTH(E6,0))*24</f>
        <v>744</v>
      </c>
      <c r="F19" s="583">
        <f t="shared" ref="F19:M19" si="1">+DAY(EOMONTH(F6,0))*24</f>
        <v>720</v>
      </c>
      <c r="G19" s="583">
        <f t="shared" si="1"/>
        <v>744</v>
      </c>
      <c r="H19" s="583">
        <f t="shared" si="1"/>
        <v>720</v>
      </c>
      <c r="I19" s="583">
        <f t="shared" si="1"/>
        <v>744</v>
      </c>
      <c r="J19" s="583">
        <f t="shared" si="1"/>
        <v>744</v>
      </c>
      <c r="K19" s="583">
        <f t="shared" si="1"/>
        <v>672</v>
      </c>
      <c r="L19" s="583">
        <f t="shared" si="1"/>
        <v>744</v>
      </c>
      <c r="M19" s="723">
        <f t="shared" si="1"/>
        <v>720</v>
      </c>
      <c r="N19" s="549">
        <f>SUM(B19:M19)</f>
        <v>8760</v>
      </c>
      <c r="O19" s="7"/>
      <c r="X19" s="5"/>
      <c r="Y19" s="5"/>
      <c r="Z19" s="5"/>
      <c r="AA19" s="5"/>
      <c r="AB19" s="5"/>
      <c r="AC19" s="5"/>
      <c r="AD19" s="5"/>
      <c r="AE19" s="5"/>
      <c r="AF19" s="5"/>
      <c r="AG19" s="5"/>
      <c r="AH19" s="5"/>
      <c r="AI19" s="5"/>
      <c r="AJ19" s="7"/>
    </row>
    <row r="20" spans="1:36" ht="24.95" customHeight="1" x14ac:dyDescent="0.25">
      <c r="A20" s="575" t="s">
        <v>498</v>
      </c>
      <c r="B20" s="773">
        <f>SUM(B7:B18)</f>
        <v>744</v>
      </c>
      <c r="C20" s="585">
        <f>SUM(C7:C18)</f>
        <v>720</v>
      </c>
      <c r="D20" s="585">
        <f>SUM(D7:D18)</f>
        <v>744</v>
      </c>
      <c r="E20" s="585">
        <f t="shared" ref="E20:L20" si="2">SUM(E7:E18)</f>
        <v>744</v>
      </c>
      <c r="F20" s="585">
        <f t="shared" si="2"/>
        <v>720</v>
      </c>
      <c r="G20" s="585">
        <f t="shared" si="2"/>
        <v>744</v>
      </c>
      <c r="H20" s="585">
        <f t="shared" si="2"/>
        <v>720</v>
      </c>
      <c r="I20" s="585">
        <f t="shared" si="2"/>
        <v>720</v>
      </c>
      <c r="J20" s="585">
        <f t="shared" si="2"/>
        <v>744</v>
      </c>
      <c r="K20" s="636">
        <f t="shared" si="2"/>
        <v>672</v>
      </c>
      <c r="L20" s="636">
        <f t="shared" si="2"/>
        <v>744</v>
      </c>
      <c r="M20" s="636">
        <f>SUM(M7:M18)</f>
        <v>552</v>
      </c>
      <c r="N20" s="576">
        <f>SUM(B20:M20)</f>
        <v>8568</v>
      </c>
      <c r="O20" s="5"/>
      <c r="X20" s="5"/>
      <c r="Y20" s="5"/>
      <c r="Z20" s="5"/>
      <c r="AA20" s="5"/>
      <c r="AB20" s="5"/>
      <c r="AC20" s="5"/>
      <c r="AD20" s="5"/>
      <c r="AE20" s="5"/>
      <c r="AF20" s="5"/>
      <c r="AG20" s="5"/>
      <c r="AH20" s="251"/>
      <c r="AI20" s="251"/>
      <c r="AJ20" s="250"/>
    </row>
    <row r="21" spans="1:36" ht="24.95" customHeight="1" x14ac:dyDescent="0.25">
      <c r="A21" s="575" t="s">
        <v>497</v>
      </c>
      <c r="B21" s="774">
        <f>B19-B20</f>
        <v>0</v>
      </c>
      <c r="C21" s="586">
        <f>C19-C20</f>
        <v>0</v>
      </c>
      <c r="D21" s="586">
        <f>D19-D20</f>
        <v>0</v>
      </c>
      <c r="E21" s="586">
        <f t="shared" ref="E21:L21" si="3">E19-E20</f>
        <v>0</v>
      </c>
      <c r="F21" s="586">
        <f t="shared" si="3"/>
        <v>0</v>
      </c>
      <c r="G21" s="586">
        <f t="shared" si="3"/>
        <v>0</v>
      </c>
      <c r="H21" s="586">
        <f t="shared" si="3"/>
        <v>0</v>
      </c>
      <c r="I21" s="586">
        <f t="shared" si="3"/>
        <v>24</v>
      </c>
      <c r="J21" s="586">
        <f t="shared" si="3"/>
        <v>0</v>
      </c>
      <c r="K21" s="638">
        <f t="shared" si="3"/>
        <v>0</v>
      </c>
      <c r="L21" s="638">
        <f t="shared" si="3"/>
        <v>0</v>
      </c>
      <c r="M21" s="638">
        <f>M19-M20</f>
        <v>168</v>
      </c>
      <c r="N21" s="576">
        <f>SUM(B21:M21)</f>
        <v>192</v>
      </c>
      <c r="O21" s="5"/>
      <c r="X21" s="5"/>
      <c r="Y21" s="5"/>
      <c r="Z21" s="5"/>
      <c r="AA21" s="5"/>
      <c r="AB21" s="5"/>
      <c r="AC21" s="5"/>
      <c r="AD21" s="5"/>
      <c r="AE21" s="5"/>
      <c r="AF21" s="5"/>
      <c r="AG21" s="5"/>
      <c r="AH21" s="5"/>
      <c r="AI21" s="5"/>
      <c r="AJ21" s="250"/>
    </row>
    <row r="22" spans="1:36" ht="24.95" customHeight="1" thickBot="1" x14ac:dyDescent="0.3">
      <c r="A22" s="551" t="s">
        <v>499</v>
      </c>
      <c r="B22" s="775" t="e">
        <f>INVENTARIOS!C70/'PARADAS P2'!B21</f>
        <v>#DIV/0!</v>
      </c>
      <c r="C22" s="592" t="e">
        <f>INVENTARIOS!D70/'PARADAS P2'!C21</f>
        <v>#DIV/0!</v>
      </c>
      <c r="D22" s="592" t="e">
        <f>INVENTARIOS!E70/'PARADAS P2'!D21</f>
        <v>#DIV/0!</v>
      </c>
      <c r="E22" s="592">
        <f>IFERROR((INVENTARIOS!F70/'PARADAS P2'!E21),0)</f>
        <v>0</v>
      </c>
      <c r="F22" s="592">
        <f>IFERROR((INVENTARIOS!G70/'PARADAS P2'!F21),0)</f>
        <v>0</v>
      </c>
      <c r="G22" s="592">
        <f>IFERROR((INVENTARIOS!H70/'PARADAS P2'!G21),0)</f>
        <v>0</v>
      </c>
      <c r="H22" s="592">
        <f>IFERROR((INVENTARIOS!I70/'PARADAS P2'!H21),0)</f>
        <v>0</v>
      </c>
      <c r="I22" s="592">
        <f>IFERROR((INVENTARIOS!J70/'PARADAS P2'!I21),0)</f>
        <v>3.9389166666666671</v>
      </c>
      <c r="J22" s="592">
        <f>IFERROR((INVENTARIOS!K70/'PARADAS P2'!J21),0)</f>
        <v>0</v>
      </c>
      <c r="K22" s="724">
        <f>IFERROR((INVENTARIOS!L70/'PARADAS P2'!K21),0)</f>
        <v>0</v>
      </c>
      <c r="L22" s="724">
        <f>IFERROR((INVENTARIOS!M70/'PARADAS P2'!L21),0)</f>
        <v>0</v>
      </c>
      <c r="M22" s="724">
        <f>IFERROR((INVENTARIOS!N70/'PARADAS P2'!M21),0)</f>
        <v>3.9447321428571431</v>
      </c>
      <c r="N22" s="550" t="e">
        <f>AVERAGE(B22:M22)</f>
        <v>#DIV/0!</v>
      </c>
      <c r="O22" s="5"/>
      <c r="X22" s="5"/>
      <c r="Y22" s="5"/>
      <c r="Z22" s="5"/>
      <c r="AA22" s="5"/>
      <c r="AB22" s="5"/>
      <c r="AC22" s="5"/>
      <c r="AD22" s="5"/>
      <c r="AE22" s="5"/>
      <c r="AF22" s="5"/>
      <c r="AG22" s="5"/>
      <c r="AH22" s="5"/>
      <c r="AI22" s="5"/>
      <c r="AJ22" s="250"/>
    </row>
    <row r="23" spans="1:36" x14ac:dyDescent="0.25">
      <c r="A23" s="952"/>
      <c r="B23" s="952"/>
      <c r="C23" s="952"/>
      <c r="D23" s="952"/>
      <c r="E23" s="952"/>
      <c r="F23" s="952"/>
      <c r="G23" s="952"/>
      <c r="H23" s="952"/>
      <c r="I23" s="952"/>
      <c r="J23" s="952"/>
      <c r="K23" s="952"/>
      <c r="L23" s="952"/>
      <c r="M23" s="952"/>
      <c r="N23" s="952"/>
      <c r="O23" s="5"/>
    </row>
    <row r="24" spans="1:36" ht="24.95" hidden="1" customHeight="1" thickBot="1" x14ac:dyDescent="0.3">
      <c r="A24" s="284" t="s">
        <v>106</v>
      </c>
      <c r="B24" s="299"/>
      <c r="C24" s="300"/>
      <c r="D24" s="300"/>
      <c r="E24" s="300"/>
      <c r="F24" s="300"/>
      <c r="G24" s="300"/>
      <c r="H24" s="300"/>
      <c r="I24" s="300"/>
      <c r="J24" s="300"/>
      <c r="K24" s="300">
        <v>43709</v>
      </c>
      <c r="L24" s="300">
        <v>43739</v>
      </c>
      <c r="M24" s="301">
        <v>43770</v>
      </c>
      <c r="N24" s="950" t="s">
        <v>105</v>
      </c>
      <c r="O24" s="5"/>
    </row>
    <row r="25" spans="1:36" ht="24.95" hidden="1" customHeight="1" thickBot="1" x14ac:dyDescent="0.3">
      <c r="A25" s="256" t="s">
        <v>496</v>
      </c>
      <c r="B25" s="698"/>
      <c r="C25" s="699"/>
      <c r="D25" s="699"/>
      <c r="E25" s="699"/>
      <c r="F25" s="699"/>
      <c r="G25" s="699"/>
      <c r="H25" s="699"/>
      <c r="I25" s="699"/>
      <c r="J25" s="699"/>
      <c r="K25" s="701">
        <f>+DAY(EOMONTH(K24,0))*24</f>
        <v>720</v>
      </c>
      <c r="L25" s="699">
        <f>+DAY(EOMONTH(L24,0))*24</f>
        <v>744</v>
      </c>
      <c r="M25" s="700">
        <f>+DAY(EOMONTH(M24,0))*24</f>
        <v>720</v>
      </c>
      <c r="N25" s="951"/>
      <c r="O25" s="5"/>
    </row>
    <row r="26" spans="1:36" ht="24.95" hidden="1" customHeight="1" x14ac:dyDescent="0.25">
      <c r="A26" s="257" t="s">
        <v>404</v>
      </c>
      <c r="B26" s="302"/>
      <c r="C26" s="303"/>
      <c r="D26" s="303"/>
      <c r="E26" s="303"/>
      <c r="F26" s="303"/>
      <c r="G26" s="303"/>
      <c r="H26" s="303"/>
      <c r="I26" s="303"/>
      <c r="J26" s="303"/>
      <c r="K26" s="303"/>
      <c r="L26" s="303"/>
      <c r="M26" s="304"/>
      <c r="N26" s="305"/>
      <c r="O26" s="5"/>
    </row>
    <row r="27" spans="1:36" ht="24.95" hidden="1" customHeight="1" x14ac:dyDescent="0.25">
      <c r="A27" s="257" t="s">
        <v>405</v>
      </c>
      <c r="B27" s="302"/>
      <c r="C27" s="303"/>
      <c r="D27" s="303"/>
      <c r="E27" s="303"/>
      <c r="F27" s="303"/>
      <c r="G27" s="303"/>
      <c r="H27" s="303"/>
      <c r="I27" s="303"/>
      <c r="J27" s="303"/>
      <c r="K27" s="303"/>
      <c r="L27" s="303"/>
      <c r="M27" s="304"/>
      <c r="N27" s="306"/>
      <c r="O27" s="5"/>
    </row>
    <row r="28" spans="1:36" ht="24.95" hidden="1" customHeight="1" x14ac:dyDescent="0.25">
      <c r="A28" s="257" t="s">
        <v>406</v>
      </c>
      <c r="B28" s="307"/>
      <c r="C28" s="308"/>
      <c r="D28" s="308"/>
      <c r="E28" s="308"/>
      <c r="F28" s="308"/>
      <c r="G28" s="308"/>
      <c r="H28" s="308"/>
      <c r="I28" s="308"/>
      <c r="J28" s="308"/>
      <c r="K28" s="308"/>
      <c r="L28" s="308"/>
      <c r="M28" s="309"/>
      <c r="N28" s="306"/>
      <c r="O28" s="5"/>
    </row>
    <row r="29" spans="1:36" ht="33.75" hidden="1" thickBot="1" x14ac:dyDescent="0.3">
      <c r="A29" s="258" t="s">
        <v>409</v>
      </c>
      <c r="B29" s="310"/>
      <c r="C29" s="311"/>
      <c r="D29" s="311"/>
      <c r="E29" s="311"/>
      <c r="F29" s="311"/>
      <c r="G29" s="311"/>
      <c r="H29" s="311"/>
      <c r="I29" s="311"/>
      <c r="J29" s="311"/>
      <c r="K29" s="311"/>
      <c r="L29" s="311"/>
      <c r="M29" s="312"/>
      <c r="N29" s="313"/>
      <c r="O29" s="5"/>
    </row>
    <row r="30" spans="1:36" ht="24.95" hidden="1" customHeight="1" thickBot="1" x14ac:dyDescent="0.3">
      <c r="A30" s="262" t="s">
        <v>407</v>
      </c>
      <c r="B30" s="260"/>
      <c r="C30" s="255"/>
      <c r="D30" s="255"/>
      <c r="E30" s="255"/>
      <c r="F30" s="255"/>
      <c r="G30" s="255"/>
      <c r="H30" s="255"/>
      <c r="I30" s="255"/>
      <c r="J30" s="255"/>
      <c r="K30" s="255">
        <f>(K25-SUM(K7:K18))/K25</f>
        <v>6.6666666666666666E-2</v>
      </c>
      <c r="L30" s="255">
        <f>(L25-SUM(L7:L18))/L25</f>
        <v>0</v>
      </c>
      <c r="M30" s="261">
        <f>(M25-SUM(M7:M18))/M25</f>
        <v>0.23333333333333334</v>
      </c>
      <c r="N30" s="259">
        <f>AVERAGE(B30:M30)</f>
        <v>9.9999999999999992E-2</v>
      </c>
      <c r="O30" s="5"/>
      <c r="Q30" s="5"/>
    </row>
    <row r="31" spans="1:36" x14ac:dyDescent="0.25">
      <c r="D31" s="252"/>
      <c r="E31" s="252"/>
      <c r="F31" s="252"/>
      <c r="G31" s="252"/>
      <c r="H31" s="252"/>
      <c r="I31" s="252"/>
      <c r="J31" s="252"/>
      <c r="K31" s="252"/>
      <c r="L31" s="252"/>
      <c r="M31" s="252"/>
      <c r="P31" s="5"/>
    </row>
    <row r="32" spans="1:36" x14ac:dyDescent="0.25">
      <c r="P32" s="5"/>
      <c r="Q32" s="253"/>
      <c r="R32" s="5"/>
      <c r="S32" s="5"/>
    </row>
    <row r="64" ht="16.5" customHeight="1" x14ac:dyDescent="0.25"/>
  </sheetData>
  <mergeCells count="7">
    <mergeCell ref="A23:N23"/>
    <mergeCell ref="N24:N25"/>
    <mergeCell ref="A1:B4"/>
    <mergeCell ref="C1:L4"/>
    <mergeCell ref="M2:N2"/>
    <mergeCell ref="M3:N3"/>
    <mergeCell ref="M4:N4"/>
  </mergeCells>
  <printOptions horizontalCentered="1" verticalCentered="1"/>
  <pageMargins left="0.70866141732283472" right="0.70866141732283472" top="0.74803149606299213" bottom="0.74803149606299213" header="0.31496062992125984" footer="0.31496062992125984"/>
  <pageSetup orientation="portrait"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4"/>
  <dimension ref="A1:AJ85"/>
  <sheetViews>
    <sheetView topLeftCell="A4" zoomScale="84" zoomScaleNormal="84" workbookViewId="0">
      <selection activeCell="C18" sqref="C18"/>
    </sheetView>
  </sheetViews>
  <sheetFormatPr baseColWidth="10" defaultRowHeight="16.5" x14ac:dyDescent="0.25"/>
  <cols>
    <col min="1" max="1" width="35.7109375" style="197" customWidth="1"/>
    <col min="2" max="14" width="10.7109375" style="197" customWidth="1"/>
    <col min="15" max="15" width="33.28515625" style="197" customWidth="1"/>
    <col min="16" max="16" width="13.42578125" style="197" customWidth="1"/>
    <col min="17" max="17" width="14.5703125" style="197" customWidth="1"/>
    <col min="18" max="18" width="36.140625" style="197" customWidth="1"/>
    <col min="19" max="19" width="11.42578125" style="197"/>
    <col min="20" max="20" width="45.140625" style="197" customWidth="1"/>
    <col min="21" max="21" width="11.42578125" style="197"/>
    <col min="22" max="22" width="18.42578125" style="197" customWidth="1"/>
    <col min="23" max="23" width="21.85546875" style="197" bestFit="1" customWidth="1"/>
    <col min="24" max="16384" width="11.42578125" style="197"/>
  </cols>
  <sheetData>
    <row r="1" spans="1:36" ht="16.5" customHeight="1" x14ac:dyDescent="0.25">
      <c r="A1" s="892"/>
      <c r="B1" s="893"/>
      <c r="C1" s="902" t="s">
        <v>260</v>
      </c>
      <c r="D1" s="903"/>
      <c r="E1" s="903"/>
      <c r="F1" s="903"/>
      <c r="G1" s="903"/>
      <c r="H1" s="903"/>
      <c r="I1" s="903"/>
      <c r="J1" s="903"/>
      <c r="K1" s="903"/>
      <c r="L1" s="904"/>
      <c r="M1" s="459" t="s">
        <v>550</v>
      </c>
      <c r="N1" s="353"/>
    </row>
    <row r="2" spans="1:36" ht="16.5" customHeight="1" x14ac:dyDescent="0.25">
      <c r="A2" s="894"/>
      <c r="B2" s="895"/>
      <c r="C2" s="905"/>
      <c r="D2" s="851"/>
      <c r="E2" s="851"/>
      <c r="F2" s="851"/>
      <c r="G2" s="851"/>
      <c r="H2" s="851"/>
      <c r="I2" s="851"/>
      <c r="J2" s="851"/>
      <c r="K2" s="851"/>
      <c r="L2" s="906"/>
      <c r="M2" s="819" t="s">
        <v>533</v>
      </c>
      <c r="N2" s="820"/>
    </row>
    <row r="3" spans="1:36" ht="16.5" customHeight="1" x14ac:dyDescent="0.25">
      <c r="A3" s="894"/>
      <c r="B3" s="895"/>
      <c r="C3" s="905"/>
      <c r="D3" s="851"/>
      <c r="E3" s="851"/>
      <c r="F3" s="851"/>
      <c r="G3" s="851"/>
      <c r="H3" s="851"/>
      <c r="I3" s="851"/>
      <c r="J3" s="851"/>
      <c r="K3" s="851"/>
      <c r="L3" s="906"/>
      <c r="M3" s="819" t="s">
        <v>534</v>
      </c>
      <c r="N3" s="820"/>
    </row>
    <row r="4" spans="1:36" ht="17.25" customHeight="1" thickBot="1" x14ac:dyDescent="0.3">
      <c r="A4" s="896"/>
      <c r="B4" s="897"/>
      <c r="C4" s="907"/>
      <c r="D4" s="908"/>
      <c r="E4" s="908"/>
      <c r="F4" s="908"/>
      <c r="G4" s="908"/>
      <c r="H4" s="908"/>
      <c r="I4" s="908"/>
      <c r="J4" s="908"/>
      <c r="K4" s="908"/>
      <c r="L4" s="909"/>
      <c r="M4" s="912" t="s">
        <v>545</v>
      </c>
      <c r="N4" s="857"/>
    </row>
    <row r="5" spans="1:36" ht="17.25" thickBot="1" x14ac:dyDescent="0.3"/>
    <row r="6" spans="1:36" ht="30" customHeight="1" thickBot="1" x14ac:dyDescent="0.3">
      <c r="A6" s="345" t="s">
        <v>527</v>
      </c>
      <c r="B6" s="635">
        <v>43952</v>
      </c>
      <c r="C6" s="635">
        <v>43983</v>
      </c>
      <c r="D6" s="635">
        <v>44013</v>
      </c>
      <c r="E6" s="635">
        <v>44044</v>
      </c>
      <c r="F6" s="635">
        <v>44075</v>
      </c>
      <c r="G6" s="635">
        <v>44105</v>
      </c>
      <c r="H6" s="635">
        <v>44136</v>
      </c>
      <c r="I6" s="635">
        <v>44166</v>
      </c>
      <c r="J6" s="635">
        <v>44197</v>
      </c>
      <c r="K6" s="635">
        <v>44228</v>
      </c>
      <c r="L6" s="635">
        <v>44256</v>
      </c>
      <c r="M6" s="332">
        <v>44287</v>
      </c>
      <c r="N6" s="254" t="s">
        <v>74</v>
      </c>
      <c r="O6" s="7"/>
      <c r="X6" s="249"/>
      <c r="Y6" s="249"/>
      <c r="Z6" s="249"/>
      <c r="AA6" s="249"/>
      <c r="AB6" s="249"/>
      <c r="AC6" s="249"/>
      <c r="AD6" s="249"/>
      <c r="AE6" s="249"/>
      <c r="AF6" s="249"/>
      <c r="AG6" s="249"/>
      <c r="AH6" s="249"/>
      <c r="AI6" s="249"/>
      <c r="AJ6" s="7"/>
    </row>
    <row r="7" spans="1:36" ht="33" x14ac:dyDescent="0.25">
      <c r="A7" s="552" t="s">
        <v>476</v>
      </c>
      <c r="B7" s="636">
        <v>0</v>
      </c>
      <c r="C7" s="636">
        <v>0</v>
      </c>
      <c r="D7" s="636">
        <v>0</v>
      </c>
      <c r="E7" s="636">
        <v>0</v>
      </c>
      <c r="F7" s="636">
        <v>0</v>
      </c>
      <c r="G7" s="636">
        <v>0</v>
      </c>
      <c r="H7" s="636">
        <v>0</v>
      </c>
      <c r="I7" s="636">
        <v>0</v>
      </c>
      <c r="J7" s="636">
        <v>0</v>
      </c>
      <c r="K7" s="636">
        <v>0</v>
      </c>
      <c r="L7" s="636">
        <v>0</v>
      </c>
      <c r="M7" s="333">
        <v>0</v>
      </c>
      <c r="N7" s="336">
        <f>SUM(B7:M7)</f>
        <v>0</v>
      </c>
      <c r="O7" s="505"/>
      <c r="X7" s="5"/>
      <c r="Y7" s="5"/>
      <c r="Z7" s="5"/>
      <c r="AA7" s="5"/>
      <c r="AB7" s="5"/>
      <c r="AC7" s="5"/>
      <c r="AD7" s="5"/>
      <c r="AE7" s="5"/>
      <c r="AF7" s="5"/>
      <c r="AG7" s="5"/>
      <c r="AH7" s="5"/>
      <c r="AI7" s="5"/>
      <c r="AJ7" s="7"/>
    </row>
    <row r="8" spans="1:36" ht="24.95" customHeight="1" x14ac:dyDescent="0.25">
      <c r="A8" s="331" t="s">
        <v>124</v>
      </c>
      <c r="B8" s="637">
        <v>0</v>
      </c>
      <c r="C8" s="637">
        <v>0</v>
      </c>
      <c r="D8" s="637">
        <v>0</v>
      </c>
      <c r="E8" s="637">
        <v>0</v>
      </c>
      <c r="F8" s="637">
        <v>0</v>
      </c>
      <c r="G8" s="637">
        <v>0</v>
      </c>
      <c r="H8" s="637">
        <v>0</v>
      </c>
      <c r="I8" s="637">
        <v>0</v>
      </c>
      <c r="J8" s="637">
        <v>0</v>
      </c>
      <c r="K8" s="637">
        <v>0</v>
      </c>
      <c r="L8" s="637">
        <v>0</v>
      </c>
      <c r="M8" s="334">
        <v>0</v>
      </c>
      <c r="N8" s="337">
        <f t="shared" ref="N8:N18" si="0">SUM(B8:M8)</f>
        <v>0</v>
      </c>
      <c r="O8" s="7"/>
      <c r="X8" s="5"/>
      <c r="Y8" s="5"/>
      <c r="Z8" s="5"/>
      <c r="AA8" s="5"/>
      <c r="AB8" s="5"/>
      <c r="AC8" s="5"/>
      <c r="AD8" s="5"/>
      <c r="AE8" s="5"/>
      <c r="AF8" s="5"/>
      <c r="AG8" s="5"/>
      <c r="AH8" s="5"/>
      <c r="AI8" s="5"/>
      <c r="AJ8" s="7"/>
    </row>
    <row r="9" spans="1:36" ht="24.95" customHeight="1" x14ac:dyDescent="0.25">
      <c r="A9" s="331" t="s">
        <v>265</v>
      </c>
      <c r="B9" s="637">
        <v>0</v>
      </c>
      <c r="C9" s="637">
        <v>0</v>
      </c>
      <c r="D9" s="637">
        <v>0</v>
      </c>
      <c r="E9" s="637">
        <v>0</v>
      </c>
      <c r="F9" s="637">
        <v>0</v>
      </c>
      <c r="G9" s="637">
        <v>0</v>
      </c>
      <c r="H9" s="637">
        <v>2.5</v>
      </c>
      <c r="I9" s="637">
        <v>0</v>
      </c>
      <c r="J9" s="637">
        <v>0</v>
      </c>
      <c r="K9" s="637">
        <v>0</v>
      </c>
      <c r="L9" s="637">
        <v>0</v>
      </c>
      <c r="M9" s="334">
        <v>0</v>
      </c>
      <c r="N9" s="337">
        <f t="shared" si="0"/>
        <v>2.5</v>
      </c>
      <c r="O9" s="7"/>
      <c r="X9" s="5"/>
      <c r="Y9" s="5"/>
      <c r="Z9" s="5"/>
      <c r="AA9" s="5"/>
      <c r="AB9" s="5"/>
      <c r="AC9" s="5"/>
      <c r="AD9" s="5"/>
      <c r="AE9" s="5"/>
      <c r="AF9" s="5"/>
      <c r="AG9" s="5"/>
      <c r="AH9" s="5"/>
      <c r="AI9" s="5"/>
      <c r="AJ9" s="7"/>
    </row>
    <row r="10" spans="1:36" ht="24.95" customHeight="1" x14ac:dyDescent="0.25">
      <c r="A10" s="331" t="s">
        <v>477</v>
      </c>
      <c r="B10" s="637">
        <v>482</v>
      </c>
      <c r="C10" s="637">
        <v>592</v>
      </c>
      <c r="D10" s="637">
        <v>427</v>
      </c>
      <c r="E10" s="637">
        <v>553</v>
      </c>
      <c r="F10" s="637">
        <v>570</v>
      </c>
      <c r="G10" s="637">
        <v>506.6</v>
      </c>
      <c r="H10" s="637">
        <v>484</v>
      </c>
      <c r="I10" s="637">
        <v>608.5</v>
      </c>
      <c r="J10" s="637">
        <v>576</v>
      </c>
      <c r="K10" s="637">
        <v>462</v>
      </c>
      <c r="L10" s="637">
        <v>563</v>
      </c>
      <c r="M10" s="334">
        <v>599</v>
      </c>
      <c r="N10" s="337">
        <f t="shared" si="0"/>
        <v>6423.1</v>
      </c>
      <c r="O10" s="7"/>
      <c r="X10" s="5"/>
      <c r="Y10" s="5"/>
      <c r="Z10" s="5"/>
      <c r="AA10" s="5"/>
      <c r="AB10" s="5"/>
      <c r="AC10" s="5"/>
      <c r="AD10" s="5"/>
      <c r="AE10" s="5"/>
      <c r="AF10" s="5"/>
      <c r="AG10" s="5"/>
      <c r="AH10" s="5"/>
      <c r="AI10" s="5"/>
      <c r="AJ10" s="7"/>
    </row>
    <row r="11" spans="1:36" ht="24.95" customHeight="1" x14ac:dyDescent="0.25">
      <c r="A11" s="331" t="s">
        <v>478</v>
      </c>
      <c r="B11" s="637">
        <v>0</v>
      </c>
      <c r="C11" s="637">
        <v>0</v>
      </c>
      <c r="D11" s="637">
        <v>0</v>
      </c>
      <c r="E11" s="637">
        <v>0</v>
      </c>
      <c r="F11" s="637">
        <v>0</v>
      </c>
      <c r="G11" s="637">
        <v>0</v>
      </c>
      <c r="H11" s="637">
        <v>0</v>
      </c>
      <c r="I11" s="637">
        <v>0</v>
      </c>
      <c r="J11" s="637">
        <v>0</v>
      </c>
      <c r="K11" s="637">
        <v>0</v>
      </c>
      <c r="L11" s="637">
        <v>0</v>
      </c>
      <c r="M11" s="334">
        <v>0</v>
      </c>
      <c r="N11" s="337">
        <f t="shared" si="0"/>
        <v>0</v>
      </c>
      <c r="O11" s="7"/>
      <c r="X11" s="5"/>
      <c r="Y11" s="5"/>
      <c r="Z11" s="5"/>
      <c r="AA11" s="5"/>
      <c r="AB11" s="5"/>
      <c r="AC11" s="5"/>
      <c r="AD11" s="5"/>
      <c r="AE11" s="5"/>
      <c r="AF11" s="5"/>
      <c r="AG11" s="5"/>
      <c r="AH11" s="5"/>
      <c r="AI11" s="5"/>
      <c r="AJ11" s="7"/>
    </row>
    <row r="12" spans="1:36" ht="24.95" customHeight="1" x14ac:dyDescent="0.25">
      <c r="A12" s="331" t="s">
        <v>399</v>
      </c>
      <c r="B12" s="637">
        <v>0</v>
      </c>
      <c r="C12" s="637">
        <v>0</v>
      </c>
      <c r="D12" s="637">
        <v>0</v>
      </c>
      <c r="E12" s="637">
        <v>0</v>
      </c>
      <c r="F12" s="637">
        <v>0</v>
      </c>
      <c r="G12" s="637">
        <v>0</v>
      </c>
      <c r="H12" s="637">
        <v>0</v>
      </c>
      <c r="I12" s="637">
        <v>0</v>
      </c>
      <c r="J12" s="637">
        <v>0</v>
      </c>
      <c r="K12" s="637">
        <v>0.5</v>
      </c>
      <c r="L12" s="637">
        <v>0</v>
      </c>
      <c r="M12" s="334">
        <v>0</v>
      </c>
      <c r="N12" s="337">
        <f t="shared" si="0"/>
        <v>0.5</v>
      </c>
      <c r="O12" s="7"/>
      <c r="X12" s="5"/>
      <c r="Y12" s="5"/>
      <c r="Z12" s="5"/>
      <c r="AA12" s="5"/>
      <c r="AB12" s="5"/>
      <c r="AC12" s="5"/>
      <c r="AD12" s="5"/>
      <c r="AE12" s="5"/>
      <c r="AF12" s="5"/>
      <c r="AG12" s="5"/>
      <c r="AH12" s="5"/>
      <c r="AI12" s="5"/>
      <c r="AJ12" s="7"/>
    </row>
    <row r="13" spans="1:36" ht="24.95" customHeight="1" x14ac:dyDescent="0.25">
      <c r="A13" s="331" t="s">
        <v>269</v>
      </c>
      <c r="B13" s="637">
        <v>1</v>
      </c>
      <c r="C13" s="637">
        <v>0</v>
      </c>
      <c r="D13" s="637">
        <v>0</v>
      </c>
      <c r="E13" s="637">
        <v>0</v>
      </c>
      <c r="F13" s="637">
        <v>4</v>
      </c>
      <c r="G13" s="637">
        <v>7.5</v>
      </c>
      <c r="H13" s="637">
        <v>0</v>
      </c>
      <c r="I13" s="637">
        <v>0</v>
      </c>
      <c r="J13" s="637">
        <v>0</v>
      </c>
      <c r="K13" s="637">
        <v>0</v>
      </c>
      <c r="L13" s="637">
        <v>0</v>
      </c>
      <c r="M13" s="334">
        <v>0</v>
      </c>
      <c r="N13" s="337">
        <f t="shared" si="0"/>
        <v>12.5</v>
      </c>
      <c r="O13" s="7"/>
      <c r="X13" s="5"/>
      <c r="Y13" s="5"/>
      <c r="Z13" s="5"/>
      <c r="AA13" s="5"/>
      <c r="AB13" s="5"/>
      <c r="AC13" s="5"/>
      <c r="AD13" s="5"/>
      <c r="AE13" s="5"/>
      <c r="AF13" s="5"/>
      <c r="AG13" s="5"/>
      <c r="AH13" s="5"/>
      <c r="AI13" s="5"/>
      <c r="AJ13" s="7"/>
    </row>
    <row r="14" spans="1:36" ht="24.95" customHeight="1" x14ac:dyDescent="0.25">
      <c r="A14" s="331" t="s">
        <v>270</v>
      </c>
      <c r="B14" s="637">
        <v>0</v>
      </c>
      <c r="C14" s="637">
        <v>0</v>
      </c>
      <c r="D14" s="637">
        <v>0</v>
      </c>
      <c r="E14" s="637">
        <v>0</v>
      </c>
      <c r="F14" s="637">
        <v>0</v>
      </c>
      <c r="G14" s="637">
        <v>0</v>
      </c>
      <c r="H14" s="637">
        <v>0</v>
      </c>
      <c r="I14" s="637">
        <v>0</v>
      </c>
      <c r="J14" s="637">
        <v>0</v>
      </c>
      <c r="K14" s="637">
        <v>0</v>
      </c>
      <c r="L14" s="637">
        <v>0</v>
      </c>
      <c r="M14" s="334">
        <v>0</v>
      </c>
      <c r="N14" s="337">
        <f t="shared" si="0"/>
        <v>0</v>
      </c>
      <c r="O14" s="7"/>
      <c r="X14" s="5"/>
      <c r="Y14" s="5"/>
      <c r="Z14" s="5"/>
      <c r="AA14" s="5"/>
      <c r="AB14" s="5"/>
      <c r="AC14" s="5"/>
      <c r="AD14" s="5"/>
      <c r="AE14" s="5"/>
      <c r="AF14" s="5"/>
      <c r="AG14" s="5"/>
      <c r="AH14" s="5"/>
      <c r="AI14" s="5"/>
      <c r="AJ14" s="7"/>
    </row>
    <row r="15" spans="1:36" ht="24.95" customHeight="1" x14ac:dyDescent="0.25">
      <c r="A15" s="331" t="s">
        <v>479</v>
      </c>
      <c r="B15" s="637">
        <v>0</v>
      </c>
      <c r="C15" s="637">
        <v>4</v>
      </c>
      <c r="D15" s="637">
        <v>0</v>
      </c>
      <c r="E15" s="637">
        <v>0</v>
      </c>
      <c r="F15" s="637">
        <v>0</v>
      </c>
      <c r="G15" s="637">
        <v>0</v>
      </c>
      <c r="H15" s="637">
        <v>0</v>
      </c>
      <c r="I15" s="637">
        <v>0</v>
      </c>
      <c r="J15" s="637">
        <v>0</v>
      </c>
      <c r="K15" s="637">
        <v>0</v>
      </c>
      <c r="L15" s="637">
        <v>0</v>
      </c>
      <c r="M15" s="334">
        <v>0</v>
      </c>
      <c r="N15" s="337">
        <f t="shared" si="0"/>
        <v>4</v>
      </c>
      <c r="O15" s="7"/>
      <c r="X15" s="5"/>
      <c r="Y15" s="5"/>
      <c r="Z15" s="5"/>
      <c r="AA15" s="5"/>
      <c r="AB15" s="5"/>
      <c r="AC15" s="5"/>
      <c r="AD15" s="5"/>
      <c r="AE15" s="5"/>
      <c r="AF15" s="5"/>
      <c r="AG15" s="5"/>
      <c r="AH15" s="5"/>
      <c r="AI15" s="5"/>
      <c r="AJ15" s="7"/>
    </row>
    <row r="16" spans="1:36" ht="24.95" customHeight="1" x14ac:dyDescent="0.25">
      <c r="A16" s="331" t="s">
        <v>480</v>
      </c>
      <c r="B16" s="637">
        <v>0</v>
      </c>
      <c r="C16" s="637">
        <v>0</v>
      </c>
      <c r="D16" s="637">
        <v>0</v>
      </c>
      <c r="E16" s="637">
        <v>0</v>
      </c>
      <c r="F16" s="637">
        <v>0</v>
      </c>
      <c r="G16" s="637">
        <v>0</v>
      </c>
      <c r="H16" s="637">
        <v>0</v>
      </c>
      <c r="I16" s="637">
        <v>0</v>
      </c>
      <c r="J16" s="637">
        <v>0</v>
      </c>
      <c r="K16" s="637">
        <v>0</v>
      </c>
      <c r="L16" s="637">
        <v>0</v>
      </c>
      <c r="M16" s="334">
        <v>0</v>
      </c>
      <c r="N16" s="337">
        <f t="shared" si="0"/>
        <v>0</v>
      </c>
      <c r="O16" s="7"/>
      <c r="X16" s="5"/>
      <c r="Y16" s="5"/>
      <c r="Z16" s="5"/>
      <c r="AA16" s="5"/>
      <c r="AB16" s="5"/>
      <c r="AC16" s="5"/>
      <c r="AD16" s="5"/>
      <c r="AE16" s="5"/>
      <c r="AF16" s="5"/>
      <c r="AG16" s="5"/>
      <c r="AH16" s="5"/>
      <c r="AI16" s="5"/>
      <c r="AJ16" s="7"/>
    </row>
    <row r="17" spans="1:36" ht="24.95" customHeight="1" x14ac:dyDescent="0.25">
      <c r="A17" s="331" t="s">
        <v>121</v>
      </c>
      <c r="B17" s="637">
        <v>0</v>
      </c>
      <c r="C17" s="637">
        <v>0</v>
      </c>
      <c r="D17" s="637">
        <v>0</v>
      </c>
      <c r="E17" s="637">
        <v>0</v>
      </c>
      <c r="F17" s="637">
        <v>0</v>
      </c>
      <c r="G17" s="637">
        <v>0</v>
      </c>
      <c r="H17" s="637">
        <v>0</v>
      </c>
      <c r="I17" s="637">
        <v>0</v>
      </c>
      <c r="J17" s="637">
        <v>0</v>
      </c>
      <c r="K17" s="637">
        <v>0</v>
      </c>
      <c r="L17" s="637">
        <v>0</v>
      </c>
      <c r="M17" s="334">
        <v>0</v>
      </c>
      <c r="N17" s="337">
        <f t="shared" si="0"/>
        <v>0</v>
      </c>
      <c r="O17" s="7"/>
      <c r="X17" s="5"/>
      <c r="Y17" s="5"/>
      <c r="Z17" s="5"/>
      <c r="AA17" s="5"/>
      <c r="AB17" s="5"/>
      <c r="AC17" s="5"/>
      <c r="AD17" s="5"/>
      <c r="AE17" s="5"/>
      <c r="AF17" s="5"/>
      <c r="AG17" s="5"/>
      <c r="AH17" s="5"/>
      <c r="AI17" s="5"/>
      <c r="AJ17" s="7"/>
    </row>
    <row r="18" spans="1:36" ht="24.95" customHeight="1" thickBot="1" x14ac:dyDescent="0.3">
      <c r="A18" s="577" t="s">
        <v>481</v>
      </c>
      <c r="B18" s="654">
        <v>0</v>
      </c>
      <c r="C18" s="654">
        <v>0</v>
      </c>
      <c r="D18" s="654">
        <v>0</v>
      </c>
      <c r="E18" s="654">
        <v>0</v>
      </c>
      <c r="F18" s="654">
        <v>0</v>
      </c>
      <c r="G18" s="654">
        <v>0</v>
      </c>
      <c r="H18" s="654">
        <v>0</v>
      </c>
      <c r="I18" s="654">
        <v>0</v>
      </c>
      <c r="J18" s="654">
        <v>0</v>
      </c>
      <c r="K18" s="654">
        <v>0</v>
      </c>
      <c r="L18" s="654">
        <v>0</v>
      </c>
      <c r="M18" s="594">
        <v>0</v>
      </c>
      <c r="N18" s="579">
        <f t="shared" si="0"/>
        <v>0</v>
      </c>
      <c r="O18" s="7"/>
      <c r="X18" s="5"/>
      <c r="Y18" s="5"/>
      <c r="Z18" s="5"/>
      <c r="AA18" s="5"/>
      <c r="AB18" s="5"/>
      <c r="AC18" s="5"/>
      <c r="AD18" s="5"/>
      <c r="AE18" s="5"/>
      <c r="AF18" s="5"/>
      <c r="AG18" s="5"/>
      <c r="AH18" s="5"/>
      <c r="AI18" s="5"/>
      <c r="AJ18" s="7"/>
    </row>
    <row r="19" spans="1:36" ht="24.95" customHeight="1" x14ac:dyDescent="0.25">
      <c r="A19" s="595" t="s">
        <v>496</v>
      </c>
      <c r="B19" s="600">
        <f>B25</f>
        <v>744</v>
      </c>
      <c r="C19" s="583">
        <f t="shared" ref="C19:M19" si="1">C25</f>
        <v>720</v>
      </c>
      <c r="D19" s="583">
        <f t="shared" si="1"/>
        <v>744</v>
      </c>
      <c r="E19" s="583">
        <f t="shared" si="1"/>
        <v>744</v>
      </c>
      <c r="F19" s="583">
        <f t="shared" si="1"/>
        <v>720</v>
      </c>
      <c r="G19" s="583">
        <f t="shared" si="1"/>
        <v>744</v>
      </c>
      <c r="H19" s="583">
        <f t="shared" si="1"/>
        <v>720</v>
      </c>
      <c r="I19" s="583">
        <f t="shared" si="1"/>
        <v>744</v>
      </c>
      <c r="J19" s="583">
        <f t="shared" si="1"/>
        <v>744</v>
      </c>
      <c r="K19" s="583">
        <f t="shared" si="1"/>
        <v>672</v>
      </c>
      <c r="L19" s="583">
        <f t="shared" si="1"/>
        <v>744</v>
      </c>
      <c r="M19" s="601">
        <f t="shared" si="1"/>
        <v>720</v>
      </c>
      <c r="N19" s="604">
        <f>SUM(B19:M19)</f>
        <v>8760</v>
      </c>
      <c r="O19" s="7"/>
      <c r="X19" s="5"/>
      <c r="Y19" s="5"/>
      <c r="Z19" s="5"/>
      <c r="AA19" s="5"/>
      <c r="AB19" s="5"/>
      <c r="AC19" s="5"/>
      <c r="AD19" s="5"/>
      <c r="AE19" s="5"/>
      <c r="AF19" s="5"/>
      <c r="AG19" s="5"/>
      <c r="AH19" s="5"/>
      <c r="AI19" s="5"/>
      <c r="AJ19" s="7"/>
    </row>
    <row r="20" spans="1:36" ht="21" customHeight="1" x14ac:dyDescent="0.25">
      <c r="A20" s="596" t="s">
        <v>498</v>
      </c>
      <c r="B20" s="602">
        <f t="shared" ref="B20:M20" si="2">SUM(B7:B18)</f>
        <v>483</v>
      </c>
      <c r="C20" s="568">
        <f t="shared" si="2"/>
        <v>596</v>
      </c>
      <c r="D20" s="568">
        <f t="shared" si="2"/>
        <v>427</v>
      </c>
      <c r="E20" s="568">
        <f t="shared" si="2"/>
        <v>553</v>
      </c>
      <c r="F20" s="568">
        <f t="shared" si="2"/>
        <v>574</v>
      </c>
      <c r="G20" s="568">
        <f t="shared" si="2"/>
        <v>514.1</v>
      </c>
      <c r="H20" s="568">
        <f t="shared" si="2"/>
        <v>486.5</v>
      </c>
      <c r="I20" s="568">
        <f t="shared" si="2"/>
        <v>608.5</v>
      </c>
      <c r="J20" s="568">
        <f t="shared" si="2"/>
        <v>576</v>
      </c>
      <c r="K20" s="568">
        <f t="shared" si="2"/>
        <v>462.5</v>
      </c>
      <c r="L20" s="568">
        <f t="shared" si="2"/>
        <v>563</v>
      </c>
      <c r="M20" s="603">
        <f t="shared" si="2"/>
        <v>599</v>
      </c>
      <c r="N20" s="598">
        <f>SUM(B20:M20)</f>
        <v>6442.6</v>
      </c>
      <c r="O20" s="5"/>
      <c r="X20" s="5"/>
      <c r="Y20" s="5"/>
      <c r="Z20" s="5"/>
      <c r="AA20" s="5"/>
      <c r="AB20" s="5"/>
      <c r="AC20" s="5"/>
      <c r="AD20" s="5"/>
      <c r="AE20" s="5"/>
      <c r="AF20" s="5"/>
      <c r="AG20" s="5"/>
      <c r="AH20" s="251"/>
      <c r="AI20" s="251"/>
      <c r="AJ20" s="250"/>
    </row>
    <row r="21" spans="1:36" ht="17.25" customHeight="1" x14ac:dyDescent="0.25">
      <c r="A21" s="596" t="s">
        <v>497</v>
      </c>
      <c r="B21" s="602">
        <f>B19-B20</f>
        <v>261</v>
      </c>
      <c r="C21" s="568">
        <f t="shared" ref="C21:M21" si="3">C19-C20</f>
        <v>124</v>
      </c>
      <c r="D21" s="568">
        <f t="shared" si="3"/>
        <v>317</v>
      </c>
      <c r="E21" s="568">
        <f t="shared" si="3"/>
        <v>191</v>
      </c>
      <c r="F21" s="568">
        <f t="shared" si="3"/>
        <v>146</v>
      </c>
      <c r="G21" s="568">
        <f t="shared" si="3"/>
        <v>229.89999999999998</v>
      </c>
      <c r="H21" s="568">
        <f t="shared" si="3"/>
        <v>233.5</v>
      </c>
      <c r="I21" s="568">
        <f t="shared" si="3"/>
        <v>135.5</v>
      </c>
      <c r="J21" s="568">
        <f t="shared" si="3"/>
        <v>168</v>
      </c>
      <c r="K21" s="568">
        <f t="shared" si="3"/>
        <v>209.5</v>
      </c>
      <c r="L21" s="568">
        <f t="shared" si="3"/>
        <v>181</v>
      </c>
      <c r="M21" s="603">
        <f t="shared" si="3"/>
        <v>121</v>
      </c>
      <c r="N21" s="598">
        <f>SUM(B21:M21)</f>
        <v>2317.4</v>
      </c>
      <c r="O21" s="5"/>
      <c r="X21" s="5"/>
      <c r="Y21" s="5"/>
      <c r="Z21" s="5"/>
      <c r="AA21" s="5"/>
      <c r="AB21" s="5"/>
      <c r="AC21" s="5"/>
      <c r="AD21" s="5"/>
      <c r="AE21" s="5"/>
      <c r="AF21" s="5"/>
      <c r="AG21" s="5"/>
      <c r="AH21" s="5"/>
      <c r="AI21" s="5"/>
      <c r="AJ21" s="250"/>
    </row>
    <row r="22" spans="1:36" ht="21" customHeight="1" thickBot="1" x14ac:dyDescent="0.3">
      <c r="A22" s="597" t="s">
        <v>500</v>
      </c>
      <c r="B22" s="581" t="s">
        <v>63</v>
      </c>
      <c r="C22" s="605">
        <f>INVENTARIOS!D22/'PARADAS P3'!C21</f>
        <v>3.6545967741935486</v>
      </c>
      <c r="D22" s="605">
        <f>INVENTARIOS!E22/'PARADAS P3'!D21</f>
        <v>3.8288075709779177</v>
      </c>
      <c r="E22" s="605">
        <f>INVENTARIOS!F22/'PARADAS P3'!E21</f>
        <v>3.3994345549738223</v>
      </c>
      <c r="F22" s="605">
        <f>INVENTARIOS!G22/'PARADAS P3'!F21</f>
        <v>3.9370136986301367</v>
      </c>
      <c r="G22" s="605">
        <f>INVENTARIOS!H22/'PARADAS P3'!G21</f>
        <v>3.6558851674641155</v>
      </c>
      <c r="H22" s="605">
        <f>INVENTARIOS!I22/'PARADAS P3'!H21</f>
        <v>3.8171134903640258</v>
      </c>
      <c r="I22" s="605">
        <f>INVENTARIOS!J22/'PARADAS P3'!I21</f>
        <v>3.7151586715867158</v>
      </c>
      <c r="J22" s="605">
        <f>INVENTARIOS!K22/'PARADAS P3'!J21</f>
        <v>3.7667083333333333</v>
      </c>
      <c r="K22" s="605">
        <f>INVENTARIOS!L22/'PARADAS P3'!K21</f>
        <v>3.8038615751789977</v>
      </c>
      <c r="L22" s="605">
        <f>INVENTARIOS!M22/'PARADAS P3'!L21</f>
        <v>3.4567071823204421</v>
      </c>
      <c r="M22" s="606">
        <f>INVENTARIOS!N22/'PARADAS P3'!M21</f>
        <v>3.671404958677686</v>
      </c>
      <c r="N22" s="599">
        <f>AVERAGE(B22:M22)</f>
        <v>3.7006083616091585</v>
      </c>
      <c r="O22" s="5"/>
      <c r="X22" s="5"/>
      <c r="Y22" s="5"/>
      <c r="Z22" s="5"/>
      <c r="AA22" s="5"/>
      <c r="AB22" s="5"/>
      <c r="AC22" s="5"/>
      <c r="AD22" s="5"/>
      <c r="AE22" s="5"/>
      <c r="AF22" s="5"/>
      <c r="AG22" s="5"/>
      <c r="AH22" s="5"/>
      <c r="AI22" s="5"/>
      <c r="AJ22" s="250"/>
    </row>
    <row r="23" spans="1:36" ht="17.25" thickBot="1" x14ac:dyDescent="0.3">
      <c r="A23" s="952"/>
      <c r="B23" s="952"/>
      <c r="C23" s="952"/>
      <c r="D23" s="952"/>
      <c r="E23" s="952"/>
      <c r="F23" s="952"/>
      <c r="G23" s="952"/>
      <c r="H23" s="952"/>
      <c r="I23" s="952"/>
      <c r="J23" s="952"/>
      <c r="K23" s="952"/>
      <c r="L23" s="952"/>
      <c r="M23" s="952"/>
      <c r="N23" s="952"/>
      <c r="O23" s="5"/>
    </row>
    <row r="24" spans="1:36" ht="24.95" customHeight="1" thickBot="1" x14ac:dyDescent="0.3">
      <c r="A24" s="284" t="s">
        <v>106</v>
      </c>
      <c r="B24" s="299">
        <f>+'INDICADORES MANTENIMIENTO P3'!C6</f>
        <v>43952</v>
      </c>
      <c r="C24" s="300">
        <f>+'INDICADORES MANTENIMIENTO P3'!D6</f>
        <v>43983</v>
      </c>
      <c r="D24" s="300">
        <f>+'INDICADORES MANTENIMIENTO P3'!E6</f>
        <v>44013</v>
      </c>
      <c r="E24" s="300">
        <f>+'INDICADORES MANTENIMIENTO P3'!F6</f>
        <v>44044</v>
      </c>
      <c r="F24" s="300">
        <f>+'INDICADORES MANTENIMIENTO P3'!G6</f>
        <v>44075</v>
      </c>
      <c r="G24" s="300">
        <f>+'INDICADORES MANTENIMIENTO P3'!H6</f>
        <v>44105</v>
      </c>
      <c r="H24" s="300">
        <f>+'INDICADORES MANTENIMIENTO P3'!I6</f>
        <v>44136</v>
      </c>
      <c r="I24" s="300">
        <f>+'INDICADORES MANTENIMIENTO P3'!J6</f>
        <v>44166</v>
      </c>
      <c r="J24" s="300">
        <f>+'INDICADORES MANTENIMIENTO P3'!K6</f>
        <v>44197</v>
      </c>
      <c r="K24" s="300">
        <f>+'INDICADORES MANTENIMIENTO P3'!L6</f>
        <v>44228</v>
      </c>
      <c r="L24" s="300">
        <f>+'INDICADORES MANTENIMIENTO P3'!M6</f>
        <v>44256</v>
      </c>
      <c r="M24" s="301">
        <f>+'INDICADORES MANTENIMIENTO P3'!N6</f>
        <v>44287</v>
      </c>
      <c r="N24" s="950" t="s">
        <v>105</v>
      </c>
      <c r="O24" s="5"/>
    </row>
    <row r="25" spans="1:36" ht="24.95" customHeight="1" thickBot="1" x14ac:dyDescent="0.3">
      <c r="A25" s="552" t="s">
        <v>403</v>
      </c>
      <c r="B25" s="296">
        <f>+DAY(EOMONTH(B24,0))*24</f>
        <v>744</v>
      </c>
      <c r="C25" s="297">
        <f t="shared" ref="C25:M25" si="4">+DAY(EOMONTH(C24,0))*24</f>
        <v>720</v>
      </c>
      <c r="D25" s="297">
        <f t="shared" si="4"/>
        <v>744</v>
      </c>
      <c r="E25" s="297">
        <f t="shared" si="4"/>
        <v>744</v>
      </c>
      <c r="F25" s="297">
        <f t="shared" si="4"/>
        <v>720</v>
      </c>
      <c r="G25" s="297">
        <f t="shared" si="4"/>
        <v>744</v>
      </c>
      <c r="H25" s="297">
        <f t="shared" si="4"/>
        <v>720</v>
      </c>
      <c r="I25" s="297">
        <f t="shared" si="4"/>
        <v>744</v>
      </c>
      <c r="J25" s="297">
        <f t="shared" si="4"/>
        <v>744</v>
      </c>
      <c r="K25" s="297">
        <f t="shared" si="4"/>
        <v>672</v>
      </c>
      <c r="L25" s="297">
        <f t="shared" si="4"/>
        <v>744</v>
      </c>
      <c r="M25" s="298">
        <f t="shared" si="4"/>
        <v>720</v>
      </c>
      <c r="N25" s="951"/>
      <c r="O25" s="5"/>
    </row>
    <row r="26" spans="1:36" ht="24.95" customHeight="1" x14ac:dyDescent="0.25">
      <c r="A26" s="569" t="s">
        <v>491</v>
      </c>
      <c r="B26" s="302">
        <f>'INDICADORES MANTENIMIENTO P3'!C7</f>
        <v>100</v>
      </c>
      <c r="C26" s="303">
        <f>'INDICADORES MANTENIMIENTO P3'!D7</f>
        <v>99</v>
      </c>
      <c r="D26" s="303">
        <f>'INDICADORES MANTENIMIENTO P3'!E7</f>
        <v>100</v>
      </c>
      <c r="E26" s="303">
        <f>'INDICADORES MANTENIMIENTO P3'!F7</f>
        <v>100</v>
      </c>
      <c r="F26" s="303">
        <f>'INDICADORES MANTENIMIENTO P3'!G7</f>
        <v>100</v>
      </c>
      <c r="G26" s="303">
        <f>'INDICADORES MANTENIMIENTO P3'!H7</f>
        <v>100</v>
      </c>
      <c r="H26" s="303">
        <f>'INDICADORES MANTENIMIENTO P3'!I7</f>
        <v>99.6</v>
      </c>
      <c r="I26" s="303">
        <f>'INDICADORES MANTENIMIENTO P3'!J7</f>
        <v>100</v>
      </c>
      <c r="J26" s="303">
        <f>'INDICADORES MANTENIMIENTO P3'!K7</f>
        <v>100</v>
      </c>
      <c r="K26" s="303">
        <f>'INDICADORES MANTENIMIENTO P3'!L7</f>
        <v>100</v>
      </c>
      <c r="L26" s="303">
        <f>'INDICADORES MANTENIMIENTO P3'!M7</f>
        <v>100</v>
      </c>
      <c r="M26" s="304">
        <f>'INDICADORES MANTENIMIENTO P3'!N7</f>
        <v>0</v>
      </c>
      <c r="N26" s="305">
        <f>+'INDICADORES MANTENIMIENTO P1'!O7</f>
        <v>98.61</v>
      </c>
      <c r="O26" s="5"/>
    </row>
    <row r="27" spans="1:36" ht="24.95" customHeight="1" x14ac:dyDescent="0.25">
      <c r="A27" s="293" t="s">
        <v>492</v>
      </c>
      <c r="B27" s="302">
        <f>+'INDICADORES MANTENIMIENTO P3'!C8</f>
        <v>0</v>
      </c>
      <c r="C27" s="303">
        <f>+'INDICADORES MANTENIMIENTO P3'!D8</f>
        <v>0.6</v>
      </c>
      <c r="D27" s="303">
        <f>+'INDICADORES MANTENIMIENTO P3'!E8</f>
        <v>0</v>
      </c>
      <c r="E27" s="303">
        <f>+'INDICADORES MANTENIMIENTO P3'!F8</f>
        <v>0</v>
      </c>
      <c r="F27" s="303">
        <f>+'INDICADORES MANTENIMIENTO P3'!G8</f>
        <v>0</v>
      </c>
      <c r="G27" s="303">
        <f>+'INDICADORES MANTENIMIENTO P3'!H8</f>
        <v>0</v>
      </c>
      <c r="H27" s="303">
        <f>+'INDICADORES MANTENIMIENTO P3'!I8</f>
        <v>0.35</v>
      </c>
      <c r="I27" s="303">
        <f>+'INDICADORES MANTENIMIENTO P3'!J8</f>
        <v>0</v>
      </c>
      <c r="J27" s="303">
        <f>+'INDICADORES MANTENIMIENTO P3'!K8</f>
        <v>0</v>
      </c>
      <c r="K27" s="303">
        <f>+'INDICADORES MANTENIMIENTO P3'!L8</f>
        <v>0</v>
      </c>
      <c r="L27" s="303">
        <f>+'INDICADORES MANTENIMIENTO P3'!M8</f>
        <v>0</v>
      </c>
      <c r="M27" s="304">
        <f>+'INDICADORES MANTENIMIENTO P3'!N8</f>
        <v>0</v>
      </c>
      <c r="N27" s="306" t="str">
        <f>+'INDICADORES MANTENIMIENTO P1'!O8</f>
        <v>-</v>
      </c>
      <c r="O27" s="5"/>
    </row>
    <row r="28" spans="1:36" ht="24.95" customHeight="1" x14ac:dyDescent="0.25">
      <c r="A28" s="293" t="s">
        <v>406</v>
      </c>
      <c r="B28" s="307">
        <f>+'INDICADORES MANTENIMIENTO P3'!C9</f>
        <v>0</v>
      </c>
      <c r="C28" s="308">
        <f>+'INDICADORES MANTENIMIENTO P3'!D9</f>
        <v>0</v>
      </c>
      <c r="D28" s="308">
        <f>+'INDICADORES MANTENIMIENTO P3'!E9</f>
        <v>0</v>
      </c>
      <c r="E28" s="308">
        <f>+'INDICADORES MANTENIMIENTO P3'!F9</f>
        <v>0</v>
      </c>
      <c r="F28" s="308">
        <f>+'INDICADORES MANTENIMIENTO P3'!G9</f>
        <v>0</v>
      </c>
      <c r="G28" s="308">
        <f>+'INDICADORES MANTENIMIENTO P3'!H9</f>
        <v>0</v>
      </c>
      <c r="H28" s="308">
        <f>+'INDICADORES MANTENIMIENTO P3'!I9</f>
        <v>0</v>
      </c>
      <c r="I28" s="308">
        <f>+'INDICADORES MANTENIMIENTO P3'!J9</f>
        <v>0</v>
      </c>
      <c r="J28" s="308">
        <f>+'INDICADORES MANTENIMIENTO P3'!K9</f>
        <v>0</v>
      </c>
      <c r="K28" s="308">
        <f>+'INDICADORES MANTENIMIENTO P3'!L9</f>
        <v>0</v>
      </c>
      <c r="L28" s="308">
        <f>+'INDICADORES MANTENIMIENTO P3'!M9</f>
        <v>0</v>
      </c>
      <c r="M28" s="309">
        <f>+'INDICADORES MANTENIMIENTO P3'!N9</f>
        <v>0</v>
      </c>
      <c r="N28" s="306">
        <f>+'INDICADORES MANTENIMIENTO P1'!O9</f>
        <v>2.0166666666666671</v>
      </c>
      <c r="O28" s="5"/>
    </row>
    <row r="29" spans="1:36" ht="17.25" thickBot="1" x14ac:dyDescent="0.3">
      <c r="A29" s="294" t="s">
        <v>493</v>
      </c>
      <c r="B29" s="310">
        <f>+'INDICADORES MANTENIMIENTO P3'!C10</f>
        <v>90</v>
      </c>
      <c r="C29" s="311">
        <f>+'INDICADORES MANTENIMIENTO P3'!D10</f>
        <v>91</v>
      </c>
      <c r="D29" s="311">
        <f>+'INDICADORES MANTENIMIENTO P3'!E10</f>
        <v>90.1</v>
      </c>
      <c r="E29" s="311">
        <f>+'INDICADORES MANTENIMIENTO P3'!F10</f>
        <v>91.5</v>
      </c>
      <c r="F29" s="311">
        <f>+'INDICADORES MANTENIMIENTO P3'!G10</f>
        <v>91.5</v>
      </c>
      <c r="G29" s="311">
        <f>+'INDICADORES MANTENIMIENTO P3'!H10</f>
        <v>93.7</v>
      </c>
      <c r="H29" s="311">
        <f>+'INDICADORES MANTENIMIENTO P3'!I10</f>
        <v>93.6</v>
      </c>
      <c r="I29" s="311">
        <f>+'INDICADORES MANTENIMIENTO P3'!J10</f>
        <v>94.1</v>
      </c>
      <c r="J29" s="311">
        <f>+'INDICADORES MANTENIMIENTO P3'!K10</f>
        <v>94</v>
      </c>
      <c r="K29" s="311">
        <f>+'INDICADORES MANTENIMIENTO P3'!L10</f>
        <v>100</v>
      </c>
      <c r="L29" s="311">
        <f>+'INDICADORES MANTENIMIENTO P3'!M10</f>
        <v>100</v>
      </c>
      <c r="M29" s="312">
        <f>+'INDICADORES MANTENIMIENTO P3'!N10</f>
        <v>0</v>
      </c>
      <c r="N29" s="313" t="str">
        <f>+'INDICADORES MANTENIMIENTO P1'!O10</f>
        <v>-</v>
      </c>
      <c r="O29" s="5"/>
    </row>
    <row r="30" spans="1:36" ht="24.95" customHeight="1" thickBot="1" x14ac:dyDescent="0.3">
      <c r="A30" s="262" t="s">
        <v>407</v>
      </c>
      <c r="B30" s="260">
        <f t="shared" ref="B30:M30" si="5">(B25-SUM(B7:B18))/B25</f>
        <v>0.35080645161290325</v>
      </c>
      <c r="C30" s="255">
        <f t="shared" si="5"/>
        <v>0.17222222222222222</v>
      </c>
      <c r="D30" s="255">
        <f t="shared" si="5"/>
        <v>0.42607526881720431</v>
      </c>
      <c r="E30" s="255">
        <f t="shared" si="5"/>
        <v>0.25672043010752688</v>
      </c>
      <c r="F30" s="255">
        <f t="shared" si="5"/>
        <v>0.20277777777777778</v>
      </c>
      <c r="G30" s="255">
        <f t="shared" si="5"/>
        <v>0.30900537634408598</v>
      </c>
      <c r="H30" s="255">
        <f t="shared" si="5"/>
        <v>0.32430555555555557</v>
      </c>
      <c r="I30" s="255">
        <f t="shared" si="5"/>
        <v>0.1821236559139785</v>
      </c>
      <c r="J30" s="255">
        <f t="shared" si="5"/>
        <v>0.22580645161290322</v>
      </c>
      <c r="K30" s="255">
        <f t="shared" si="5"/>
        <v>0.31175595238095238</v>
      </c>
      <c r="L30" s="255">
        <f t="shared" si="5"/>
        <v>0.24327956989247312</v>
      </c>
      <c r="M30" s="261">
        <f t="shared" si="5"/>
        <v>0.16805555555555557</v>
      </c>
      <c r="N30" s="259">
        <f>AVERAGE(B30:M30)</f>
        <v>0.26441118898276156</v>
      </c>
      <c r="O30" s="5"/>
      <c r="Q30" s="5"/>
    </row>
    <row r="31" spans="1:36" x14ac:dyDescent="0.25">
      <c r="D31" s="252"/>
      <c r="E31" s="252"/>
      <c r="F31" s="252"/>
      <c r="G31" s="252"/>
      <c r="H31" s="252"/>
      <c r="I31" s="252"/>
      <c r="J31" s="252"/>
      <c r="K31" s="252"/>
      <c r="L31" s="252"/>
      <c r="M31" s="252"/>
      <c r="P31" s="5"/>
    </row>
    <row r="32" spans="1:36" x14ac:dyDescent="0.25">
      <c r="P32" s="5"/>
      <c r="Q32" s="253"/>
      <c r="R32" s="5"/>
      <c r="S32" s="5"/>
    </row>
    <row r="64" ht="16.5" customHeight="1" x14ac:dyDescent="0.25"/>
    <row r="80" spans="2:13" x14ac:dyDescent="0.25">
      <c r="B80" s="251"/>
      <c r="C80" s="251"/>
      <c r="D80" s="251"/>
      <c r="E80" s="251"/>
      <c r="F80" s="251"/>
      <c r="G80" s="251"/>
      <c r="H80" s="251"/>
      <c r="I80" s="251"/>
      <c r="J80" s="251"/>
      <c r="K80" s="251"/>
      <c r="L80" s="251"/>
      <c r="M80" s="251"/>
    </row>
    <row r="81" spans="1:13" x14ac:dyDescent="0.25">
      <c r="A81" s="251"/>
      <c r="B81" s="251"/>
      <c r="C81" s="251"/>
      <c r="D81" s="251"/>
      <c r="E81" s="251"/>
      <c r="F81" s="251"/>
      <c r="G81" s="251"/>
      <c r="H81" s="251"/>
      <c r="I81" s="251"/>
      <c r="J81" s="251"/>
      <c r="K81" s="251"/>
      <c r="L81" s="251"/>
      <c r="M81" s="251"/>
    </row>
    <row r="82" spans="1:13" x14ac:dyDescent="0.25">
      <c r="B82" s="251"/>
      <c r="C82" s="251"/>
      <c r="D82" s="251"/>
      <c r="E82" s="251"/>
      <c r="F82" s="251"/>
      <c r="G82" s="251"/>
      <c r="H82" s="251"/>
      <c r="I82" s="251"/>
      <c r="J82" s="251"/>
      <c r="K82" s="251"/>
      <c r="L82" s="251"/>
      <c r="M82" s="251"/>
    </row>
    <row r="83" spans="1:13" x14ac:dyDescent="0.25">
      <c r="B83" s="251"/>
      <c r="C83" s="251"/>
      <c r="D83" s="251"/>
      <c r="E83" s="251"/>
      <c r="F83" s="251"/>
      <c r="G83" s="251"/>
      <c r="H83" s="251"/>
      <c r="I83" s="251"/>
      <c r="J83" s="251"/>
      <c r="K83" s="251"/>
      <c r="L83" s="251"/>
      <c r="M83" s="251"/>
    </row>
    <row r="84" spans="1:13" x14ac:dyDescent="0.25">
      <c r="B84" s="251"/>
    </row>
    <row r="85" spans="1:13" x14ac:dyDescent="0.25">
      <c r="B85" s="251"/>
    </row>
  </sheetData>
  <mergeCells count="7">
    <mergeCell ref="A23:N23"/>
    <mergeCell ref="N24:N25"/>
    <mergeCell ref="A1:B4"/>
    <mergeCell ref="C1:L4"/>
    <mergeCell ref="M2:N2"/>
    <mergeCell ref="M3:N3"/>
    <mergeCell ref="M4:N4"/>
  </mergeCells>
  <printOptions horizontalCentered="1" verticalCentered="1"/>
  <pageMargins left="0.70866141732283472" right="0.70866141732283472" top="0.74803149606299213" bottom="0.74803149606299213" header="0.31496062992125984" footer="0.31496062992125984"/>
  <pageSetup orientation="portrait"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8"/>
  <dimension ref="A1:AJ43"/>
  <sheetViews>
    <sheetView tabSelected="1" zoomScale="90" zoomScaleNormal="90" workbookViewId="0">
      <selection activeCell="Q7" sqref="Q7"/>
    </sheetView>
  </sheetViews>
  <sheetFormatPr baseColWidth="10" defaultRowHeight="15" x14ac:dyDescent="0.25"/>
  <cols>
    <col min="1" max="1" width="40.85546875" style="289" bestFit="1" customWidth="1"/>
    <col min="2" max="13" width="10.42578125" style="289" customWidth="1"/>
    <col min="14" max="14" width="10.42578125" style="290" customWidth="1"/>
    <col min="15" max="36" width="11.42578125" style="290"/>
    <col min="37" max="16384" width="11.42578125" style="289"/>
  </cols>
  <sheetData>
    <row r="1" spans="1:21" ht="16.5" customHeight="1" x14ac:dyDescent="0.25">
      <c r="A1" s="941"/>
      <c r="B1" s="902" t="s">
        <v>260</v>
      </c>
      <c r="C1" s="903"/>
      <c r="D1" s="903"/>
      <c r="E1" s="903"/>
      <c r="F1" s="903"/>
      <c r="G1" s="903"/>
      <c r="H1" s="903"/>
      <c r="I1" s="903"/>
      <c r="J1" s="903"/>
      <c r="K1" s="903"/>
      <c r="L1" s="903"/>
      <c r="M1" s="903"/>
      <c r="N1" s="904"/>
      <c r="O1" s="459" t="s">
        <v>550</v>
      </c>
      <c r="P1" s="353"/>
    </row>
    <row r="2" spans="1:21" ht="16.5" customHeight="1" x14ac:dyDescent="0.25">
      <c r="A2" s="942"/>
      <c r="B2" s="905"/>
      <c r="C2" s="851"/>
      <c r="D2" s="851"/>
      <c r="E2" s="851"/>
      <c r="F2" s="851"/>
      <c r="G2" s="851"/>
      <c r="H2" s="851"/>
      <c r="I2" s="851"/>
      <c r="J2" s="851"/>
      <c r="K2" s="851"/>
      <c r="L2" s="851"/>
      <c r="M2" s="851"/>
      <c r="N2" s="906"/>
      <c r="O2" s="819" t="s">
        <v>533</v>
      </c>
      <c r="P2" s="820"/>
    </row>
    <row r="3" spans="1:21" ht="16.5" customHeight="1" x14ac:dyDescent="0.25">
      <c r="A3" s="942"/>
      <c r="B3" s="905"/>
      <c r="C3" s="851"/>
      <c r="D3" s="851"/>
      <c r="E3" s="851"/>
      <c r="F3" s="851"/>
      <c r="G3" s="851"/>
      <c r="H3" s="851"/>
      <c r="I3" s="851"/>
      <c r="J3" s="851"/>
      <c r="K3" s="851"/>
      <c r="L3" s="851"/>
      <c r="M3" s="851"/>
      <c r="N3" s="906"/>
      <c r="O3" s="819" t="s">
        <v>534</v>
      </c>
      <c r="P3" s="820"/>
    </row>
    <row r="4" spans="1:21" ht="20.25" customHeight="1" thickBot="1" x14ac:dyDescent="0.3">
      <c r="A4" s="943"/>
      <c r="B4" s="907"/>
      <c r="C4" s="908"/>
      <c r="D4" s="908"/>
      <c r="E4" s="908"/>
      <c r="F4" s="908"/>
      <c r="G4" s="908"/>
      <c r="H4" s="908"/>
      <c r="I4" s="908"/>
      <c r="J4" s="908"/>
      <c r="K4" s="908"/>
      <c r="L4" s="908"/>
      <c r="M4" s="908"/>
      <c r="N4" s="909"/>
      <c r="O4" s="912" t="s">
        <v>546</v>
      </c>
      <c r="P4" s="857"/>
    </row>
    <row r="5" spans="1:21" ht="15.75" thickBot="1" x14ac:dyDescent="0.3">
      <c r="N5" s="289"/>
      <c r="O5" s="289"/>
      <c r="P5" s="289"/>
    </row>
    <row r="6" spans="1:21" s="197" customFormat="1" ht="26.25" thickBot="1" x14ac:dyDescent="0.3">
      <c r="A6" s="291" t="s">
        <v>416</v>
      </c>
      <c r="B6" s="328" t="s">
        <v>77</v>
      </c>
      <c r="C6" s="630">
        <v>43952</v>
      </c>
      <c r="D6" s="630">
        <v>43983</v>
      </c>
      <c r="E6" s="630">
        <v>44013</v>
      </c>
      <c r="F6" s="630">
        <v>44044</v>
      </c>
      <c r="G6" s="630">
        <v>44075</v>
      </c>
      <c r="H6" s="630">
        <v>44105</v>
      </c>
      <c r="I6" s="630">
        <v>44136</v>
      </c>
      <c r="J6" s="630">
        <v>44166</v>
      </c>
      <c r="K6" s="630">
        <v>44197</v>
      </c>
      <c r="L6" s="630">
        <v>44228</v>
      </c>
      <c r="M6" s="630">
        <v>44256</v>
      </c>
      <c r="N6" s="325">
        <v>44287</v>
      </c>
      <c r="O6" s="321" t="s">
        <v>307</v>
      </c>
      <c r="P6" s="346" t="str">
        <f>"Promedio " &amp; YEAR(N6)</f>
        <v>Promedio 2021</v>
      </c>
    </row>
    <row r="7" spans="1:21" s="197" customFormat="1" ht="16.5" x14ac:dyDescent="0.25">
      <c r="A7" s="292" t="s">
        <v>411</v>
      </c>
      <c r="B7" s="329">
        <v>95</v>
      </c>
      <c r="C7" s="631">
        <v>100</v>
      </c>
      <c r="D7" s="631">
        <v>100</v>
      </c>
      <c r="E7" s="631">
        <v>99.9</v>
      </c>
      <c r="F7" s="631">
        <v>97.7</v>
      </c>
      <c r="G7" s="631">
        <v>98.54</v>
      </c>
      <c r="H7" s="631">
        <v>96.5</v>
      </c>
      <c r="I7" s="631">
        <v>99.3</v>
      </c>
      <c r="J7" s="631">
        <v>93.27</v>
      </c>
      <c r="K7" s="631">
        <v>100</v>
      </c>
      <c r="L7" s="631">
        <v>100</v>
      </c>
      <c r="M7" s="631">
        <v>99.5</v>
      </c>
      <c r="N7" s="1036"/>
      <c r="O7" s="319">
        <f>IFERROR(AVERAGEIF(C7:N7,"&gt;0"),"-")</f>
        <v>98.61</v>
      </c>
      <c r="P7" s="324">
        <f>+IFERROR(AVERAGEIFS(C7:N7,C7:N7,"&gt;0",C$6:N$6,"&gt;="&amp;DATE(YEAR(N$6),1,1),C$6:N$6,"&lt;="&amp;DATE(YEAR(N$6),12,31)),"-")</f>
        <v>99.833333333333329</v>
      </c>
    </row>
    <row r="8" spans="1:21" s="197" customFormat="1" ht="16.5" x14ac:dyDescent="0.25">
      <c r="A8" s="293" t="s">
        <v>412</v>
      </c>
      <c r="B8" s="320">
        <v>95</v>
      </c>
      <c r="C8" s="632" t="s">
        <v>63</v>
      </c>
      <c r="D8" s="632" t="s">
        <v>63</v>
      </c>
      <c r="E8" s="632" t="s">
        <v>63</v>
      </c>
      <c r="F8" s="632" t="s">
        <v>63</v>
      </c>
      <c r="G8" s="632" t="s">
        <v>63</v>
      </c>
      <c r="H8" s="632" t="s">
        <v>63</v>
      </c>
      <c r="I8" s="632" t="s">
        <v>63</v>
      </c>
      <c r="J8" s="632" t="s">
        <v>63</v>
      </c>
      <c r="K8" s="632" t="s">
        <v>63</v>
      </c>
      <c r="L8" s="632" t="s">
        <v>63</v>
      </c>
      <c r="M8" s="632" t="s">
        <v>63</v>
      </c>
      <c r="N8" s="1034"/>
      <c r="O8" s="326" t="str">
        <f>IFERROR(AVERAGEIF(C8:N8,"&gt;0"),"-")</f>
        <v>-</v>
      </c>
      <c r="P8" s="343" t="str">
        <f>+IFERROR(AVERAGEIFS(C8:N8,C8:N8,"&gt;0",C$6:N$6,"&gt;="&amp;DATE(YEAR(N$6),1,1),C$6:N$6,"&lt;="&amp;DATE(YEAR(N$6),12,31)),"-")</f>
        <v>-</v>
      </c>
    </row>
    <row r="9" spans="1:21" s="197" customFormat="1" ht="16.5" x14ac:dyDescent="0.25">
      <c r="A9" s="293" t="s">
        <v>413</v>
      </c>
      <c r="B9" s="320">
        <v>3.3</v>
      </c>
      <c r="C9" s="632">
        <v>0</v>
      </c>
      <c r="D9" s="632">
        <v>0</v>
      </c>
      <c r="E9" s="632">
        <v>0.14000000000000001</v>
      </c>
      <c r="F9" s="632">
        <v>0.33</v>
      </c>
      <c r="G9" s="632">
        <v>1.46</v>
      </c>
      <c r="H9" s="632">
        <v>0.27</v>
      </c>
      <c r="I9" s="632">
        <v>0</v>
      </c>
      <c r="J9" s="632">
        <v>6.7</v>
      </c>
      <c r="K9" s="632">
        <v>0</v>
      </c>
      <c r="L9" s="632">
        <v>0</v>
      </c>
      <c r="M9" s="632">
        <v>3.2</v>
      </c>
      <c r="N9" s="1034"/>
      <c r="O9" s="326">
        <f>IFERROR(AVERAGEIF(C9:N9,"&gt;0"),"-")</f>
        <v>2.0166666666666671</v>
      </c>
      <c r="P9" s="343">
        <f>+IFERROR(AVERAGEIFS(C9:N9,C9:N9,"&gt;0",C$6:N$6,"&gt;="&amp;DATE(YEAR(N$6),1,1),C$6:N$6,"&lt;="&amp;DATE(YEAR(N$6),12,31)),"-")</f>
        <v>3.2</v>
      </c>
    </row>
    <row r="10" spans="1:21" s="197" customFormat="1" ht="16.5" x14ac:dyDescent="0.25">
      <c r="A10" s="293" t="s">
        <v>414</v>
      </c>
      <c r="B10" s="320">
        <v>0</v>
      </c>
      <c r="C10" s="632">
        <v>0</v>
      </c>
      <c r="D10" s="632">
        <v>0</v>
      </c>
      <c r="E10" s="632">
        <v>0</v>
      </c>
      <c r="F10" s="632">
        <v>0</v>
      </c>
      <c r="G10" s="632">
        <v>0</v>
      </c>
      <c r="H10" s="632">
        <v>0</v>
      </c>
      <c r="I10" s="632">
        <v>0</v>
      </c>
      <c r="J10" s="632">
        <v>0</v>
      </c>
      <c r="K10" s="632">
        <v>0</v>
      </c>
      <c r="L10" s="632">
        <v>0</v>
      </c>
      <c r="M10" s="632">
        <v>0</v>
      </c>
      <c r="N10" s="1034"/>
      <c r="O10" s="326" t="str">
        <f>IFERROR(AVERAGEIF(C10:N10,"&gt;0"),"-")</f>
        <v>-</v>
      </c>
      <c r="P10" s="343" t="str">
        <f>+IFERROR(AVERAGEIFS(C10:N10,C10:N10,"&gt;0",C$6:N$6,"&gt;="&amp;DATE(YEAR(N$6),1,1),C$6:N$6,"&lt;="&amp;DATE(YEAR(N$6),12,31)),"-")</f>
        <v>-</v>
      </c>
    </row>
    <row r="11" spans="1:21" s="197" customFormat="1" ht="17.25" thickBot="1" x14ac:dyDescent="0.3">
      <c r="A11" s="294" t="s">
        <v>415</v>
      </c>
      <c r="B11" s="323">
        <v>95</v>
      </c>
      <c r="C11" s="633">
        <v>90</v>
      </c>
      <c r="D11" s="633">
        <v>91</v>
      </c>
      <c r="E11" s="633">
        <v>90.1</v>
      </c>
      <c r="F11" s="633">
        <v>91.5</v>
      </c>
      <c r="G11" s="633">
        <v>91.5</v>
      </c>
      <c r="H11" s="633">
        <v>93.7</v>
      </c>
      <c r="I11" s="633">
        <v>93.6</v>
      </c>
      <c r="J11" s="633">
        <v>94.1</v>
      </c>
      <c r="K11" s="633">
        <v>94</v>
      </c>
      <c r="L11" s="813">
        <v>100</v>
      </c>
      <c r="M11" s="813">
        <v>100</v>
      </c>
      <c r="N11" s="1035"/>
      <c r="O11" s="327">
        <f>IFERROR(AVERAGEIF(C11:N11,"&gt;0"),"-")</f>
        <v>93.590909090909093</v>
      </c>
      <c r="P11" s="344">
        <f>+IFERROR(AVERAGEIFS(C11:N11,C11:N11,"&gt;0",C$6:N$6,"&gt;="&amp;DATE(YEAR(N$6),1,1),C$6:N$6,"&lt;="&amp;DATE(YEAR(N$6),12,31)),"-")</f>
        <v>98</v>
      </c>
    </row>
    <row r="12" spans="1:21" ht="16.5" x14ac:dyDescent="0.25">
      <c r="A12" s="197"/>
      <c r="B12" s="197"/>
      <c r="C12" s="197"/>
      <c r="D12" s="197"/>
      <c r="E12" s="197"/>
      <c r="F12" s="197"/>
      <c r="G12" s="197"/>
      <c r="H12" s="197"/>
      <c r="I12" s="197"/>
      <c r="J12" s="197"/>
      <c r="K12" s="197"/>
      <c r="L12" s="197"/>
      <c r="M12" s="197"/>
      <c r="N12" s="197"/>
      <c r="O12" s="197"/>
      <c r="P12" s="197"/>
      <c r="Q12" s="295"/>
      <c r="R12" s="295"/>
      <c r="S12" s="295"/>
      <c r="T12" s="295"/>
      <c r="U12" s="295"/>
    </row>
    <row r="13" spans="1:21" ht="16.5" x14ac:dyDescent="0.25">
      <c r="A13" s="197"/>
      <c r="B13" s="197"/>
      <c r="C13" s="197"/>
      <c r="D13" s="197"/>
      <c r="E13" s="197"/>
      <c r="F13" s="197"/>
      <c r="G13" s="197"/>
      <c r="H13" s="197"/>
      <c r="I13" s="197"/>
      <c r="J13" s="197"/>
      <c r="K13" s="197"/>
      <c r="L13" s="197"/>
      <c r="M13" s="197"/>
      <c r="N13" s="197"/>
      <c r="O13" s="197"/>
      <c r="P13" s="197"/>
      <c r="Q13" s="295"/>
      <c r="R13" s="295"/>
      <c r="S13" s="295"/>
      <c r="T13" s="295"/>
      <c r="U13" s="295"/>
    </row>
    <row r="14" spans="1:21" ht="16.5" x14ac:dyDescent="0.25">
      <c r="A14" s="197"/>
      <c r="B14" s="197"/>
      <c r="C14" s="197"/>
      <c r="D14" s="197"/>
      <c r="E14" s="197"/>
      <c r="F14" s="197"/>
      <c r="G14" s="197"/>
      <c r="H14" s="197"/>
      <c r="I14" s="197"/>
      <c r="J14" s="197"/>
      <c r="K14" s="197"/>
      <c r="L14" s="197"/>
      <c r="M14" s="197"/>
      <c r="N14" s="295"/>
      <c r="O14" s="197"/>
      <c r="P14" s="197"/>
      <c r="Q14" s="295"/>
      <c r="R14" s="295"/>
      <c r="S14" s="295"/>
      <c r="T14" s="295"/>
      <c r="U14" s="295"/>
    </row>
    <row r="15" spans="1:21" ht="16.5" x14ac:dyDescent="0.25">
      <c r="A15" s="197"/>
      <c r="B15" s="197"/>
      <c r="C15" s="197"/>
      <c r="D15" s="197"/>
      <c r="E15" s="197"/>
      <c r="F15" s="197"/>
      <c r="G15" s="197"/>
      <c r="H15" s="197"/>
      <c r="I15" s="197"/>
      <c r="J15" s="197"/>
      <c r="K15" s="197"/>
      <c r="L15" s="197"/>
      <c r="M15" s="197"/>
      <c r="N15" s="295"/>
      <c r="O15" s="197"/>
      <c r="P15" s="197"/>
      <c r="Q15" s="295"/>
      <c r="R15" s="295"/>
      <c r="S15" s="295"/>
      <c r="T15" s="295"/>
      <c r="U15" s="295"/>
    </row>
    <row r="16" spans="1:21" ht="16.5" x14ac:dyDescent="0.25">
      <c r="A16" s="197"/>
      <c r="B16" s="197"/>
      <c r="C16" s="197"/>
      <c r="D16" s="197"/>
      <c r="E16" s="197"/>
      <c r="F16" s="197"/>
      <c r="G16" s="197"/>
      <c r="H16" s="197"/>
      <c r="I16" s="197"/>
      <c r="J16" s="197"/>
      <c r="K16" s="197"/>
      <c r="L16" s="197"/>
      <c r="M16" s="197"/>
      <c r="N16" s="295"/>
      <c r="O16" s="197"/>
      <c r="P16" s="197"/>
      <c r="Q16" s="295"/>
      <c r="R16" s="295"/>
      <c r="S16" s="295"/>
      <c r="T16" s="295"/>
      <c r="U16" s="295"/>
    </row>
    <row r="17" spans="1:21" ht="16.5" x14ac:dyDescent="0.25">
      <c r="A17" s="197"/>
      <c r="B17" s="197"/>
      <c r="C17" s="197"/>
      <c r="D17" s="197"/>
      <c r="E17" s="197"/>
      <c r="F17" s="197"/>
      <c r="G17" s="197"/>
      <c r="H17" s="197"/>
      <c r="I17" s="197"/>
      <c r="J17" s="197"/>
      <c r="K17" s="197"/>
      <c r="L17" s="197"/>
      <c r="M17" s="197"/>
      <c r="N17" s="295"/>
      <c r="O17" s="197"/>
      <c r="P17" s="197"/>
      <c r="Q17" s="295"/>
      <c r="R17" s="295"/>
      <c r="S17" s="295"/>
      <c r="T17" s="295"/>
      <c r="U17" s="295"/>
    </row>
    <row r="18" spans="1:21" ht="16.5" x14ac:dyDescent="0.25">
      <c r="A18" s="197"/>
      <c r="B18" s="197"/>
      <c r="C18" s="197"/>
      <c r="D18" s="197"/>
      <c r="E18" s="197"/>
      <c r="F18" s="197"/>
      <c r="G18" s="197"/>
      <c r="H18" s="197"/>
      <c r="I18" s="197"/>
      <c r="J18" s="197"/>
      <c r="K18" s="197"/>
      <c r="L18" s="197"/>
      <c r="M18" s="197"/>
      <c r="N18" s="197"/>
      <c r="O18" s="197"/>
      <c r="P18" s="197"/>
      <c r="Q18" s="953"/>
      <c r="R18" s="953"/>
      <c r="S18" s="953"/>
      <c r="T18" s="197"/>
      <c r="U18" s="295"/>
    </row>
    <row r="19" spans="1:21" ht="16.5" x14ac:dyDescent="0.25">
      <c r="A19" s="197"/>
      <c r="B19" s="197"/>
      <c r="C19" s="197"/>
      <c r="D19" s="197"/>
      <c r="E19" s="197"/>
      <c r="F19" s="197"/>
      <c r="G19" s="197"/>
      <c r="H19" s="197"/>
      <c r="I19" s="197"/>
      <c r="J19" s="197"/>
      <c r="K19" s="197"/>
      <c r="L19" s="197"/>
      <c r="M19" s="197"/>
      <c r="N19" s="197"/>
      <c r="O19" s="197"/>
      <c r="P19" s="197"/>
      <c r="Q19" s="7"/>
      <c r="R19" s="7"/>
      <c r="S19" s="7"/>
      <c r="T19" s="197"/>
      <c r="U19" s="295"/>
    </row>
    <row r="20" spans="1:21" ht="15.75" customHeight="1" x14ac:dyDescent="0.25">
      <c r="A20" s="197"/>
      <c r="B20" s="197"/>
      <c r="C20" s="197"/>
      <c r="D20" s="197"/>
      <c r="E20" s="197"/>
      <c r="F20" s="197"/>
      <c r="G20" s="197"/>
      <c r="H20" s="197"/>
      <c r="I20" s="197"/>
      <c r="J20" s="197"/>
      <c r="K20" s="197"/>
      <c r="L20" s="197"/>
      <c r="M20" s="197"/>
      <c r="N20" s="197"/>
      <c r="O20" s="197"/>
      <c r="P20" s="197"/>
      <c r="Q20" s="197"/>
      <c r="R20" s="197"/>
      <c r="S20" s="197"/>
      <c r="T20" s="197"/>
      <c r="U20" s="295"/>
    </row>
    <row r="21" spans="1:21" ht="16.5" x14ac:dyDescent="0.25">
      <c r="A21" s="197"/>
      <c r="B21" s="197"/>
      <c r="C21" s="197"/>
      <c r="D21" s="197"/>
      <c r="E21" s="197"/>
      <c r="F21" s="197"/>
      <c r="G21" s="197"/>
      <c r="H21" s="197"/>
      <c r="I21" s="197"/>
      <c r="J21" s="197"/>
      <c r="K21" s="197"/>
      <c r="L21" s="197"/>
      <c r="M21" s="197"/>
      <c r="N21" s="197"/>
      <c r="O21" s="197"/>
      <c r="P21" s="197"/>
      <c r="Q21" s="197"/>
      <c r="R21" s="197"/>
      <c r="S21" s="197"/>
      <c r="T21" s="197"/>
      <c r="U21" s="295"/>
    </row>
    <row r="22" spans="1:21" ht="16.5" x14ac:dyDescent="0.25">
      <c r="A22" s="197"/>
      <c r="B22" s="197"/>
      <c r="C22" s="197"/>
      <c r="D22" s="197"/>
      <c r="E22" s="197"/>
      <c r="F22" s="197"/>
      <c r="G22" s="197"/>
      <c r="H22" s="197"/>
      <c r="I22" s="197"/>
      <c r="J22" s="197"/>
      <c r="K22" s="197"/>
      <c r="L22" s="197"/>
      <c r="M22" s="197"/>
      <c r="N22" s="197"/>
      <c r="O22" s="197"/>
      <c r="P22" s="197"/>
      <c r="Q22" s="197"/>
      <c r="R22" s="197"/>
      <c r="S22" s="197"/>
      <c r="T22" s="197"/>
      <c r="U22" s="295"/>
    </row>
    <row r="23" spans="1:21" ht="16.5" x14ac:dyDescent="0.25">
      <c r="A23" s="197"/>
      <c r="B23" s="197"/>
      <c r="C23" s="197"/>
      <c r="D23" s="197"/>
      <c r="E23" s="197"/>
      <c r="F23" s="197"/>
      <c r="G23" s="197"/>
      <c r="H23" s="197"/>
      <c r="I23" s="197"/>
      <c r="J23" s="197"/>
      <c r="K23" s="197"/>
      <c r="L23" s="197"/>
      <c r="M23" s="197"/>
      <c r="N23" s="197"/>
      <c r="O23" s="197"/>
      <c r="P23" s="197"/>
      <c r="Q23" s="197"/>
      <c r="R23" s="197"/>
      <c r="S23" s="197"/>
      <c r="T23" s="197"/>
      <c r="U23" s="295"/>
    </row>
    <row r="24" spans="1:21" ht="16.5" x14ac:dyDescent="0.25">
      <c r="A24" s="197"/>
      <c r="B24" s="197"/>
      <c r="C24" s="197"/>
      <c r="D24" s="197"/>
      <c r="E24" s="197"/>
      <c r="F24" s="197"/>
      <c r="G24" s="197"/>
      <c r="H24" s="197"/>
      <c r="I24" s="197"/>
      <c r="J24" s="197"/>
      <c r="K24" s="197"/>
      <c r="L24" s="197"/>
      <c r="M24" s="197"/>
      <c r="N24" s="197"/>
      <c r="O24" s="197"/>
      <c r="P24" s="197"/>
      <c r="Q24" s="197"/>
      <c r="R24" s="197"/>
      <c r="S24" s="197"/>
      <c r="T24" s="197"/>
      <c r="U24" s="295"/>
    </row>
    <row r="25" spans="1:21" ht="16.5" x14ac:dyDescent="0.25">
      <c r="A25" s="197"/>
      <c r="B25" s="197"/>
      <c r="C25" s="197"/>
      <c r="D25" s="197"/>
      <c r="E25" s="197"/>
      <c r="F25" s="197"/>
      <c r="G25" s="197"/>
      <c r="H25" s="197"/>
      <c r="I25" s="197"/>
      <c r="J25" s="197"/>
      <c r="K25" s="197"/>
      <c r="L25" s="197"/>
      <c r="M25" s="197"/>
      <c r="N25" s="197"/>
      <c r="O25" s="197"/>
      <c r="P25" s="197"/>
      <c r="Q25" s="197"/>
      <c r="R25" s="197"/>
      <c r="S25" s="197"/>
      <c r="T25" s="197"/>
      <c r="U25" s="295"/>
    </row>
    <row r="26" spans="1:21" ht="16.5" x14ac:dyDescent="0.25">
      <c r="A26" s="197"/>
      <c r="B26" s="197"/>
      <c r="C26" s="197"/>
      <c r="D26" s="197"/>
      <c r="E26" s="197"/>
      <c r="F26" s="197"/>
      <c r="G26" s="197"/>
      <c r="H26" s="197"/>
      <c r="I26" s="197"/>
      <c r="J26" s="197"/>
      <c r="K26" s="197"/>
      <c r="L26" s="197"/>
      <c r="M26" s="197"/>
      <c r="N26" s="197"/>
      <c r="O26" s="197"/>
      <c r="P26" s="197"/>
      <c r="Q26" s="197"/>
      <c r="R26" s="197"/>
      <c r="S26" s="197"/>
      <c r="T26" s="197"/>
      <c r="U26" s="295"/>
    </row>
    <row r="27" spans="1:21" ht="16.5" x14ac:dyDescent="0.25">
      <c r="A27" s="197"/>
      <c r="B27" s="197"/>
      <c r="C27" s="197"/>
      <c r="D27" s="197"/>
      <c r="E27" s="197"/>
      <c r="F27" s="197"/>
      <c r="G27" s="197"/>
      <c r="H27" s="197"/>
      <c r="I27" s="197"/>
      <c r="J27" s="197"/>
      <c r="K27" s="197"/>
      <c r="L27" s="197"/>
      <c r="M27" s="197"/>
      <c r="N27" s="197"/>
      <c r="O27" s="197"/>
      <c r="P27" s="197"/>
      <c r="Q27" s="197"/>
      <c r="R27" s="197"/>
      <c r="S27" s="197"/>
      <c r="T27" s="197"/>
      <c r="U27" s="295"/>
    </row>
    <row r="28" spans="1:21" ht="16.5" x14ac:dyDescent="0.25">
      <c r="A28" s="197"/>
      <c r="B28" s="197"/>
      <c r="C28" s="197"/>
      <c r="D28" s="197"/>
      <c r="E28" s="197"/>
      <c r="F28" s="197"/>
      <c r="G28" s="197"/>
      <c r="H28" s="197"/>
      <c r="I28" s="197"/>
      <c r="J28" s="197"/>
      <c r="K28" s="197"/>
      <c r="L28" s="197"/>
      <c r="M28" s="197"/>
      <c r="N28" s="197"/>
      <c r="O28" s="197"/>
      <c r="P28" s="197"/>
      <c r="Q28" s="197"/>
      <c r="R28" s="197"/>
      <c r="S28" s="197"/>
      <c r="T28" s="197"/>
      <c r="U28" s="295"/>
    </row>
    <row r="29" spans="1:21" ht="16.5" x14ac:dyDescent="0.25">
      <c r="A29" s="197"/>
      <c r="B29" s="197"/>
      <c r="C29" s="197"/>
      <c r="D29" s="197"/>
      <c r="E29" s="197"/>
      <c r="F29" s="197"/>
      <c r="G29" s="197"/>
      <c r="H29" s="197"/>
      <c r="I29" s="197"/>
      <c r="J29" s="197"/>
      <c r="K29" s="197"/>
      <c r="L29" s="197"/>
      <c r="M29" s="197"/>
      <c r="N29" s="197"/>
      <c r="O29" s="197"/>
      <c r="P29" s="197"/>
      <c r="Q29" s="197"/>
      <c r="R29" s="197"/>
      <c r="S29" s="197"/>
      <c r="T29" s="197"/>
      <c r="U29" s="295"/>
    </row>
    <row r="30" spans="1:21" ht="16.5" x14ac:dyDescent="0.25">
      <c r="A30" s="197"/>
      <c r="B30" s="197"/>
      <c r="C30" s="197"/>
      <c r="D30" s="197"/>
      <c r="E30" s="197"/>
      <c r="F30" s="197"/>
      <c r="G30" s="197"/>
      <c r="H30" s="197"/>
      <c r="I30" s="197"/>
      <c r="J30" s="197"/>
      <c r="K30" s="197"/>
      <c r="L30" s="197"/>
      <c r="M30" s="197"/>
      <c r="N30" s="197"/>
      <c r="O30" s="197"/>
      <c r="P30" s="197"/>
      <c r="Q30" s="197"/>
      <c r="R30" s="197"/>
      <c r="S30" s="197"/>
      <c r="T30" s="197"/>
      <c r="U30" s="295"/>
    </row>
    <row r="31" spans="1:21" ht="16.5" x14ac:dyDescent="0.25">
      <c r="A31" s="197"/>
      <c r="B31" s="197"/>
      <c r="C31" s="197"/>
      <c r="D31" s="197"/>
      <c r="E31" s="197"/>
      <c r="F31" s="197"/>
      <c r="G31" s="197"/>
      <c r="H31" s="197"/>
      <c r="I31" s="197"/>
      <c r="J31" s="197"/>
      <c r="K31" s="197"/>
      <c r="L31" s="197"/>
      <c r="M31" s="197"/>
      <c r="N31" s="197"/>
      <c r="O31" s="197"/>
      <c r="P31" s="197"/>
      <c r="Q31" s="197"/>
      <c r="R31" s="197"/>
      <c r="S31" s="197"/>
      <c r="T31" s="197"/>
      <c r="U31" s="295"/>
    </row>
    <row r="32" spans="1:21" ht="16.5" x14ac:dyDescent="0.25">
      <c r="A32" s="197"/>
      <c r="B32" s="197"/>
      <c r="C32" s="197"/>
      <c r="D32" s="197"/>
      <c r="E32" s="197"/>
      <c r="F32" s="197"/>
      <c r="G32" s="197"/>
      <c r="H32" s="197"/>
      <c r="I32" s="197"/>
      <c r="J32" s="197"/>
      <c r="K32" s="197"/>
      <c r="L32" s="197"/>
      <c r="M32" s="197"/>
      <c r="N32" s="197"/>
      <c r="O32" s="197"/>
      <c r="P32" s="197"/>
      <c r="Q32" s="197"/>
      <c r="R32" s="197"/>
      <c r="S32" s="197"/>
      <c r="T32" s="197"/>
      <c r="U32" s="295"/>
    </row>
    <row r="33" spans="1:21" ht="16.5" x14ac:dyDescent="0.25">
      <c r="A33" s="197"/>
      <c r="B33" s="197"/>
      <c r="C33" s="197"/>
      <c r="D33" s="197"/>
      <c r="E33" s="197"/>
      <c r="F33" s="197"/>
      <c r="G33" s="197"/>
      <c r="H33" s="197"/>
      <c r="I33" s="197"/>
      <c r="J33" s="197"/>
      <c r="K33" s="197"/>
      <c r="L33" s="197"/>
      <c r="M33" s="197"/>
      <c r="N33" s="197"/>
      <c r="O33" s="197"/>
      <c r="P33" s="197"/>
      <c r="Q33" s="197"/>
      <c r="R33" s="197"/>
      <c r="S33" s="197"/>
      <c r="T33" s="197"/>
      <c r="U33" s="295"/>
    </row>
    <row r="34" spans="1:21" ht="16.5" x14ac:dyDescent="0.25">
      <c r="A34" s="197"/>
      <c r="B34" s="197"/>
      <c r="C34" s="197"/>
      <c r="D34" s="197"/>
      <c r="E34" s="197"/>
      <c r="F34" s="197"/>
      <c r="G34" s="197"/>
      <c r="H34" s="197"/>
      <c r="I34" s="197"/>
      <c r="J34" s="197"/>
      <c r="K34" s="197"/>
      <c r="L34" s="197"/>
      <c r="M34" s="197"/>
      <c r="N34" s="197"/>
      <c r="O34" s="197"/>
      <c r="P34" s="197"/>
      <c r="Q34" s="197"/>
      <c r="R34" s="197"/>
      <c r="S34" s="197"/>
      <c r="T34" s="197"/>
      <c r="U34" s="295"/>
    </row>
    <row r="35" spans="1:21" ht="16.5" x14ac:dyDescent="0.25">
      <c r="A35" s="197"/>
      <c r="B35" s="197"/>
      <c r="C35" s="197"/>
      <c r="D35" s="197"/>
      <c r="E35" s="197"/>
      <c r="F35" s="197"/>
      <c r="G35" s="197"/>
      <c r="H35" s="197"/>
      <c r="I35" s="197"/>
      <c r="J35" s="197"/>
      <c r="K35" s="197"/>
      <c r="L35" s="197"/>
      <c r="M35" s="197"/>
      <c r="N35" s="197"/>
      <c r="O35" s="197"/>
      <c r="P35" s="197"/>
      <c r="Q35" s="197"/>
      <c r="R35" s="197"/>
      <c r="S35" s="197"/>
      <c r="T35" s="197"/>
      <c r="U35" s="295"/>
    </row>
    <row r="36" spans="1:21" ht="16.5" x14ac:dyDescent="0.25">
      <c r="A36" s="197"/>
      <c r="B36" s="197"/>
      <c r="C36" s="197"/>
      <c r="D36" s="197"/>
      <c r="E36" s="197"/>
      <c r="F36" s="197"/>
      <c r="G36" s="197"/>
      <c r="H36" s="197"/>
      <c r="I36" s="197"/>
      <c r="J36" s="197"/>
      <c r="K36" s="197"/>
      <c r="L36" s="197"/>
      <c r="M36" s="197"/>
      <c r="N36" s="197"/>
      <c r="O36" s="197"/>
      <c r="P36" s="197"/>
      <c r="Q36" s="197"/>
      <c r="R36" s="197"/>
      <c r="S36" s="197"/>
      <c r="T36" s="197"/>
      <c r="U36" s="295"/>
    </row>
    <row r="37" spans="1:21" ht="16.5" x14ac:dyDescent="0.25">
      <c r="A37" s="197"/>
      <c r="B37" s="197"/>
      <c r="C37" s="197"/>
      <c r="D37" s="197"/>
      <c r="E37" s="197"/>
      <c r="F37" s="197"/>
      <c r="G37" s="197"/>
      <c r="H37" s="197"/>
      <c r="I37" s="197"/>
      <c r="J37" s="197"/>
      <c r="K37" s="197"/>
      <c r="L37" s="197"/>
      <c r="M37" s="197"/>
      <c r="N37" s="197"/>
      <c r="O37" s="197"/>
      <c r="P37" s="197"/>
      <c r="Q37" s="197"/>
      <c r="R37" s="197"/>
      <c r="S37" s="197"/>
      <c r="T37" s="197"/>
      <c r="U37" s="295"/>
    </row>
    <row r="38" spans="1:21" ht="16.5" x14ac:dyDescent="0.25">
      <c r="A38" s="197"/>
      <c r="B38" s="197"/>
      <c r="C38" s="197"/>
      <c r="D38" s="197"/>
      <c r="E38" s="197"/>
      <c r="F38" s="197"/>
      <c r="G38" s="197"/>
      <c r="H38" s="197"/>
      <c r="I38" s="197"/>
      <c r="J38" s="197"/>
      <c r="K38" s="197"/>
      <c r="L38" s="197"/>
      <c r="M38" s="197"/>
      <c r="N38" s="197"/>
      <c r="O38" s="197"/>
      <c r="P38" s="197"/>
      <c r="Q38" s="197"/>
      <c r="R38" s="197"/>
      <c r="S38" s="197"/>
      <c r="T38" s="197"/>
      <c r="U38" s="295"/>
    </row>
    <row r="39" spans="1:21" ht="16.5" x14ac:dyDescent="0.25">
      <c r="A39" s="197"/>
      <c r="B39" s="197"/>
      <c r="C39" s="197"/>
      <c r="D39" s="197"/>
      <c r="E39" s="197"/>
      <c r="F39" s="197"/>
      <c r="G39" s="197"/>
      <c r="H39" s="197"/>
      <c r="I39" s="197"/>
      <c r="J39" s="197"/>
      <c r="K39" s="197"/>
      <c r="L39" s="197"/>
      <c r="M39" s="197"/>
      <c r="N39" s="197"/>
      <c r="O39" s="197"/>
      <c r="P39" s="197"/>
      <c r="Q39" s="197"/>
      <c r="R39" s="197"/>
      <c r="S39" s="197"/>
      <c r="T39" s="197"/>
      <c r="U39" s="295"/>
    </row>
    <row r="40" spans="1:21" ht="16.5" x14ac:dyDescent="0.25">
      <c r="A40" s="197"/>
      <c r="B40" s="197"/>
      <c r="C40" s="197"/>
      <c r="D40" s="197"/>
      <c r="E40" s="197"/>
      <c r="F40" s="197"/>
      <c r="G40" s="197"/>
      <c r="H40" s="197"/>
      <c r="I40" s="197"/>
      <c r="J40" s="197"/>
      <c r="K40" s="197"/>
      <c r="L40" s="197"/>
      <c r="M40" s="197"/>
      <c r="N40" s="197"/>
      <c r="O40" s="197"/>
      <c r="P40" s="197"/>
      <c r="Q40" s="197"/>
      <c r="R40" s="197"/>
      <c r="S40" s="197"/>
      <c r="T40" s="197"/>
      <c r="U40" s="295"/>
    </row>
    <row r="41" spans="1:21" ht="16.5" x14ac:dyDescent="0.25">
      <c r="A41" s="197"/>
      <c r="B41" s="197"/>
      <c r="C41" s="197"/>
      <c r="D41" s="197"/>
      <c r="E41" s="197"/>
      <c r="F41" s="197"/>
      <c r="G41" s="197"/>
      <c r="H41" s="197"/>
      <c r="I41" s="197"/>
      <c r="J41" s="197"/>
      <c r="K41" s="197"/>
      <c r="L41" s="197"/>
      <c r="M41" s="197"/>
      <c r="N41" s="197"/>
      <c r="O41" s="197"/>
      <c r="P41" s="197"/>
      <c r="Q41" s="197"/>
      <c r="R41" s="197"/>
      <c r="S41" s="197"/>
      <c r="T41" s="197"/>
      <c r="U41" s="295"/>
    </row>
    <row r="42" spans="1:21" ht="16.5" x14ac:dyDescent="0.25">
      <c r="A42" s="197"/>
      <c r="B42" s="197"/>
      <c r="C42" s="197"/>
      <c r="D42" s="197"/>
      <c r="E42" s="197"/>
      <c r="F42" s="197"/>
      <c r="G42" s="197"/>
      <c r="H42" s="197"/>
      <c r="I42" s="197"/>
      <c r="J42" s="197"/>
      <c r="K42" s="197"/>
      <c r="L42" s="197"/>
      <c r="M42" s="197"/>
      <c r="N42" s="197"/>
      <c r="O42" s="197"/>
      <c r="P42" s="197"/>
      <c r="Q42" s="197"/>
      <c r="R42" s="197"/>
      <c r="S42" s="197"/>
      <c r="T42" s="197"/>
      <c r="U42" s="295"/>
    </row>
    <row r="43" spans="1:21" x14ac:dyDescent="0.25">
      <c r="N43" s="289"/>
      <c r="O43" s="289"/>
      <c r="P43" s="289"/>
      <c r="Q43" s="289"/>
      <c r="R43" s="289"/>
      <c r="S43" s="289"/>
      <c r="T43" s="289"/>
    </row>
  </sheetData>
  <mergeCells count="6">
    <mergeCell ref="Q18:S18"/>
    <mergeCell ref="A1:A4"/>
    <mergeCell ref="O2:P2"/>
    <mergeCell ref="O3:P3"/>
    <mergeCell ref="O4:P4"/>
    <mergeCell ref="B1:N4"/>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0"/>
  <dimension ref="A1:K64"/>
  <sheetViews>
    <sheetView topLeftCell="G1" workbookViewId="0">
      <selection activeCell="N11" sqref="N11"/>
    </sheetView>
  </sheetViews>
  <sheetFormatPr baseColWidth="10" defaultRowHeight="12.75" x14ac:dyDescent="0.2"/>
  <cols>
    <col min="1" max="1" width="26.7109375" style="50" customWidth="1"/>
    <col min="2" max="2" width="17" style="50" customWidth="1"/>
    <col min="3" max="3" width="16.28515625" style="50" bestFit="1" customWidth="1"/>
    <col min="4" max="4" width="15.140625" style="50" customWidth="1"/>
    <col min="5" max="5" width="20.7109375" style="50" bestFit="1" customWidth="1"/>
    <col min="6" max="6" width="16.5703125" style="50" customWidth="1"/>
    <col min="7" max="7" width="13" style="50" customWidth="1"/>
    <col min="8" max="8" width="14.28515625" style="50" customWidth="1"/>
    <col min="9" max="9" width="19.85546875" style="50" customWidth="1"/>
    <col min="10" max="10" width="26.85546875" style="50" customWidth="1"/>
    <col min="11" max="11" width="27.85546875" style="50" customWidth="1"/>
    <col min="12" max="16384" width="11.42578125" style="50"/>
  </cols>
  <sheetData>
    <row r="1" spans="1:11" ht="21.75" customHeight="1" thickBot="1" x14ac:dyDescent="0.25">
      <c r="A1" s="954" t="s">
        <v>109</v>
      </c>
      <c r="B1" s="955"/>
      <c r="C1" s="955"/>
      <c r="D1" s="955"/>
      <c r="E1" s="955"/>
      <c r="F1" s="955"/>
      <c r="G1" s="955"/>
      <c r="H1" s="955"/>
      <c r="I1" s="955"/>
      <c r="J1" s="955"/>
      <c r="K1" s="956"/>
    </row>
    <row r="2" spans="1:11" ht="13.5" thickBot="1" x14ac:dyDescent="0.25">
      <c r="A2" s="11"/>
      <c r="B2" s="11"/>
      <c r="C2" s="11"/>
      <c r="D2" s="11"/>
      <c r="E2" s="11"/>
      <c r="F2" s="11"/>
      <c r="G2" s="11"/>
      <c r="H2" s="11"/>
      <c r="I2" s="11"/>
      <c r="J2" s="11"/>
      <c r="K2" s="11"/>
    </row>
    <row r="3" spans="1:11" ht="26.25" thickBot="1" x14ac:dyDescent="0.25">
      <c r="A3" s="46" t="s">
        <v>110</v>
      </c>
      <c r="B3" s="47" t="s">
        <v>262</v>
      </c>
      <c r="C3" s="48" t="s">
        <v>263</v>
      </c>
      <c r="D3" s="49" t="s">
        <v>264</v>
      </c>
      <c r="E3" s="11"/>
      <c r="F3" s="9" t="s">
        <v>111</v>
      </c>
      <c r="G3" s="10" t="s">
        <v>112</v>
      </c>
      <c r="H3" s="12" t="s">
        <v>113</v>
      </c>
      <c r="I3" s="116" t="s">
        <v>114</v>
      </c>
      <c r="J3" s="13" t="s">
        <v>98</v>
      </c>
      <c r="K3" s="14" t="s">
        <v>5</v>
      </c>
    </row>
    <row r="4" spans="1:11" ht="26.25" customHeight="1" thickBot="1" x14ac:dyDescent="0.25">
      <c r="A4" s="15" t="s">
        <v>115</v>
      </c>
      <c r="B4" s="957">
        <v>41364</v>
      </c>
      <c r="C4" s="958"/>
      <c r="D4" s="959"/>
      <c r="E4" s="11"/>
      <c r="F4" s="17" t="s">
        <v>116</v>
      </c>
      <c r="G4" s="117">
        <v>24</v>
      </c>
      <c r="H4" s="118">
        <v>672.17</v>
      </c>
      <c r="I4" s="119" t="s">
        <v>124</v>
      </c>
      <c r="J4" s="120"/>
      <c r="K4" s="121">
        <v>24</v>
      </c>
    </row>
    <row r="5" spans="1:11" ht="26.25" customHeight="1" thickBot="1" x14ac:dyDescent="0.25">
      <c r="A5" s="18" t="s">
        <v>117</v>
      </c>
      <c r="B5" s="960" t="s">
        <v>118</v>
      </c>
      <c r="C5" s="961"/>
      <c r="D5" s="962"/>
      <c r="E5" s="11"/>
      <c r="F5" s="91" t="s">
        <v>119</v>
      </c>
      <c r="G5" s="122"/>
      <c r="H5" s="123">
        <v>71.83</v>
      </c>
      <c r="I5" s="92" t="s">
        <v>265</v>
      </c>
      <c r="J5" s="124"/>
      <c r="K5" s="125">
        <v>15.66</v>
      </c>
    </row>
    <row r="6" spans="1:11" ht="26.25" customHeight="1" thickBot="1" x14ac:dyDescent="0.25">
      <c r="A6" s="16"/>
      <c r="B6" s="16"/>
      <c r="C6" s="16"/>
      <c r="D6" s="16"/>
      <c r="E6" s="11"/>
      <c r="F6" s="11"/>
      <c r="G6" s="11"/>
      <c r="H6" s="11"/>
      <c r="I6" s="92" t="s">
        <v>266</v>
      </c>
      <c r="J6" s="124"/>
      <c r="K6" s="125">
        <v>26.5</v>
      </c>
    </row>
    <row r="7" spans="1:11" ht="26.25" customHeight="1" thickBot="1" x14ac:dyDescent="0.25">
      <c r="A7" s="19" t="s">
        <v>120</v>
      </c>
      <c r="B7" s="13" t="s">
        <v>98</v>
      </c>
      <c r="C7" s="14" t="s">
        <v>5</v>
      </c>
      <c r="D7" s="20" t="s">
        <v>267</v>
      </c>
      <c r="E7" s="11"/>
      <c r="F7" s="11"/>
      <c r="G7" s="11"/>
      <c r="H7" s="11"/>
      <c r="I7" s="92" t="s">
        <v>268</v>
      </c>
      <c r="J7" s="126"/>
      <c r="K7" s="125">
        <v>1.17</v>
      </c>
    </row>
    <row r="8" spans="1:11" ht="26.25" customHeight="1" x14ac:dyDescent="0.2">
      <c r="A8" s="21" t="s">
        <v>69</v>
      </c>
      <c r="B8" s="127">
        <v>285331</v>
      </c>
      <c r="C8" s="128">
        <v>8183313</v>
      </c>
      <c r="D8" s="129">
        <v>22530925</v>
      </c>
      <c r="E8" s="11"/>
      <c r="F8" s="22"/>
      <c r="G8" s="11"/>
      <c r="H8" s="11"/>
      <c r="I8" s="92" t="s">
        <v>269</v>
      </c>
      <c r="J8" s="126"/>
      <c r="K8" s="125">
        <v>1.5</v>
      </c>
    </row>
    <row r="9" spans="1:11" ht="26.25" customHeight="1" x14ac:dyDescent="0.2">
      <c r="A9" s="93" t="s">
        <v>8</v>
      </c>
      <c r="B9" s="130">
        <v>37044</v>
      </c>
      <c r="C9" s="131">
        <v>1103927</v>
      </c>
      <c r="D9" s="132">
        <v>3035007</v>
      </c>
      <c r="E9" s="11"/>
      <c r="F9" s="23"/>
      <c r="G9" s="11"/>
      <c r="H9" s="11"/>
      <c r="I9" s="92" t="s">
        <v>270</v>
      </c>
      <c r="J9" s="126"/>
      <c r="K9" s="125">
        <v>3</v>
      </c>
    </row>
    <row r="10" spans="1:11" ht="26.25" customHeight="1" thickBot="1" x14ac:dyDescent="0.25">
      <c r="A10" s="94" t="s">
        <v>123</v>
      </c>
      <c r="B10" s="133">
        <v>9147</v>
      </c>
      <c r="C10" s="133">
        <v>229157</v>
      </c>
      <c r="D10" s="134">
        <v>666331</v>
      </c>
      <c r="E10" s="11"/>
      <c r="F10" s="23"/>
      <c r="G10" s="11"/>
      <c r="H10" s="11"/>
      <c r="I10" s="92" t="s">
        <v>271</v>
      </c>
      <c r="J10" s="126"/>
      <c r="K10" s="125"/>
    </row>
    <row r="11" spans="1:11" ht="26.25" customHeight="1" x14ac:dyDescent="0.2">
      <c r="A11" s="11"/>
      <c r="B11" s="42"/>
      <c r="C11" s="22"/>
      <c r="D11" s="11"/>
      <c r="E11" s="23"/>
      <c r="F11" s="23"/>
      <c r="G11" s="11"/>
      <c r="H11" s="23"/>
      <c r="I11" s="92" t="s">
        <v>121</v>
      </c>
      <c r="J11" s="126"/>
      <c r="K11" s="125"/>
    </row>
    <row r="12" spans="1:11" ht="26.25" customHeight="1" thickBot="1" x14ac:dyDescent="0.25">
      <c r="A12" s="23"/>
      <c r="B12" s="11"/>
      <c r="C12" s="135"/>
      <c r="D12" s="11"/>
      <c r="E12" s="23"/>
      <c r="F12" s="11"/>
      <c r="G12" s="11"/>
      <c r="H12" s="23"/>
      <c r="I12" s="136" t="s">
        <v>122</v>
      </c>
      <c r="J12" s="137"/>
      <c r="K12" s="138"/>
    </row>
    <row r="13" spans="1:11" ht="15.75" customHeight="1" thickBot="1" x14ac:dyDescent="0.25">
      <c r="A13" s="954" t="s">
        <v>125</v>
      </c>
      <c r="B13" s="955"/>
      <c r="C13" s="955"/>
      <c r="D13" s="955"/>
      <c r="E13" s="963"/>
      <c r="F13" s="964" t="s">
        <v>126</v>
      </c>
      <c r="G13" s="955"/>
      <c r="H13" s="955"/>
      <c r="I13" s="955"/>
      <c r="J13" s="955"/>
      <c r="K13" s="956"/>
    </row>
    <row r="14" spans="1:11" ht="26.25" thickBot="1" x14ac:dyDescent="0.25">
      <c r="A14" s="139" t="s">
        <v>127</v>
      </c>
      <c r="B14" s="140" t="s">
        <v>128</v>
      </c>
      <c r="C14" s="140" t="s">
        <v>129</v>
      </c>
      <c r="D14" s="140" t="s">
        <v>130</v>
      </c>
      <c r="E14" s="141" t="s">
        <v>131</v>
      </c>
      <c r="F14" s="24" t="s">
        <v>132</v>
      </c>
      <c r="G14" s="25" t="s">
        <v>128</v>
      </c>
      <c r="H14" s="25" t="s">
        <v>133</v>
      </c>
      <c r="I14" s="25" t="s">
        <v>134</v>
      </c>
      <c r="J14" s="25" t="s">
        <v>135</v>
      </c>
      <c r="K14" s="142" t="s">
        <v>136</v>
      </c>
    </row>
    <row r="15" spans="1:11" ht="20.25" customHeight="1" x14ac:dyDescent="0.2">
      <c r="A15" s="26" t="s">
        <v>12</v>
      </c>
      <c r="B15" s="128">
        <v>335783</v>
      </c>
      <c r="C15" s="128"/>
      <c r="D15" s="128">
        <v>32687</v>
      </c>
      <c r="E15" s="143">
        <v>303096</v>
      </c>
      <c r="F15" s="43" t="s">
        <v>137</v>
      </c>
      <c r="G15" s="144">
        <v>684516</v>
      </c>
      <c r="H15" s="145">
        <v>256542</v>
      </c>
      <c r="I15" s="144"/>
      <c r="J15" s="146">
        <v>941058</v>
      </c>
      <c r="K15" s="27" t="s">
        <v>81</v>
      </c>
    </row>
    <row r="16" spans="1:11" ht="20.25" customHeight="1" x14ac:dyDescent="0.2">
      <c r="A16" s="95" t="s">
        <v>19</v>
      </c>
      <c r="B16" s="130">
        <v>164116</v>
      </c>
      <c r="C16" s="130"/>
      <c r="D16" s="130">
        <v>5680</v>
      </c>
      <c r="E16" s="147">
        <v>158436</v>
      </c>
      <c r="F16" s="96" t="s">
        <v>138</v>
      </c>
      <c r="G16" s="148">
        <v>158993</v>
      </c>
      <c r="H16" s="148"/>
      <c r="I16" s="148"/>
      <c r="J16" s="149">
        <v>158993</v>
      </c>
      <c r="K16" s="97" t="s">
        <v>70</v>
      </c>
    </row>
    <row r="17" spans="1:11" ht="20.25" customHeight="1" x14ac:dyDescent="0.2">
      <c r="A17" s="98" t="s">
        <v>80</v>
      </c>
      <c r="B17" s="130">
        <v>979467</v>
      </c>
      <c r="C17" s="130"/>
      <c r="D17" s="130">
        <v>94016</v>
      </c>
      <c r="E17" s="147">
        <v>885451</v>
      </c>
      <c r="F17" s="96" t="s">
        <v>139</v>
      </c>
      <c r="G17" s="148">
        <v>596437</v>
      </c>
      <c r="H17" s="150"/>
      <c r="I17" s="148"/>
      <c r="J17" s="149">
        <v>596437</v>
      </c>
      <c r="K17" s="97" t="s">
        <v>284</v>
      </c>
    </row>
    <row r="18" spans="1:11" ht="16.5" customHeight="1" x14ac:dyDescent="0.2">
      <c r="A18" s="98" t="s">
        <v>82</v>
      </c>
      <c r="B18" s="130">
        <v>1501720</v>
      </c>
      <c r="C18" s="130"/>
      <c r="D18" s="130"/>
      <c r="E18" s="147">
        <v>1501720</v>
      </c>
      <c r="F18" s="96" t="s">
        <v>140</v>
      </c>
      <c r="G18" s="148">
        <v>750438</v>
      </c>
      <c r="H18" s="149"/>
      <c r="I18" s="148"/>
      <c r="J18" s="149">
        <v>750438</v>
      </c>
      <c r="K18" s="97" t="s">
        <v>81</v>
      </c>
    </row>
    <row r="19" spans="1:11" ht="20.25" customHeight="1" x14ac:dyDescent="0.2">
      <c r="A19" s="95" t="s">
        <v>103</v>
      </c>
      <c r="B19" s="130">
        <v>1184484</v>
      </c>
      <c r="C19" s="130">
        <v>481337</v>
      </c>
      <c r="D19" s="130">
        <v>274510</v>
      </c>
      <c r="E19" s="147">
        <v>1391311</v>
      </c>
      <c r="F19" s="96" t="s">
        <v>141</v>
      </c>
      <c r="G19" s="151"/>
      <c r="H19" s="152"/>
      <c r="I19" s="151"/>
      <c r="J19" s="149"/>
      <c r="K19" s="153"/>
    </row>
    <row r="20" spans="1:11" ht="20.25" customHeight="1" x14ac:dyDescent="0.2">
      <c r="A20" s="98" t="s">
        <v>104</v>
      </c>
      <c r="B20" s="130">
        <v>32654</v>
      </c>
      <c r="C20" s="130"/>
      <c r="D20" s="130"/>
      <c r="E20" s="147">
        <v>32654</v>
      </c>
      <c r="F20" s="96" t="s">
        <v>142</v>
      </c>
      <c r="G20" s="148">
        <v>20359</v>
      </c>
      <c r="H20" s="965">
        <v>285331</v>
      </c>
      <c r="I20" s="151"/>
      <c r="J20" s="149">
        <v>80290</v>
      </c>
      <c r="K20" s="153"/>
    </row>
    <row r="21" spans="1:11" ht="20.25" customHeight="1" x14ac:dyDescent="0.2">
      <c r="A21" s="95" t="s">
        <v>83</v>
      </c>
      <c r="B21" s="130">
        <v>20750</v>
      </c>
      <c r="C21" s="130"/>
      <c r="D21" s="130"/>
      <c r="E21" s="147">
        <v>20750</v>
      </c>
      <c r="F21" s="96" t="s">
        <v>143</v>
      </c>
      <c r="G21" s="148">
        <v>86014</v>
      </c>
      <c r="H21" s="966"/>
      <c r="I21" s="151"/>
      <c r="J21" s="149">
        <v>12776</v>
      </c>
      <c r="K21" s="153"/>
    </row>
    <row r="22" spans="1:11" ht="20.25" customHeight="1" x14ac:dyDescent="0.2">
      <c r="A22" s="95" t="s">
        <v>40</v>
      </c>
      <c r="B22" s="130">
        <v>27447</v>
      </c>
      <c r="C22" s="130"/>
      <c r="D22" s="130">
        <v>3262</v>
      </c>
      <c r="E22" s="147">
        <v>24185</v>
      </c>
      <c r="F22" s="96" t="s">
        <v>144</v>
      </c>
      <c r="G22" s="148">
        <v>87283</v>
      </c>
      <c r="H22" s="966"/>
      <c r="I22" s="151"/>
      <c r="J22" s="149">
        <v>12843</v>
      </c>
      <c r="K22" s="153"/>
    </row>
    <row r="23" spans="1:11" ht="20.25" customHeight="1" x14ac:dyDescent="0.2">
      <c r="A23" s="95" t="s">
        <v>47</v>
      </c>
      <c r="B23" s="130">
        <v>11129</v>
      </c>
      <c r="C23" s="130"/>
      <c r="D23" s="130">
        <v>316</v>
      </c>
      <c r="E23" s="147">
        <v>10813</v>
      </c>
      <c r="F23" s="96" t="s">
        <v>145</v>
      </c>
      <c r="G23" s="148">
        <v>85045</v>
      </c>
      <c r="H23" s="966"/>
      <c r="I23" s="151"/>
      <c r="J23" s="149">
        <v>12538</v>
      </c>
      <c r="K23" s="153"/>
    </row>
    <row r="24" spans="1:11" ht="20.25" customHeight="1" x14ac:dyDescent="0.2">
      <c r="A24" s="98" t="s">
        <v>146</v>
      </c>
      <c r="B24" s="130">
        <v>31950</v>
      </c>
      <c r="C24" s="130"/>
      <c r="D24" s="130">
        <v>9146</v>
      </c>
      <c r="E24" s="147">
        <v>22804</v>
      </c>
      <c r="F24" s="96" t="s">
        <v>147</v>
      </c>
      <c r="G24" s="148">
        <v>81221</v>
      </c>
      <c r="H24" s="966"/>
      <c r="I24" s="151"/>
      <c r="J24" s="149">
        <v>80625</v>
      </c>
      <c r="K24" s="153"/>
    </row>
    <row r="25" spans="1:11" ht="20.25" customHeight="1" x14ac:dyDescent="0.2">
      <c r="A25" s="98" t="s">
        <v>84</v>
      </c>
      <c r="B25" s="130">
        <v>2554</v>
      </c>
      <c r="C25" s="130">
        <v>4033</v>
      </c>
      <c r="D25" s="130"/>
      <c r="E25" s="147">
        <v>6587</v>
      </c>
      <c r="F25" s="96" t="s">
        <v>148</v>
      </c>
      <c r="G25" s="148">
        <v>80500</v>
      </c>
      <c r="H25" s="966"/>
      <c r="I25" s="151"/>
      <c r="J25" s="149">
        <v>80325</v>
      </c>
      <c r="K25" s="153"/>
    </row>
    <row r="26" spans="1:11" ht="20.25" customHeight="1" x14ac:dyDescent="0.2">
      <c r="A26" s="95" t="s">
        <v>51</v>
      </c>
      <c r="B26" s="130">
        <v>1000</v>
      </c>
      <c r="C26" s="130"/>
      <c r="D26" s="130">
        <v>153</v>
      </c>
      <c r="E26" s="147">
        <v>847</v>
      </c>
      <c r="F26" s="96" t="s">
        <v>149</v>
      </c>
      <c r="G26" s="148">
        <v>80790</v>
      </c>
      <c r="H26" s="966"/>
      <c r="I26" s="151"/>
      <c r="J26" s="149">
        <v>80341</v>
      </c>
      <c r="K26" s="153"/>
    </row>
    <row r="27" spans="1:11" ht="20.25" customHeight="1" x14ac:dyDescent="0.2">
      <c r="A27" s="95" t="s">
        <v>52</v>
      </c>
      <c r="B27" s="130">
        <v>9450</v>
      </c>
      <c r="C27" s="130"/>
      <c r="D27" s="130">
        <v>360</v>
      </c>
      <c r="E27" s="147">
        <v>9090</v>
      </c>
      <c r="F27" s="96" t="s">
        <v>150</v>
      </c>
      <c r="G27" s="148">
        <v>66739</v>
      </c>
      <c r="H27" s="967"/>
      <c r="I27" s="151"/>
      <c r="J27" s="149">
        <v>257003</v>
      </c>
      <c r="K27" s="153"/>
    </row>
    <row r="28" spans="1:11" ht="20.25" customHeight="1" x14ac:dyDescent="0.2">
      <c r="A28" s="95" t="s">
        <v>53</v>
      </c>
      <c r="B28" s="154"/>
      <c r="C28" s="154"/>
      <c r="D28" s="130">
        <v>116500</v>
      </c>
      <c r="E28" s="147"/>
      <c r="F28" s="96" t="s">
        <v>151</v>
      </c>
      <c r="G28" s="148">
        <v>59521</v>
      </c>
      <c r="H28" s="152">
        <v>822</v>
      </c>
      <c r="I28" s="152"/>
      <c r="J28" s="149">
        <v>60343</v>
      </c>
      <c r="K28" s="153"/>
    </row>
    <row r="29" spans="1:11" ht="20.25" customHeight="1" thickBot="1" x14ac:dyDescent="0.25">
      <c r="A29" s="99" t="s">
        <v>85</v>
      </c>
      <c r="B29" s="133"/>
      <c r="C29" s="133"/>
      <c r="D29" s="155">
        <v>8.6739999999990687</v>
      </c>
      <c r="E29" s="156"/>
      <c r="F29" s="100" t="s">
        <v>152</v>
      </c>
      <c r="G29" s="157">
        <v>552242</v>
      </c>
      <c r="H29" s="158">
        <v>37044</v>
      </c>
      <c r="I29" s="157"/>
      <c r="J29" s="158">
        <v>589286</v>
      </c>
      <c r="K29" s="159"/>
    </row>
    <row r="30" spans="1:11" ht="20.25" customHeight="1" thickBot="1" x14ac:dyDescent="0.25">
      <c r="A30" s="11"/>
      <c r="B30" s="11"/>
      <c r="C30" s="11"/>
      <c r="D30" s="11"/>
      <c r="E30" s="11"/>
      <c r="F30" s="11"/>
      <c r="G30" s="23"/>
      <c r="H30" s="23"/>
      <c r="I30" s="23"/>
      <c r="J30" s="160" t="s">
        <v>153</v>
      </c>
      <c r="K30" s="161">
        <v>3063667</v>
      </c>
    </row>
    <row r="31" spans="1:11" ht="23.25" customHeight="1" thickBot="1" x14ac:dyDescent="0.25">
      <c r="A31" s="968" t="s">
        <v>154</v>
      </c>
      <c r="B31" s="969"/>
      <c r="C31" s="970"/>
      <c r="D31" s="11"/>
      <c r="E31" s="968" t="s">
        <v>86</v>
      </c>
      <c r="F31" s="969"/>
      <c r="G31" s="969"/>
      <c r="H31" s="971"/>
      <c r="I31" s="972" t="s">
        <v>161</v>
      </c>
      <c r="J31" s="973"/>
      <c r="K31" s="974"/>
    </row>
    <row r="32" spans="1:11" ht="26.25" customHeight="1" thickBot="1" x14ac:dyDescent="0.25">
      <c r="A32" s="32" t="s">
        <v>155</v>
      </c>
      <c r="B32" s="33" t="s">
        <v>156</v>
      </c>
      <c r="C32" s="34" t="s">
        <v>157</v>
      </c>
      <c r="D32" s="11"/>
      <c r="E32" s="28" t="s">
        <v>127</v>
      </c>
      <c r="F32" s="29" t="s">
        <v>158</v>
      </c>
      <c r="G32" s="29" t="s">
        <v>159</v>
      </c>
      <c r="H32" s="44" t="s">
        <v>160</v>
      </c>
      <c r="I32" s="162" t="s">
        <v>127</v>
      </c>
      <c r="J32" s="163" t="s">
        <v>162</v>
      </c>
      <c r="K32" s="164" t="s">
        <v>163</v>
      </c>
    </row>
    <row r="33" spans="1:11" ht="17.25" customHeight="1" x14ac:dyDescent="0.2">
      <c r="A33" s="26" t="s">
        <v>20</v>
      </c>
      <c r="B33" s="30" t="s">
        <v>21</v>
      </c>
      <c r="C33" s="45">
        <v>0.46666666666666662</v>
      </c>
      <c r="D33" s="11"/>
      <c r="E33" s="31" t="s">
        <v>9</v>
      </c>
      <c r="F33" s="165"/>
      <c r="G33" s="165">
        <v>8117960</v>
      </c>
      <c r="H33" s="166">
        <v>23453643</v>
      </c>
      <c r="I33" s="167" t="s">
        <v>164</v>
      </c>
      <c r="J33" s="128">
        <v>94016</v>
      </c>
      <c r="K33" s="168">
        <v>2884608</v>
      </c>
    </row>
    <row r="34" spans="1:11" ht="17.25" customHeight="1" x14ac:dyDescent="0.2">
      <c r="A34" s="98" t="s">
        <v>34</v>
      </c>
      <c r="B34" s="101" t="s">
        <v>35</v>
      </c>
      <c r="C34" s="102">
        <v>285</v>
      </c>
      <c r="D34" s="11"/>
      <c r="E34" s="95" t="s">
        <v>8</v>
      </c>
      <c r="F34" s="169"/>
      <c r="G34" s="169">
        <v>1193580</v>
      </c>
      <c r="H34" s="170">
        <v>3242850</v>
      </c>
      <c r="I34" s="171" t="s">
        <v>90</v>
      </c>
      <c r="J34" s="130"/>
      <c r="K34" s="172">
        <v>363900</v>
      </c>
    </row>
    <row r="35" spans="1:11" ht="17.25" customHeight="1" x14ac:dyDescent="0.2">
      <c r="A35" s="98" t="s">
        <v>91</v>
      </c>
      <c r="B35" s="103">
        <v>2.0000000000000001E-4</v>
      </c>
      <c r="C35" s="104">
        <v>6.3333333333333332E-3</v>
      </c>
      <c r="D35" s="11"/>
      <c r="E35" s="95" t="s">
        <v>88</v>
      </c>
      <c r="F35" s="169"/>
      <c r="G35" s="169">
        <v>40410</v>
      </c>
      <c r="H35" s="170">
        <v>300810</v>
      </c>
      <c r="I35" s="171" t="s">
        <v>166</v>
      </c>
      <c r="J35" s="130">
        <v>363768</v>
      </c>
      <c r="K35" s="172">
        <v>2835589</v>
      </c>
    </row>
    <row r="36" spans="1:11" ht="17.25" customHeight="1" x14ac:dyDescent="0.2">
      <c r="A36" s="98" t="s">
        <v>92</v>
      </c>
      <c r="B36" s="101" t="s">
        <v>93</v>
      </c>
      <c r="C36" s="104">
        <v>0.62816666666666665</v>
      </c>
      <c r="D36" s="11"/>
      <c r="E36" s="95" t="s">
        <v>165</v>
      </c>
      <c r="F36" s="173"/>
      <c r="G36" s="169"/>
      <c r="H36" s="170">
        <v>0</v>
      </c>
      <c r="I36" s="174" t="s">
        <v>167</v>
      </c>
      <c r="J36" s="130">
        <v>117569</v>
      </c>
      <c r="K36" s="172">
        <v>4542141</v>
      </c>
    </row>
    <row r="37" spans="1:11" ht="17.25" customHeight="1" thickBot="1" x14ac:dyDescent="0.25">
      <c r="A37" s="98" t="s">
        <v>94</v>
      </c>
      <c r="B37" s="101" t="s">
        <v>95</v>
      </c>
      <c r="C37" s="104">
        <v>0.18300000000000002</v>
      </c>
      <c r="D37" s="11"/>
      <c r="E37" s="95" t="s">
        <v>89</v>
      </c>
      <c r="F37" s="173"/>
      <c r="G37" s="169">
        <v>31020</v>
      </c>
      <c r="H37" s="170">
        <v>57940</v>
      </c>
      <c r="I37" s="175" t="s">
        <v>272</v>
      </c>
      <c r="J37" s="130"/>
      <c r="K37" s="172">
        <v>0</v>
      </c>
    </row>
    <row r="38" spans="1:11" ht="17.25" customHeight="1" thickBot="1" x14ac:dyDescent="0.25">
      <c r="A38" s="98" t="s">
        <v>96</v>
      </c>
      <c r="B38" s="101" t="s">
        <v>95</v>
      </c>
      <c r="C38" s="104">
        <v>6.0166666666666667E-2</v>
      </c>
      <c r="D38" s="11"/>
      <c r="E38" s="99" t="s">
        <v>100</v>
      </c>
      <c r="F38" s="176"/>
      <c r="G38" s="177"/>
      <c r="H38" s="178">
        <v>0</v>
      </c>
      <c r="I38" s="978" t="s">
        <v>283</v>
      </c>
      <c r="J38" s="979"/>
      <c r="K38" s="179">
        <v>0</v>
      </c>
    </row>
    <row r="39" spans="1:11" ht="17.25" customHeight="1" thickBot="1" x14ac:dyDescent="0.25">
      <c r="A39" s="105" t="s">
        <v>22</v>
      </c>
      <c r="B39" s="106" t="s">
        <v>23</v>
      </c>
      <c r="C39" s="107">
        <v>0.15000000000000002</v>
      </c>
      <c r="D39" s="11"/>
      <c r="E39" s="11"/>
      <c r="F39" s="11"/>
      <c r="G39" s="11"/>
      <c r="H39" s="11"/>
      <c r="I39" s="978" t="s">
        <v>285</v>
      </c>
      <c r="J39" s="979"/>
      <c r="K39" s="179">
        <v>565829</v>
      </c>
    </row>
    <row r="40" spans="1:11" ht="21.75" customHeight="1" thickTop="1" thickBot="1" x14ac:dyDescent="0.25">
      <c r="A40" s="975" t="s">
        <v>168</v>
      </c>
      <c r="B40" s="976"/>
      <c r="C40" s="977"/>
      <c r="D40" s="11"/>
      <c r="E40" s="954" t="s">
        <v>79</v>
      </c>
      <c r="F40" s="955"/>
      <c r="G40" s="955"/>
      <c r="H40" s="955"/>
      <c r="I40" s="955"/>
      <c r="J40" s="955"/>
      <c r="K40" s="956"/>
    </row>
    <row r="41" spans="1:11" ht="18" customHeight="1" thickBot="1" x14ac:dyDescent="0.25">
      <c r="A41" s="32" t="s">
        <v>155</v>
      </c>
      <c r="B41" s="33" t="s">
        <v>156</v>
      </c>
      <c r="C41" s="34" t="s">
        <v>157</v>
      </c>
      <c r="D41" s="11"/>
      <c r="E41" s="109">
        <v>41339</v>
      </c>
      <c r="F41" s="180" t="s">
        <v>286</v>
      </c>
      <c r="G41" s="181"/>
      <c r="H41" s="181"/>
      <c r="I41" s="182"/>
      <c r="J41" s="183"/>
      <c r="K41" s="184"/>
    </row>
    <row r="42" spans="1:11" ht="27" customHeight="1" x14ac:dyDescent="0.2">
      <c r="A42" s="26" t="s">
        <v>169</v>
      </c>
      <c r="B42" s="35">
        <v>0.8</v>
      </c>
      <c r="C42" s="185">
        <v>80.150000000000006</v>
      </c>
      <c r="D42" s="11"/>
      <c r="E42" s="109">
        <v>41340</v>
      </c>
      <c r="F42" s="180" t="s">
        <v>287</v>
      </c>
      <c r="G42" s="110"/>
      <c r="H42" s="110"/>
      <c r="I42" s="186"/>
      <c r="J42" s="187"/>
      <c r="K42" s="188"/>
    </row>
    <row r="43" spans="1:11" ht="17.25" customHeight="1" x14ac:dyDescent="0.2">
      <c r="A43" s="98" t="s">
        <v>24</v>
      </c>
      <c r="B43" s="101" t="s">
        <v>25</v>
      </c>
      <c r="C43" s="189">
        <v>0.37</v>
      </c>
      <c r="D43" s="11"/>
      <c r="E43" s="109">
        <v>41341</v>
      </c>
      <c r="F43" s="180" t="s">
        <v>288</v>
      </c>
      <c r="G43" s="110"/>
      <c r="H43" s="110"/>
      <c r="I43" s="186"/>
      <c r="J43" s="187"/>
      <c r="K43" s="188"/>
    </row>
    <row r="44" spans="1:11" ht="18" customHeight="1" x14ac:dyDescent="0.2">
      <c r="A44" s="98" t="s">
        <v>31</v>
      </c>
      <c r="B44" s="101"/>
      <c r="C44" s="189">
        <v>1.6699999999999928</v>
      </c>
      <c r="D44" s="11"/>
      <c r="E44" s="109">
        <v>41345</v>
      </c>
      <c r="F44" s="180" t="s">
        <v>289</v>
      </c>
      <c r="G44" s="187"/>
      <c r="H44" s="187"/>
      <c r="I44" s="186"/>
      <c r="J44" s="187"/>
      <c r="K44" s="188"/>
    </row>
    <row r="45" spans="1:11" ht="18" customHeight="1" x14ac:dyDescent="0.2">
      <c r="A45" s="98" t="s">
        <v>97</v>
      </c>
      <c r="B45" s="101" t="s">
        <v>99</v>
      </c>
      <c r="C45" s="189">
        <v>4.37</v>
      </c>
      <c r="D45" s="11"/>
      <c r="E45" s="109">
        <v>41347</v>
      </c>
      <c r="F45" s="180" t="s">
        <v>290</v>
      </c>
      <c r="G45" s="187"/>
      <c r="H45" s="187"/>
      <c r="I45" s="186"/>
      <c r="J45" s="187"/>
      <c r="K45" s="188"/>
    </row>
    <row r="46" spans="1:11" ht="26.25" customHeight="1" thickBot="1" x14ac:dyDescent="0.3">
      <c r="A46" s="111" t="s">
        <v>45</v>
      </c>
      <c r="B46" s="112" t="s">
        <v>99</v>
      </c>
      <c r="C46" s="190">
        <v>13.44</v>
      </c>
      <c r="D46" s="11"/>
      <c r="E46" s="109">
        <v>41348</v>
      </c>
      <c r="F46" s="180" t="s">
        <v>291</v>
      </c>
      <c r="G46"/>
      <c r="H46"/>
      <c r="I46"/>
      <c r="J46"/>
      <c r="K46" s="191"/>
    </row>
    <row r="47" spans="1:11" ht="18.75" customHeight="1" x14ac:dyDescent="0.2">
      <c r="A47" s="11"/>
      <c r="B47" s="11"/>
      <c r="C47" s="51"/>
      <c r="D47" s="11"/>
      <c r="E47" s="109">
        <v>41353</v>
      </c>
      <c r="F47" s="980" t="s">
        <v>292</v>
      </c>
      <c r="G47" s="981"/>
      <c r="H47" s="981"/>
      <c r="I47" s="981"/>
      <c r="J47" s="981"/>
      <c r="K47" s="982"/>
    </row>
    <row r="48" spans="1:11" ht="17.25" customHeight="1" x14ac:dyDescent="0.25">
      <c r="A48"/>
      <c r="B48"/>
      <c r="C48"/>
      <c r="D48"/>
      <c r="E48" s="108">
        <v>41354</v>
      </c>
      <c r="F48" s="980" t="s">
        <v>293</v>
      </c>
      <c r="G48" s="981"/>
      <c r="H48" s="981"/>
      <c r="I48" s="981"/>
      <c r="J48" s="981"/>
      <c r="K48" s="982"/>
    </row>
    <row r="49" spans="1:11" ht="19.5" customHeight="1" x14ac:dyDescent="0.25">
      <c r="A49"/>
      <c r="B49"/>
      <c r="C49"/>
      <c r="D49"/>
      <c r="E49" s="108">
        <v>41355</v>
      </c>
      <c r="F49" s="980" t="s">
        <v>294</v>
      </c>
      <c r="G49" s="981"/>
      <c r="H49" s="981"/>
      <c r="I49" s="981"/>
      <c r="J49" s="981"/>
      <c r="K49" s="982"/>
    </row>
    <row r="50" spans="1:11" ht="18.75" customHeight="1" x14ac:dyDescent="0.25">
      <c r="A50"/>
      <c r="B50"/>
      <c r="C50"/>
      <c r="D50"/>
      <c r="E50" s="108">
        <v>41359</v>
      </c>
      <c r="F50" s="980" t="s">
        <v>295</v>
      </c>
      <c r="G50" s="981"/>
      <c r="H50" s="981"/>
      <c r="I50" s="981"/>
      <c r="J50" s="981"/>
      <c r="K50" s="982"/>
    </row>
    <row r="51" spans="1:11" ht="17.25" customHeight="1" x14ac:dyDescent="0.25">
      <c r="A51"/>
      <c r="B51"/>
      <c r="C51"/>
      <c r="D51"/>
      <c r="E51" s="108"/>
      <c r="F51" s="980"/>
      <c r="G51" s="981"/>
      <c r="H51" s="981"/>
      <c r="I51" s="981"/>
      <c r="J51" s="981"/>
      <c r="K51" s="982"/>
    </row>
    <row r="52" spans="1:11" ht="18" customHeight="1" x14ac:dyDescent="0.2">
      <c r="E52" s="108"/>
      <c r="F52" s="980"/>
      <c r="G52" s="981"/>
      <c r="H52" s="981"/>
      <c r="I52" s="981"/>
      <c r="J52" s="981"/>
      <c r="K52" s="982"/>
    </row>
    <row r="53" spans="1:11" ht="18.75" customHeight="1" x14ac:dyDescent="0.2">
      <c r="E53" s="113"/>
      <c r="F53" s="980"/>
      <c r="G53" s="981"/>
      <c r="H53" s="981"/>
      <c r="I53" s="981"/>
      <c r="J53" s="981"/>
      <c r="K53" s="982"/>
    </row>
    <row r="54" spans="1:11" ht="17.25" customHeight="1" x14ac:dyDescent="0.2">
      <c r="E54" s="108"/>
      <c r="F54" s="980"/>
      <c r="G54" s="981"/>
      <c r="H54" s="981"/>
      <c r="I54" s="981"/>
      <c r="J54" s="981"/>
      <c r="K54" s="982"/>
    </row>
    <row r="55" spans="1:11" ht="20.25" customHeight="1" x14ac:dyDescent="0.2">
      <c r="E55" s="108"/>
      <c r="F55" s="980"/>
      <c r="G55" s="981"/>
      <c r="H55" s="981"/>
      <c r="I55" s="981"/>
      <c r="J55" s="981"/>
      <c r="K55" s="982"/>
    </row>
    <row r="56" spans="1:11" ht="20.25" customHeight="1" thickBot="1" x14ac:dyDescent="0.25">
      <c r="E56" s="114"/>
      <c r="F56" s="983"/>
      <c r="G56" s="984"/>
      <c r="H56" s="984"/>
      <c r="I56" s="984"/>
      <c r="J56" s="984"/>
      <c r="K56" s="985"/>
    </row>
    <row r="57" spans="1:11" ht="20.25" customHeight="1" x14ac:dyDescent="0.2">
      <c r="E57" s="108"/>
      <c r="F57" s="980"/>
      <c r="G57" s="981"/>
      <c r="H57" s="981"/>
      <c r="I57" s="981"/>
      <c r="J57" s="981"/>
      <c r="K57" s="982"/>
    </row>
    <row r="58" spans="1:11" ht="18.75" customHeight="1" x14ac:dyDescent="0.2">
      <c r="E58" s="108"/>
      <c r="F58" s="980"/>
      <c r="G58" s="981"/>
      <c r="H58" s="981"/>
      <c r="I58" s="981"/>
      <c r="J58" s="981"/>
      <c r="K58" s="982"/>
    </row>
    <row r="59" spans="1:11" ht="19.5" customHeight="1" thickBot="1" x14ac:dyDescent="0.25">
      <c r="E59" s="114"/>
      <c r="F59" s="983"/>
      <c r="G59" s="984"/>
      <c r="H59" s="984"/>
      <c r="I59" s="984"/>
      <c r="J59" s="984"/>
      <c r="K59" s="985"/>
    </row>
    <row r="60" spans="1:11" x14ac:dyDescent="0.2">
      <c r="E60" s="115"/>
    </row>
    <row r="61" spans="1:11" x14ac:dyDescent="0.2">
      <c r="E61" s="115"/>
    </row>
    <row r="62" spans="1:11" x14ac:dyDescent="0.2">
      <c r="E62" s="115"/>
    </row>
    <row r="63" spans="1:11" x14ac:dyDescent="0.2">
      <c r="E63" s="115"/>
    </row>
    <row r="64" spans="1:11" x14ac:dyDescent="0.2">
      <c r="E64" s="115"/>
    </row>
  </sheetData>
  <mergeCells count="26">
    <mergeCell ref="F52:K52"/>
    <mergeCell ref="F59:K59"/>
    <mergeCell ref="F53:K53"/>
    <mergeCell ref="F54:K54"/>
    <mergeCell ref="F55:K55"/>
    <mergeCell ref="F56:K56"/>
    <mergeCell ref="F57:K57"/>
    <mergeCell ref="F58:K58"/>
    <mergeCell ref="F47:K47"/>
    <mergeCell ref="F48:K48"/>
    <mergeCell ref="F49:K49"/>
    <mergeCell ref="F50:K50"/>
    <mergeCell ref="F51:K51"/>
    <mergeCell ref="H20:H27"/>
    <mergeCell ref="A31:C31"/>
    <mergeCell ref="E31:H31"/>
    <mergeCell ref="I31:K31"/>
    <mergeCell ref="A40:C40"/>
    <mergeCell ref="E40:K40"/>
    <mergeCell ref="I38:J38"/>
    <mergeCell ref="I39:J39"/>
    <mergeCell ref="A1:K1"/>
    <mergeCell ref="B4:D4"/>
    <mergeCell ref="B5:D5"/>
    <mergeCell ref="A13:E13"/>
    <mergeCell ref="F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1"/>
  <dimension ref="A1:I91"/>
  <sheetViews>
    <sheetView topLeftCell="A46" workbookViewId="0">
      <selection activeCell="M58" sqref="M58"/>
    </sheetView>
  </sheetViews>
  <sheetFormatPr baseColWidth="10" defaultRowHeight="15" x14ac:dyDescent="0.25"/>
  <cols>
    <col min="3" max="3" width="12.42578125" bestFit="1" customWidth="1"/>
    <col min="4" max="4" width="13.5703125" customWidth="1"/>
    <col min="9" max="9" width="18.42578125" bestFit="1" customWidth="1"/>
  </cols>
  <sheetData>
    <row r="1" spans="1:9" x14ac:dyDescent="0.25">
      <c r="A1" s="991"/>
      <c r="B1" s="992"/>
      <c r="C1" s="995" t="s">
        <v>170</v>
      </c>
      <c r="D1" s="996"/>
      <c r="E1" s="996"/>
      <c r="F1" s="996"/>
      <c r="G1" s="997"/>
      <c r="H1" s="1012" t="s">
        <v>296</v>
      </c>
      <c r="I1" s="1013"/>
    </row>
    <row r="2" spans="1:9" x14ac:dyDescent="0.25">
      <c r="A2" s="993"/>
      <c r="B2" s="994"/>
      <c r="C2" s="998"/>
      <c r="D2" s="999"/>
      <c r="E2" s="999"/>
      <c r="F2" s="999"/>
      <c r="G2" s="1000"/>
      <c r="H2" s="1012" t="s">
        <v>297</v>
      </c>
      <c r="I2" s="1013"/>
    </row>
    <row r="3" spans="1:9" x14ac:dyDescent="0.25">
      <c r="A3" s="1003" t="s">
        <v>171</v>
      </c>
      <c r="B3" s="1004"/>
      <c r="C3" s="1004"/>
      <c r="D3" s="1004"/>
      <c r="E3" s="1004"/>
      <c r="F3" s="1004"/>
      <c r="G3" s="1004"/>
      <c r="H3" s="1004"/>
      <c r="I3" s="1005"/>
    </row>
    <row r="4" spans="1:9" x14ac:dyDescent="0.25">
      <c r="A4" s="1014" t="s">
        <v>172</v>
      </c>
      <c r="B4" s="1015"/>
      <c r="C4" s="53" t="s">
        <v>87</v>
      </c>
      <c r="D4" s="53" t="s">
        <v>173</v>
      </c>
      <c r="E4" s="52" t="s">
        <v>174</v>
      </c>
      <c r="F4" s="53" t="s">
        <v>175</v>
      </c>
      <c r="G4" s="53" t="s">
        <v>176</v>
      </c>
      <c r="H4" s="53" t="s">
        <v>177</v>
      </c>
      <c r="I4" s="53" t="s">
        <v>178</v>
      </c>
    </row>
    <row r="5" spans="1:9" x14ac:dyDescent="0.25">
      <c r="A5" s="1002" t="s">
        <v>179</v>
      </c>
      <c r="B5" s="1002"/>
      <c r="C5" s="54" t="s">
        <v>180</v>
      </c>
      <c r="D5" s="54" t="s">
        <v>181</v>
      </c>
      <c r="E5" s="55">
        <v>331.64166666666665</v>
      </c>
      <c r="F5" s="55">
        <v>344</v>
      </c>
      <c r="G5" s="55">
        <v>323.5888888888889</v>
      </c>
      <c r="H5" s="55">
        <v>320.32857142857137</v>
      </c>
      <c r="I5" s="36">
        <f>AVERAGE(E5:H5)</f>
        <v>329.88978174603176</v>
      </c>
    </row>
    <row r="6" spans="1:9" x14ac:dyDescent="0.25">
      <c r="A6" s="1001" t="s">
        <v>182</v>
      </c>
      <c r="B6" s="1001"/>
      <c r="C6" s="56" t="s">
        <v>180</v>
      </c>
      <c r="D6" s="56" t="s">
        <v>183</v>
      </c>
      <c r="E6" s="57">
        <v>19.925000000000001</v>
      </c>
      <c r="F6" s="57">
        <v>33.571428571428577</v>
      </c>
      <c r="G6" s="57">
        <v>7.855555555555557</v>
      </c>
      <c r="H6" s="57">
        <v>31.071428571428573</v>
      </c>
      <c r="I6" s="37">
        <f t="shared" ref="I6:I12" si="0">AVERAGE(E6:H6)</f>
        <v>23.105853174603176</v>
      </c>
    </row>
    <row r="7" spans="1:9" x14ac:dyDescent="0.25">
      <c r="A7" s="1001" t="s">
        <v>184</v>
      </c>
      <c r="B7" s="1001"/>
      <c r="C7" s="56" t="s">
        <v>185</v>
      </c>
      <c r="D7" s="56" t="s">
        <v>186</v>
      </c>
      <c r="E7" s="58">
        <v>8.4999999999999992E-2</v>
      </c>
      <c r="F7" s="58">
        <v>9.5714285714285724E-2</v>
      </c>
      <c r="G7" s="58">
        <v>0.14500000000000002</v>
      </c>
      <c r="H7" s="58">
        <v>0.13083333333333333</v>
      </c>
      <c r="I7" s="38">
        <f t="shared" si="0"/>
        <v>0.11413690476190477</v>
      </c>
    </row>
    <row r="8" spans="1:9" x14ac:dyDescent="0.25">
      <c r="A8" s="1001" t="s">
        <v>187</v>
      </c>
      <c r="B8" s="1001"/>
      <c r="C8" s="56" t="s">
        <v>185</v>
      </c>
      <c r="D8" s="56" t="s">
        <v>188</v>
      </c>
      <c r="E8" s="59">
        <v>0.50592083333333338</v>
      </c>
      <c r="F8" s="59">
        <v>0.44868809523809527</v>
      </c>
      <c r="G8" s="59">
        <v>0.54999999999999993</v>
      </c>
      <c r="H8" s="59">
        <v>0.33723809523809523</v>
      </c>
      <c r="I8" s="39">
        <f t="shared" si="0"/>
        <v>0.46046175595238092</v>
      </c>
    </row>
    <row r="9" spans="1:9" x14ac:dyDescent="0.25">
      <c r="A9" s="1001" t="s">
        <v>189</v>
      </c>
      <c r="B9" s="1001"/>
      <c r="C9" s="56" t="s">
        <v>185</v>
      </c>
      <c r="D9" s="56" t="s">
        <v>190</v>
      </c>
      <c r="E9" s="59">
        <v>0.16106458333333334</v>
      </c>
      <c r="F9" s="59">
        <v>0.16528571428571429</v>
      </c>
      <c r="G9" s="59">
        <v>0.16997222222222222</v>
      </c>
      <c r="H9" s="59">
        <v>0.10613333333333334</v>
      </c>
      <c r="I9" s="39">
        <f t="shared" si="0"/>
        <v>0.15061396329365079</v>
      </c>
    </row>
    <row r="10" spans="1:9" x14ac:dyDescent="0.25">
      <c r="A10" s="1001" t="s">
        <v>191</v>
      </c>
      <c r="B10" s="1001"/>
      <c r="C10" s="56" t="s">
        <v>185</v>
      </c>
      <c r="D10" s="56" t="s">
        <v>190</v>
      </c>
      <c r="E10" s="59">
        <v>7.7087500000000003E-2</v>
      </c>
      <c r="F10" s="59">
        <v>9.3023809523809523E-2</v>
      </c>
      <c r="G10" s="59">
        <v>6.9111111111111109E-2</v>
      </c>
      <c r="H10" s="59">
        <v>3.7219047619047617E-2</v>
      </c>
      <c r="I10" s="39">
        <f t="shared" si="0"/>
        <v>6.9110367063492065E-2</v>
      </c>
    </row>
    <row r="11" spans="1:9" x14ac:dyDescent="0.25">
      <c r="A11" s="1001" t="s">
        <v>192</v>
      </c>
      <c r="B11" s="1001"/>
      <c r="C11" s="56" t="s">
        <v>185</v>
      </c>
      <c r="D11" s="56" t="s">
        <v>193</v>
      </c>
      <c r="E11" s="59">
        <v>8.1479166666666679E-3</v>
      </c>
      <c r="F11" s="59">
        <v>1.2142857142857144E-2</v>
      </c>
      <c r="G11" s="59">
        <v>1.623888888888889E-2</v>
      </c>
      <c r="H11" s="59">
        <v>1.1861904761904759E-2</v>
      </c>
      <c r="I11" s="39">
        <f t="shared" si="0"/>
        <v>1.2097891865079367E-2</v>
      </c>
    </row>
    <row r="12" spans="1:9" x14ac:dyDescent="0.25">
      <c r="A12" s="1001" t="s">
        <v>194</v>
      </c>
      <c r="B12" s="1001"/>
      <c r="C12" s="56" t="s">
        <v>185</v>
      </c>
      <c r="D12" s="56" t="s">
        <v>195</v>
      </c>
      <c r="E12" s="59">
        <v>0.17111874999999999</v>
      </c>
      <c r="F12" s="59">
        <v>0.16371428571428573</v>
      </c>
      <c r="G12" s="59">
        <v>0.19120555555555555</v>
      </c>
      <c r="H12" s="59">
        <v>0.11603333333333334</v>
      </c>
      <c r="I12" s="39">
        <f t="shared" si="0"/>
        <v>0.16051798115079363</v>
      </c>
    </row>
    <row r="13" spans="1:9" x14ac:dyDescent="0.25">
      <c r="A13" s="1001" t="s">
        <v>196</v>
      </c>
      <c r="B13" s="1001"/>
      <c r="C13" s="56" t="s">
        <v>197</v>
      </c>
      <c r="D13" s="56" t="s">
        <v>198</v>
      </c>
      <c r="E13" s="58">
        <v>0.44118749999999995</v>
      </c>
      <c r="F13" s="58">
        <v>0.42595238095238103</v>
      </c>
      <c r="G13" s="58">
        <v>0.42383333333333334</v>
      </c>
      <c r="H13" s="58">
        <v>0.32933333333333337</v>
      </c>
      <c r="I13" s="38">
        <f>AVERAGE(E13:H13)</f>
        <v>0.40507663690476192</v>
      </c>
    </row>
    <row r="14" spans="1:9" x14ac:dyDescent="0.25">
      <c r="A14" s="1001" t="s">
        <v>199</v>
      </c>
      <c r="B14" s="1001"/>
      <c r="C14" s="56" t="s">
        <v>185</v>
      </c>
      <c r="D14" s="56" t="s">
        <v>200</v>
      </c>
      <c r="E14" s="57">
        <v>96.984791666666666</v>
      </c>
      <c r="F14" s="57">
        <v>97.002222222222215</v>
      </c>
      <c r="G14" s="57">
        <v>96.514722222222233</v>
      </c>
      <c r="H14" s="57">
        <v>97.147619047619045</v>
      </c>
      <c r="I14" s="37">
        <f>AVERAGE(E14:H14)</f>
        <v>96.912338789682551</v>
      </c>
    </row>
    <row r="15" spans="1:9" x14ac:dyDescent="0.25">
      <c r="A15" s="1003" t="s">
        <v>201</v>
      </c>
      <c r="B15" s="1004"/>
      <c r="C15" s="1004"/>
      <c r="D15" s="1004"/>
      <c r="E15" s="1004"/>
      <c r="F15" s="1004"/>
      <c r="G15" s="1004"/>
      <c r="H15" s="1004"/>
      <c r="I15" s="1005"/>
    </row>
    <row r="16" spans="1:9" x14ac:dyDescent="0.25">
      <c r="A16" s="1006" t="s">
        <v>172</v>
      </c>
      <c r="B16" s="1008"/>
      <c r="C16" s="60" t="s">
        <v>87</v>
      </c>
      <c r="D16" s="60" t="s">
        <v>173</v>
      </c>
      <c r="E16" s="52" t="s">
        <v>174</v>
      </c>
      <c r="F16" s="53" t="s">
        <v>175</v>
      </c>
      <c r="G16" s="53" t="s">
        <v>176</v>
      </c>
      <c r="H16" s="53" t="s">
        <v>177</v>
      </c>
      <c r="I16" s="53" t="s">
        <v>178</v>
      </c>
    </row>
    <row r="17" spans="1:9" x14ac:dyDescent="0.25">
      <c r="A17" s="1001" t="s">
        <v>179</v>
      </c>
      <c r="B17" s="1001"/>
      <c r="C17" s="56" t="s">
        <v>202</v>
      </c>
      <c r="D17" s="61" t="s">
        <v>203</v>
      </c>
      <c r="E17" s="62">
        <v>10.244285714285713</v>
      </c>
      <c r="F17" s="62">
        <v>11.66</v>
      </c>
      <c r="G17" s="62">
        <v>14.617142857142856</v>
      </c>
      <c r="H17" s="62">
        <v>10.831428571428573</v>
      </c>
      <c r="I17" s="63">
        <f>AVERAGE(E17:H17)</f>
        <v>11.838214285714287</v>
      </c>
    </row>
    <row r="18" spans="1:9" x14ac:dyDescent="0.25">
      <c r="A18" s="1001" t="s">
        <v>184</v>
      </c>
      <c r="B18" s="1001"/>
      <c r="C18" s="56" t="s">
        <v>202</v>
      </c>
      <c r="D18" s="64" t="s">
        <v>273</v>
      </c>
      <c r="E18" s="65">
        <v>0.43250000000000005</v>
      </c>
      <c r="F18" s="65">
        <v>0.18814285714285714</v>
      </c>
      <c r="G18" s="65">
        <v>0.42857142857142855</v>
      </c>
      <c r="H18" s="65">
        <v>0.10714285714285714</v>
      </c>
      <c r="I18" s="66">
        <f>AVERAGE(E18:H18)</f>
        <v>0.28908928571428572</v>
      </c>
    </row>
    <row r="19" spans="1:9" x14ac:dyDescent="0.25">
      <c r="A19" s="1001" t="s">
        <v>204</v>
      </c>
      <c r="B19" s="1001"/>
      <c r="C19" s="56" t="s">
        <v>202</v>
      </c>
      <c r="D19" s="56" t="s">
        <v>274</v>
      </c>
      <c r="E19" s="67">
        <v>82.568750000000009</v>
      </c>
      <c r="F19" s="67">
        <v>80.849999999999994</v>
      </c>
      <c r="G19" s="67">
        <v>77.884285714285724</v>
      </c>
      <c r="H19" s="67">
        <v>82.731428571428552</v>
      </c>
      <c r="I19" s="68">
        <f>AVERAGE(E19:H19)</f>
        <v>81.008616071428577</v>
      </c>
    </row>
    <row r="20" spans="1:9" x14ac:dyDescent="0.25">
      <c r="A20" s="1001" t="s">
        <v>97</v>
      </c>
      <c r="B20" s="1001"/>
      <c r="C20" s="56" t="s">
        <v>202</v>
      </c>
      <c r="D20" s="56" t="s">
        <v>205</v>
      </c>
      <c r="E20" s="67">
        <v>4.9237500000000001</v>
      </c>
      <c r="F20" s="67">
        <v>4.6085714285714294</v>
      </c>
      <c r="G20" s="67">
        <v>4.58</v>
      </c>
      <c r="H20" s="67">
        <v>4.5757142857142856</v>
      </c>
      <c r="I20" s="68">
        <f>AVERAGE(E20:H20)</f>
        <v>4.6720089285714286</v>
      </c>
    </row>
    <row r="21" spans="1:9" x14ac:dyDescent="0.25">
      <c r="A21" s="1003" t="s">
        <v>206</v>
      </c>
      <c r="B21" s="1004"/>
      <c r="C21" s="1004"/>
      <c r="D21" s="1004"/>
      <c r="E21" s="1004"/>
      <c r="F21" s="1004"/>
      <c r="G21" s="1004"/>
      <c r="H21" s="1004"/>
      <c r="I21" s="1005"/>
    </row>
    <row r="22" spans="1:9" x14ac:dyDescent="0.25">
      <c r="A22" s="1006"/>
      <c r="B22" s="1007"/>
      <c r="C22" s="1007"/>
      <c r="D22" s="1007"/>
      <c r="E22" s="1007"/>
      <c r="F22" s="1007"/>
      <c r="G22" s="1007"/>
      <c r="H22" s="1007"/>
      <c r="I22" s="1008"/>
    </row>
    <row r="23" spans="1:9" x14ac:dyDescent="0.25">
      <c r="A23" s="1009" t="s">
        <v>59</v>
      </c>
      <c r="B23" s="1010"/>
      <c r="C23" s="1010"/>
      <c r="D23" s="1010"/>
      <c r="E23" s="1010"/>
      <c r="F23" s="1010"/>
      <c r="G23" s="1010"/>
      <c r="H23" s="1010"/>
      <c r="I23" s="1011"/>
    </row>
    <row r="24" spans="1:9" x14ac:dyDescent="0.25">
      <c r="A24" s="1006" t="s">
        <v>172</v>
      </c>
      <c r="B24" s="1008"/>
      <c r="C24" s="60" t="s">
        <v>87</v>
      </c>
      <c r="D24" s="60" t="s">
        <v>173</v>
      </c>
      <c r="E24" s="52" t="s">
        <v>174</v>
      </c>
      <c r="F24" s="53" t="s">
        <v>175</v>
      </c>
      <c r="G24" s="53" t="s">
        <v>176</v>
      </c>
      <c r="H24" s="53" t="s">
        <v>177</v>
      </c>
      <c r="I24" s="53" t="s">
        <v>178</v>
      </c>
    </row>
    <row r="25" spans="1:9" x14ac:dyDescent="0.25">
      <c r="A25" s="1016" t="s">
        <v>179</v>
      </c>
      <c r="B25" s="1017"/>
      <c r="C25" s="56" t="s">
        <v>185</v>
      </c>
      <c r="D25" s="56" t="s">
        <v>198</v>
      </c>
      <c r="E25" s="69">
        <v>0.26</v>
      </c>
      <c r="F25" s="69">
        <v>0.25</v>
      </c>
      <c r="G25" s="69">
        <v>0.26</v>
      </c>
      <c r="H25" s="69">
        <v>0.23</v>
      </c>
      <c r="I25" s="70">
        <f>AVERAGE(E25:H25)</f>
        <v>0.25</v>
      </c>
    </row>
    <row r="26" spans="1:9" x14ac:dyDescent="0.25">
      <c r="A26" s="1016" t="s">
        <v>207</v>
      </c>
      <c r="B26" s="1017"/>
      <c r="C26" s="56" t="s">
        <v>185</v>
      </c>
      <c r="D26" s="56" t="s">
        <v>208</v>
      </c>
      <c r="E26" s="69">
        <v>2.39</v>
      </c>
      <c r="F26" s="69">
        <v>2.48</v>
      </c>
      <c r="G26" s="69">
        <v>2.36</v>
      </c>
      <c r="H26" s="69">
        <v>2.76</v>
      </c>
      <c r="I26" s="70">
        <f>AVERAGE(E26:H26)</f>
        <v>2.4975000000000001</v>
      </c>
    </row>
    <row r="27" spans="1:9" x14ac:dyDescent="0.25">
      <c r="A27" s="1018" t="s">
        <v>275</v>
      </c>
      <c r="B27" s="1019"/>
      <c r="C27" s="1019"/>
      <c r="D27" s="1019"/>
      <c r="E27" s="1019"/>
      <c r="F27" s="1019"/>
      <c r="G27" s="1019"/>
      <c r="H27" s="1019"/>
      <c r="I27" s="1020"/>
    </row>
    <row r="28" spans="1:9" x14ac:dyDescent="0.25">
      <c r="A28" s="1016" t="s">
        <v>179</v>
      </c>
      <c r="B28" s="1017"/>
      <c r="C28" s="56" t="s">
        <v>180</v>
      </c>
      <c r="D28" s="56" t="s">
        <v>181</v>
      </c>
      <c r="E28" s="71" t="s">
        <v>205</v>
      </c>
      <c r="F28" s="71" t="s">
        <v>205</v>
      </c>
      <c r="G28" s="71" t="s">
        <v>205</v>
      </c>
      <c r="H28" s="71" t="s">
        <v>205</v>
      </c>
      <c r="I28" s="72" t="s">
        <v>205</v>
      </c>
    </row>
    <row r="29" spans="1:9" x14ac:dyDescent="0.25">
      <c r="A29" s="1016" t="s">
        <v>207</v>
      </c>
      <c r="B29" s="1017"/>
      <c r="C29" s="56" t="s">
        <v>185</v>
      </c>
      <c r="D29" s="56" t="s">
        <v>211</v>
      </c>
      <c r="E29" s="71" t="s">
        <v>205</v>
      </c>
      <c r="F29" s="71" t="s">
        <v>205</v>
      </c>
      <c r="G29" s="71" t="s">
        <v>205</v>
      </c>
      <c r="H29" s="71" t="s">
        <v>205</v>
      </c>
      <c r="I29" s="66" t="s">
        <v>205</v>
      </c>
    </row>
    <row r="30" spans="1:9" x14ac:dyDescent="0.25">
      <c r="A30" s="1018" t="s">
        <v>209</v>
      </c>
      <c r="B30" s="1019"/>
      <c r="C30" s="1019"/>
      <c r="D30" s="1019"/>
      <c r="E30" s="1019"/>
      <c r="F30" s="1019"/>
      <c r="G30" s="1019"/>
      <c r="H30" s="1019"/>
      <c r="I30" s="1020"/>
    </row>
    <row r="31" spans="1:9" x14ac:dyDescent="0.25">
      <c r="A31" s="1016" t="s">
        <v>179</v>
      </c>
      <c r="B31" s="1017"/>
      <c r="C31" s="56" t="s">
        <v>180</v>
      </c>
      <c r="D31" s="56" t="s">
        <v>181</v>
      </c>
      <c r="E31" s="71" t="s">
        <v>205</v>
      </c>
      <c r="F31" s="71">
        <v>65</v>
      </c>
      <c r="G31" s="71">
        <v>228</v>
      </c>
      <c r="H31" s="71">
        <v>88</v>
      </c>
      <c r="I31" s="72">
        <f>AVERAGE(E31:H31)</f>
        <v>127</v>
      </c>
    </row>
    <row r="32" spans="1:9" x14ac:dyDescent="0.25">
      <c r="A32" s="1016" t="s">
        <v>207</v>
      </c>
      <c r="B32" s="1017"/>
      <c r="C32" s="56" t="s">
        <v>185</v>
      </c>
      <c r="D32" s="56" t="s">
        <v>211</v>
      </c>
      <c r="E32" s="71" t="s">
        <v>205</v>
      </c>
      <c r="F32" s="71">
        <v>0.06</v>
      </c>
      <c r="G32" s="71">
        <v>0.08</v>
      </c>
      <c r="H32" s="71">
        <v>0.08</v>
      </c>
      <c r="I32" s="66">
        <f>AVERAGE(E32:H32)</f>
        <v>7.3333333333333348E-2</v>
      </c>
    </row>
    <row r="33" spans="1:9" x14ac:dyDescent="0.25">
      <c r="A33" s="1003" t="s">
        <v>212</v>
      </c>
      <c r="B33" s="1004"/>
      <c r="C33" s="1004"/>
      <c r="D33" s="1004"/>
      <c r="E33" s="1004"/>
      <c r="F33" s="1004"/>
      <c r="G33" s="1004"/>
      <c r="H33" s="1004"/>
      <c r="I33" s="1005"/>
    </row>
    <row r="34" spans="1:9" x14ac:dyDescent="0.25">
      <c r="A34" s="1006" t="s">
        <v>172</v>
      </c>
      <c r="B34" s="1008"/>
      <c r="C34" s="60" t="s">
        <v>87</v>
      </c>
      <c r="D34" s="60" t="s">
        <v>173</v>
      </c>
      <c r="E34" s="52" t="s">
        <v>174</v>
      </c>
      <c r="F34" s="53" t="s">
        <v>175</v>
      </c>
      <c r="G34" s="53" t="s">
        <v>176</v>
      </c>
      <c r="H34" s="53" t="s">
        <v>177</v>
      </c>
      <c r="I34" s="53" t="s">
        <v>178</v>
      </c>
    </row>
    <row r="35" spans="1:9" x14ac:dyDescent="0.25">
      <c r="A35" s="1016" t="s">
        <v>179</v>
      </c>
      <c r="B35" s="1017"/>
      <c r="C35" s="56" t="s">
        <v>185</v>
      </c>
      <c r="D35" s="56" t="s">
        <v>198</v>
      </c>
      <c r="E35" s="73">
        <v>0.23</v>
      </c>
      <c r="F35" s="71">
        <v>0.24</v>
      </c>
      <c r="G35" s="74">
        <v>0.27</v>
      </c>
      <c r="H35" s="75">
        <v>0.28000000000000003</v>
      </c>
      <c r="I35" s="70">
        <f>AVERAGE(E35:H35)</f>
        <v>0.255</v>
      </c>
    </row>
    <row r="36" spans="1:9" x14ac:dyDescent="0.25">
      <c r="A36" s="1016" t="s">
        <v>207</v>
      </c>
      <c r="B36" s="1017"/>
      <c r="C36" s="56" t="s">
        <v>185</v>
      </c>
      <c r="D36" s="56" t="s">
        <v>208</v>
      </c>
      <c r="E36" s="69">
        <v>2.5499999999999998</v>
      </c>
      <c r="F36" s="71">
        <v>2.99</v>
      </c>
      <c r="G36" s="76">
        <v>2.68</v>
      </c>
      <c r="H36" s="75">
        <v>2.86</v>
      </c>
      <c r="I36" s="70">
        <f>AVERAGE(E36:H36)</f>
        <v>2.77</v>
      </c>
    </row>
    <row r="37" spans="1:9" x14ac:dyDescent="0.25">
      <c r="A37" s="1003" t="s">
        <v>213</v>
      </c>
      <c r="B37" s="1004"/>
      <c r="C37" s="1004"/>
      <c r="D37" s="1004"/>
      <c r="E37" s="1004"/>
      <c r="F37" s="1004"/>
      <c r="G37" s="1004"/>
      <c r="H37" s="1004"/>
      <c r="I37" s="1005"/>
    </row>
    <row r="38" spans="1:9" x14ac:dyDescent="0.25">
      <c r="A38" s="1016" t="s">
        <v>179</v>
      </c>
      <c r="B38" s="1017"/>
      <c r="C38" s="56" t="s">
        <v>180</v>
      </c>
      <c r="D38" s="56" t="s">
        <v>181</v>
      </c>
      <c r="E38" s="71">
        <v>176</v>
      </c>
      <c r="F38" s="77">
        <v>361</v>
      </c>
      <c r="G38" s="77">
        <v>449</v>
      </c>
      <c r="H38" s="78">
        <v>159</v>
      </c>
      <c r="I38" s="72">
        <f>AVERAGE(E38:H38)</f>
        <v>286.25</v>
      </c>
    </row>
    <row r="39" spans="1:9" x14ac:dyDescent="0.25">
      <c r="A39" s="1016" t="s">
        <v>207</v>
      </c>
      <c r="B39" s="1017"/>
      <c r="C39" s="56" t="s">
        <v>185</v>
      </c>
      <c r="D39" s="56" t="s">
        <v>211</v>
      </c>
      <c r="E39" s="65">
        <v>0.08</v>
      </c>
      <c r="F39" s="79">
        <v>0.1</v>
      </c>
      <c r="G39" s="79">
        <v>0.09</v>
      </c>
      <c r="H39" s="79">
        <v>0.09</v>
      </c>
      <c r="I39" s="66">
        <f>AVERAGE(E39:H39)</f>
        <v>0.09</v>
      </c>
    </row>
    <row r="40" spans="1:9" x14ac:dyDescent="0.25">
      <c r="A40" s="1018" t="s">
        <v>12</v>
      </c>
      <c r="B40" s="1019"/>
      <c r="C40" s="1019"/>
      <c r="D40" s="1019"/>
      <c r="E40" s="1019"/>
      <c r="F40" s="1019"/>
      <c r="G40" s="1019"/>
      <c r="H40" s="1019"/>
      <c r="I40" s="1020"/>
    </row>
    <row r="41" spans="1:9" x14ac:dyDescent="0.25">
      <c r="A41" s="1016" t="s">
        <v>179</v>
      </c>
      <c r="B41" s="1017"/>
      <c r="C41" s="56" t="s">
        <v>180</v>
      </c>
      <c r="D41" s="56" t="s">
        <v>210</v>
      </c>
      <c r="E41" s="71">
        <v>169</v>
      </c>
      <c r="F41" s="77">
        <v>196</v>
      </c>
      <c r="G41" s="77">
        <v>181</v>
      </c>
      <c r="H41" s="77">
        <v>170</v>
      </c>
      <c r="I41" s="72">
        <f>AVERAGE(E41:H41)</f>
        <v>179</v>
      </c>
    </row>
    <row r="42" spans="1:9" x14ac:dyDescent="0.25">
      <c r="A42" s="1018" t="s">
        <v>214</v>
      </c>
      <c r="B42" s="1019"/>
      <c r="C42" s="1019"/>
      <c r="D42" s="1019"/>
      <c r="E42" s="1019"/>
      <c r="F42" s="1019"/>
      <c r="G42" s="1019"/>
      <c r="H42" s="1019"/>
      <c r="I42" s="1020"/>
    </row>
    <row r="43" spans="1:9" x14ac:dyDescent="0.25">
      <c r="A43" s="1016" t="s">
        <v>215</v>
      </c>
      <c r="B43" s="1017"/>
      <c r="C43" s="56" t="s">
        <v>185</v>
      </c>
      <c r="D43" s="56" t="s">
        <v>276</v>
      </c>
      <c r="E43" s="65">
        <v>32.94</v>
      </c>
      <c r="F43" s="79">
        <v>32.4</v>
      </c>
      <c r="G43" s="79">
        <v>32.43</v>
      </c>
      <c r="H43" s="65">
        <v>32.29</v>
      </c>
      <c r="I43" s="66">
        <f>AVERAGE(E43:H43)</f>
        <v>32.515000000000001</v>
      </c>
    </row>
    <row r="44" spans="1:9" x14ac:dyDescent="0.25">
      <c r="A44" s="1018" t="s">
        <v>216</v>
      </c>
      <c r="B44" s="1019"/>
      <c r="C44" s="1019"/>
      <c r="D44" s="1019"/>
      <c r="E44" s="1019"/>
      <c r="F44" s="1019"/>
      <c r="G44" s="1019"/>
      <c r="H44" s="1019"/>
      <c r="I44" s="1020"/>
    </row>
    <row r="45" spans="1:9" x14ac:dyDescent="0.25">
      <c r="A45" s="1001" t="s">
        <v>215</v>
      </c>
      <c r="B45" s="1001"/>
      <c r="C45" s="56" t="s">
        <v>185</v>
      </c>
      <c r="D45" s="56" t="s">
        <v>277</v>
      </c>
      <c r="E45" s="71">
        <v>52.13</v>
      </c>
      <c r="F45" s="71" t="s">
        <v>205</v>
      </c>
      <c r="G45" s="77" t="s">
        <v>205</v>
      </c>
      <c r="H45" s="71">
        <v>50.08</v>
      </c>
      <c r="I45" s="66">
        <f>AVERAGE(E45:H45)</f>
        <v>51.105000000000004</v>
      </c>
    </row>
    <row r="46" spans="1:9" x14ac:dyDescent="0.25">
      <c r="A46" s="1018" t="s">
        <v>298</v>
      </c>
      <c r="B46" s="1019"/>
      <c r="C46" s="1019"/>
      <c r="D46" s="1019"/>
      <c r="E46" s="1019"/>
      <c r="F46" s="1019"/>
      <c r="G46" s="1019"/>
      <c r="H46" s="1019"/>
      <c r="I46" s="1020"/>
    </row>
    <row r="47" spans="1:9" x14ac:dyDescent="0.25">
      <c r="A47" s="1001" t="s">
        <v>215</v>
      </c>
      <c r="B47" s="1001"/>
      <c r="C47" s="56" t="s">
        <v>185</v>
      </c>
      <c r="D47" s="56" t="s">
        <v>278</v>
      </c>
      <c r="E47" s="192">
        <v>98</v>
      </c>
      <c r="F47" s="193" t="s">
        <v>205</v>
      </c>
      <c r="G47" s="193" t="s">
        <v>205</v>
      </c>
      <c r="H47" s="193" t="s">
        <v>205</v>
      </c>
      <c r="I47" s="66">
        <f>AVERAGE(E47:H47)</f>
        <v>98</v>
      </c>
    </row>
    <row r="48" spans="1:9" x14ac:dyDescent="0.25">
      <c r="A48" s="1003" t="s">
        <v>279</v>
      </c>
      <c r="B48" s="1004"/>
      <c r="C48" s="1004"/>
      <c r="D48" s="1004"/>
      <c r="E48" s="1004"/>
      <c r="F48" s="1004"/>
      <c r="G48" s="1004"/>
      <c r="H48" s="1004"/>
      <c r="I48" s="1005"/>
    </row>
    <row r="49" spans="1:9" x14ac:dyDescent="0.25">
      <c r="A49" s="1024" t="s">
        <v>172</v>
      </c>
      <c r="B49" s="1026"/>
      <c r="C49" s="80" t="s">
        <v>87</v>
      </c>
      <c r="D49" s="80" t="s">
        <v>173</v>
      </c>
      <c r="E49" s="52" t="s">
        <v>174</v>
      </c>
      <c r="F49" s="53" t="s">
        <v>175</v>
      </c>
      <c r="G49" s="53" t="s">
        <v>176</v>
      </c>
      <c r="H49" s="53" t="s">
        <v>177</v>
      </c>
      <c r="I49" s="53" t="s">
        <v>178</v>
      </c>
    </row>
    <row r="50" spans="1:9" x14ac:dyDescent="0.25">
      <c r="A50" s="1001" t="s">
        <v>217</v>
      </c>
      <c r="B50" s="1001"/>
      <c r="C50" s="56" t="s">
        <v>280</v>
      </c>
      <c r="D50" s="56" t="s">
        <v>218</v>
      </c>
      <c r="E50" s="67">
        <v>874.7</v>
      </c>
      <c r="F50" s="81">
        <v>874.66666666666663</v>
      </c>
      <c r="G50" s="81">
        <v>874.36666666666667</v>
      </c>
      <c r="H50" s="81">
        <v>874.8</v>
      </c>
      <c r="I50" s="68">
        <f t="shared" ref="I50:I65" si="1">AVERAGE(E50:H50)</f>
        <v>874.63333333333344</v>
      </c>
    </row>
    <row r="51" spans="1:9" x14ac:dyDescent="0.25">
      <c r="A51" s="1001" t="s">
        <v>219</v>
      </c>
      <c r="B51" s="1001"/>
      <c r="C51" s="56" t="s">
        <v>220</v>
      </c>
      <c r="D51" s="56" t="s">
        <v>37</v>
      </c>
      <c r="E51" s="67">
        <v>30.1</v>
      </c>
      <c r="F51" s="81">
        <v>30.100000000000005</v>
      </c>
      <c r="G51" s="81">
        <v>30.166666666666668</v>
      </c>
      <c r="H51" s="81">
        <v>30.1</v>
      </c>
      <c r="I51" s="68">
        <f t="shared" si="1"/>
        <v>30.116666666666667</v>
      </c>
    </row>
    <row r="52" spans="1:9" x14ac:dyDescent="0.25">
      <c r="A52" s="1001" t="s">
        <v>221</v>
      </c>
      <c r="B52" s="1001"/>
      <c r="C52" s="56" t="s">
        <v>180</v>
      </c>
      <c r="D52" s="56" t="s">
        <v>181</v>
      </c>
      <c r="E52" s="82">
        <v>445.25</v>
      </c>
      <c r="F52" s="78">
        <v>469.66666666666669</v>
      </c>
      <c r="G52" s="78">
        <v>416.33333333333331</v>
      </c>
      <c r="H52" s="78">
        <v>468</v>
      </c>
      <c r="I52" s="72">
        <f t="shared" si="1"/>
        <v>449.8125</v>
      </c>
    </row>
    <row r="53" spans="1:9" x14ac:dyDescent="0.25">
      <c r="A53" s="1001" t="s">
        <v>222</v>
      </c>
      <c r="B53" s="1001"/>
      <c r="C53" s="56" t="s">
        <v>223</v>
      </c>
      <c r="D53" s="56" t="s">
        <v>198</v>
      </c>
      <c r="E53" s="65">
        <v>0.35</v>
      </c>
      <c r="F53" s="79">
        <v>0.32666666666666666</v>
      </c>
      <c r="G53" s="79">
        <v>0.35666666666666663</v>
      </c>
      <c r="H53" s="79">
        <v>0.33500000000000002</v>
      </c>
      <c r="I53" s="66">
        <f t="shared" si="1"/>
        <v>0.34208333333333329</v>
      </c>
    </row>
    <row r="54" spans="1:9" x14ac:dyDescent="0.25">
      <c r="A54" s="1001" t="s">
        <v>36</v>
      </c>
      <c r="B54" s="1001"/>
      <c r="C54" s="56" t="s">
        <v>224</v>
      </c>
      <c r="D54" s="56" t="s">
        <v>37</v>
      </c>
      <c r="E54" s="82">
        <v>15</v>
      </c>
      <c r="F54" s="78">
        <v>15</v>
      </c>
      <c r="G54" s="78">
        <v>15</v>
      </c>
      <c r="H54" s="78">
        <v>15</v>
      </c>
      <c r="I54" s="72">
        <f t="shared" si="1"/>
        <v>15</v>
      </c>
    </row>
    <row r="55" spans="1:9" x14ac:dyDescent="0.25">
      <c r="A55" s="1001" t="s">
        <v>91</v>
      </c>
      <c r="B55" s="1001"/>
      <c r="C55" s="56" t="s">
        <v>185</v>
      </c>
      <c r="D55" s="56" t="s">
        <v>193</v>
      </c>
      <c r="E55" s="62">
        <v>1.025E-2</v>
      </c>
      <c r="F55" s="83">
        <v>8.6666666666666663E-3</v>
      </c>
      <c r="G55" s="83">
        <v>1.1000000000000001E-2</v>
      </c>
      <c r="H55" s="83">
        <v>1.4999999999999999E-2</v>
      </c>
      <c r="I55" s="63">
        <f t="shared" si="1"/>
        <v>1.1229166666666667E-2</v>
      </c>
    </row>
    <row r="56" spans="1:9" x14ac:dyDescent="0.25">
      <c r="A56" s="1001" t="s">
        <v>187</v>
      </c>
      <c r="B56" s="1001"/>
      <c r="C56" s="56" t="s">
        <v>185</v>
      </c>
      <c r="D56" s="56" t="s">
        <v>225</v>
      </c>
      <c r="E56" s="62">
        <v>0.49787500000000001</v>
      </c>
      <c r="F56" s="83">
        <v>0.5083333333333333</v>
      </c>
      <c r="G56" s="83">
        <v>0.47666666666666674</v>
      </c>
      <c r="H56" s="83">
        <v>0.48349999999999999</v>
      </c>
      <c r="I56" s="63">
        <f t="shared" si="1"/>
        <v>0.49159375000000005</v>
      </c>
    </row>
    <row r="57" spans="1:9" x14ac:dyDescent="0.25">
      <c r="A57" s="1001" t="s">
        <v>226</v>
      </c>
      <c r="B57" s="1001"/>
      <c r="C57" s="56" t="s">
        <v>185</v>
      </c>
      <c r="D57" s="56" t="s">
        <v>227</v>
      </c>
      <c r="E57" s="62">
        <v>0.17425000000000002</v>
      </c>
      <c r="F57" s="83">
        <v>0.16266666666666668</v>
      </c>
      <c r="G57" s="83">
        <v>0.14100000000000001</v>
      </c>
      <c r="H57" s="83">
        <v>0.14749999999999999</v>
      </c>
      <c r="I57" s="63">
        <f t="shared" si="1"/>
        <v>0.15635416666666668</v>
      </c>
    </row>
    <row r="58" spans="1:9" x14ac:dyDescent="0.25">
      <c r="A58" s="1001" t="s">
        <v>191</v>
      </c>
      <c r="B58" s="1001"/>
      <c r="C58" s="56" t="s">
        <v>185</v>
      </c>
      <c r="D58" s="56" t="s">
        <v>227</v>
      </c>
      <c r="E58" s="62">
        <v>8.0250000000000002E-2</v>
      </c>
      <c r="F58" s="83">
        <v>0.10166666666666667</v>
      </c>
      <c r="G58" s="83">
        <v>4.7999999999999994E-2</v>
      </c>
      <c r="H58" s="83">
        <v>7.6999999999999999E-2</v>
      </c>
      <c r="I58" s="63">
        <f t="shared" si="1"/>
        <v>7.6729166666666668E-2</v>
      </c>
    </row>
    <row r="59" spans="1:9" x14ac:dyDescent="0.25">
      <c r="A59" s="1001" t="s">
        <v>49</v>
      </c>
      <c r="B59" s="1001"/>
      <c r="C59" s="56" t="s">
        <v>185</v>
      </c>
      <c r="D59" s="56" t="s">
        <v>195</v>
      </c>
      <c r="E59" s="62">
        <v>0.17375000000000002</v>
      </c>
      <c r="F59" s="83">
        <v>0.17499999999999996</v>
      </c>
      <c r="G59" s="83">
        <v>0.16033333333333333</v>
      </c>
      <c r="H59" s="83">
        <v>0.17049999999999998</v>
      </c>
      <c r="I59" s="63">
        <f t="shared" si="1"/>
        <v>0.16989583333333333</v>
      </c>
    </row>
    <row r="60" spans="1:9" x14ac:dyDescent="0.25">
      <c r="A60" s="1001" t="s">
        <v>228</v>
      </c>
      <c r="B60" s="1001"/>
      <c r="C60" s="56" t="s">
        <v>185</v>
      </c>
      <c r="D60" s="56" t="s">
        <v>227</v>
      </c>
      <c r="E60" s="65">
        <v>8.2500000000000004E-2</v>
      </c>
      <c r="F60" s="79">
        <v>9.6666666666666665E-2</v>
      </c>
      <c r="G60" s="79">
        <v>0.12333333333333334</v>
      </c>
      <c r="H60" s="79">
        <v>0.13</v>
      </c>
      <c r="I60" s="66">
        <f t="shared" si="1"/>
        <v>0.108125</v>
      </c>
    </row>
    <row r="61" spans="1:9" x14ac:dyDescent="0.25">
      <c r="A61" s="1001" t="s">
        <v>199</v>
      </c>
      <c r="B61" s="1001"/>
      <c r="C61" s="56" t="s">
        <v>185</v>
      </c>
      <c r="D61" s="56" t="s">
        <v>200</v>
      </c>
      <c r="E61" s="67">
        <v>97.725000000000009</v>
      </c>
      <c r="F61" s="81">
        <v>97.166666666666671</v>
      </c>
      <c r="G61" s="81">
        <v>97.533333333333346</v>
      </c>
      <c r="H61" s="81">
        <v>96.9</v>
      </c>
      <c r="I61" s="68">
        <f t="shared" si="1"/>
        <v>97.331250000000011</v>
      </c>
    </row>
    <row r="62" spans="1:9" x14ac:dyDescent="0.25">
      <c r="A62" s="1001" t="s">
        <v>229</v>
      </c>
      <c r="B62" s="1001"/>
      <c r="C62" s="56" t="s">
        <v>281</v>
      </c>
      <c r="D62" s="56" t="s">
        <v>230</v>
      </c>
      <c r="E62" s="62">
        <v>4.4859999999999998</v>
      </c>
      <c r="F62" s="83">
        <v>4.464666666666667</v>
      </c>
      <c r="G62" s="83">
        <v>4.4633333333333338</v>
      </c>
      <c r="H62" s="83">
        <v>4.4260000000000002</v>
      </c>
      <c r="I62" s="63">
        <f t="shared" si="1"/>
        <v>4.4600000000000009</v>
      </c>
    </row>
    <row r="63" spans="1:9" x14ac:dyDescent="0.25">
      <c r="A63" s="1001" t="s">
        <v>231</v>
      </c>
      <c r="B63" s="1001"/>
      <c r="C63" s="56" t="s">
        <v>232</v>
      </c>
      <c r="D63" s="56" t="s">
        <v>233</v>
      </c>
      <c r="E63" s="67">
        <v>350.57499999999999</v>
      </c>
      <c r="F63" s="81">
        <v>350.2</v>
      </c>
      <c r="G63" s="81">
        <v>350.16666666666669</v>
      </c>
      <c r="H63" s="81">
        <v>350.4</v>
      </c>
      <c r="I63" s="68">
        <f t="shared" si="1"/>
        <v>350.33541666666667</v>
      </c>
    </row>
    <row r="64" spans="1:9" x14ac:dyDescent="0.25">
      <c r="A64" s="1001" t="s">
        <v>234</v>
      </c>
      <c r="B64" s="1001"/>
      <c r="C64" s="56" t="s">
        <v>235</v>
      </c>
      <c r="D64" s="56" t="s">
        <v>236</v>
      </c>
      <c r="E64" s="67">
        <v>22.225000000000001</v>
      </c>
      <c r="F64" s="81">
        <v>22.133333333333336</v>
      </c>
      <c r="G64" s="84">
        <v>15.300000000000002</v>
      </c>
      <c r="H64" s="84">
        <v>22.05</v>
      </c>
      <c r="I64" s="68">
        <f t="shared" si="1"/>
        <v>20.427083333333336</v>
      </c>
    </row>
    <row r="65" spans="1:9" x14ac:dyDescent="0.25">
      <c r="A65" s="1001" t="s">
        <v>43</v>
      </c>
      <c r="B65" s="1001"/>
      <c r="C65" s="56" t="s">
        <v>237</v>
      </c>
      <c r="D65" s="56" t="s">
        <v>238</v>
      </c>
      <c r="E65" s="82">
        <v>47.25</v>
      </c>
      <c r="F65" s="78">
        <v>48</v>
      </c>
      <c r="G65" s="85">
        <v>48</v>
      </c>
      <c r="H65" s="85">
        <v>49.5</v>
      </c>
      <c r="I65" s="72">
        <f t="shared" si="1"/>
        <v>48.1875</v>
      </c>
    </row>
    <row r="66" spans="1:9" x14ac:dyDescent="0.25">
      <c r="A66" s="1003" t="s">
        <v>239</v>
      </c>
      <c r="B66" s="1004"/>
      <c r="C66" s="1004"/>
      <c r="D66" s="1004"/>
      <c r="E66" s="1004"/>
      <c r="F66" s="1004"/>
      <c r="G66" s="1004"/>
      <c r="H66" s="1004"/>
      <c r="I66" s="1005"/>
    </row>
    <row r="67" spans="1:9" x14ac:dyDescent="0.25">
      <c r="A67" s="1024" t="s">
        <v>282</v>
      </c>
      <c r="B67" s="1025"/>
      <c r="C67" s="1025"/>
      <c r="D67" s="1026"/>
      <c r="E67" s="52" t="s">
        <v>174</v>
      </c>
      <c r="F67" s="53" t="s">
        <v>175</v>
      </c>
      <c r="G67" s="53" t="s">
        <v>176</v>
      </c>
      <c r="H67" s="53" t="s">
        <v>177</v>
      </c>
      <c r="I67" s="60" t="s">
        <v>64</v>
      </c>
    </row>
    <row r="68" spans="1:9" x14ac:dyDescent="0.25">
      <c r="A68" s="1027"/>
      <c r="B68" s="1028"/>
      <c r="C68" s="1028"/>
      <c r="D68" s="1029"/>
      <c r="E68" s="86" t="s">
        <v>240</v>
      </c>
      <c r="F68" s="86" t="s">
        <v>240</v>
      </c>
      <c r="G68" s="86" t="s">
        <v>240</v>
      </c>
      <c r="H68" s="86" t="s">
        <v>240</v>
      </c>
      <c r="I68" s="87" t="s">
        <v>241</v>
      </c>
    </row>
    <row r="69" spans="1:9" x14ac:dyDescent="0.25">
      <c r="A69" s="988" t="s">
        <v>242</v>
      </c>
      <c r="B69" s="988"/>
      <c r="C69" s="988"/>
      <c r="D69" s="988"/>
      <c r="E69" s="88">
        <v>100</v>
      </c>
      <c r="F69" s="88">
        <v>100</v>
      </c>
      <c r="G69" s="88">
        <v>100</v>
      </c>
      <c r="H69" s="88">
        <v>100</v>
      </c>
      <c r="I69" s="89">
        <f>AVERAGE(E69:H69)</f>
        <v>100</v>
      </c>
    </row>
    <row r="70" spans="1:9" x14ac:dyDescent="0.25">
      <c r="A70" s="1021" t="s">
        <v>243</v>
      </c>
      <c r="B70" s="1022"/>
      <c r="C70" s="1022"/>
      <c r="D70" s="1023"/>
      <c r="E70" s="88">
        <v>100</v>
      </c>
      <c r="F70" s="88">
        <v>100</v>
      </c>
      <c r="G70" s="88">
        <v>100</v>
      </c>
      <c r="H70" s="88">
        <v>100</v>
      </c>
      <c r="I70" s="89">
        <f t="shared" ref="I70:I86" si="2">AVERAGE(E70:H70)</f>
        <v>100</v>
      </c>
    </row>
    <row r="71" spans="1:9" x14ac:dyDescent="0.25">
      <c r="A71" s="988" t="s">
        <v>244</v>
      </c>
      <c r="B71" s="988"/>
      <c r="C71" s="988"/>
      <c r="D71" s="988"/>
      <c r="E71" s="88">
        <v>100</v>
      </c>
      <c r="F71" s="88">
        <v>100</v>
      </c>
      <c r="G71" s="88">
        <v>100</v>
      </c>
      <c r="H71" s="88">
        <v>100</v>
      </c>
      <c r="I71" s="89">
        <f>AVERAGE(E71:H71)</f>
        <v>100</v>
      </c>
    </row>
    <row r="72" spans="1:9" x14ac:dyDescent="0.25">
      <c r="A72" s="1021" t="s">
        <v>245</v>
      </c>
      <c r="B72" s="1022"/>
      <c r="C72" s="1022"/>
      <c r="D72" s="1023"/>
      <c r="E72" s="88">
        <v>100</v>
      </c>
      <c r="F72" s="88">
        <v>100</v>
      </c>
      <c r="G72" s="88">
        <v>100</v>
      </c>
      <c r="H72" s="88">
        <v>100</v>
      </c>
      <c r="I72" s="89">
        <f t="shared" si="2"/>
        <v>100</v>
      </c>
    </row>
    <row r="73" spans="1:9" x14ac:dyDescent="0.25">
      <c r="A73" s="988" t="s">
        <v>246</v>
      </c>
      <c r="B73" s="988"/>
      <c r="C73" s="988"/>
      <c r="D73" s="988"/>
      <c r="E73" s="90">
        <v>100</v>
      </c>
      <c r="F73" s="88">
        <v>100</v>
      </c>
      <c r="G73" s="90">
        <v>100</v>
      </c>
      <c r="H73" s="90">
        <v>100</v>
      </c>
      <c r="I73" s="89">
        <f t="shared" si="2"/>
        <v>100</v>
      </c>
    </row>
    <row r="74" spans="1:9" x14ac:dyDescent="0.25">
      <c r="A74" s="988" t="s">
        <v>247</v>
      </c>
      <c r="B74" s="988"/>
      <c r="C74" s="988"/>
      <c r="D74" s="988"/>
      <c r="E74" s="194">
        <v>98.214285714285708</v>
      </c>
      <c r="F74" s="90">
        <v>100</v>
      </c>
      <c r="G74" s="90">
        <v>100</v>
      </c>
      <c r="H74" s="90">
        <v>100</v>
      </c>
      <c r="I74" s="89">
        <f t="shared" si="2"/>
        <v>99.553571428571431</v>
      </c>
    </row>
    <row r="75" spans="1:9" x14ac:dyDescent="0.25">
      <c r="A75" s="988" t="s">
        <v>248</v>
      </c>
      <c r="B75" s="988"/>
      <c r="C75" s="988"/>
      <c r="D75" s="988"/>
      <c r="E75" s="90">
        <v>100</v>
      </c>
      <c r="F75" s="88">
        <v>100</v>
      </c>
      <c r="G75" s="88">
        <v>100</v>
      </c>
      <c r="H75" s="88">
        <v>100</v>
      </c>
      <c r="I75" s="89">
        <f t="shared" si="2"/>
        <v>100</v>
      </c>
    </row>
    <row r="76" spans="1:9" x14ac:dyDescent="0.25">
      <c r="A76" s="988" t="s">
        <v>249</v>
      </c>
      <c r="B76" s="988"/>
      <c r="C76" s="988"/>
      <c r="D76" s="988"/>
      <c r="E76" s="88">
        <v>100</v>
      </c>
      <c r="F76" s="88">
        <v>100</v>
      </c>
      <c r="G76" s="88">
        <v>100</v>
      </c>
      <c r="H76" s="88">
        <v>100</v>
      </c>
      <c r="I76" s="89">
        <f t="shared" si="2"/>
        <v>100</v>
      </c>
    </row>
    <row r="77" spans="1:9" x14ac:dyDescent="0.25">
      <c r="A77" s="988" t="s">
        <v>250</v>
      </c>
      <c r="B77" s="988"/>
      <c r="C77" s="988"/>
      <c r="D77" s="988"/>
      <c r="E77" s="88">
        <v>100</v>
      </c>
      <c r="F77" s="88">
        <v>100</v>
      </c>
      <c r="G77" s="88">
        <v>100</v>
      </c>
      <c r="H77" s="88">
        <v>100</v>
      </c>
      <c r="I77" s="89">
        <f t="shared" si="2"/>
        <v>100</v>
      </c>
    </row>
    <row r="78" spans="1:9" x14ac:dyDescent="0.25">
      <c r="A78" s="988" t="s">
        <v>251</v>
      </c>
      <c r="B78" s="988"/>
      <c r="C78" s="988"/>
      <c r="D78" s="988"/>
      <c r="E78" s="88">
        <v>100</v>
      </c>
      <c r="F78" s="88">
        <v>100</v>
      </c>
      <c r="G78" s="88">
        <v>100</v>
      </c>
      <c r="H78" s="88">
        <v>100</v>
      </c>
      <c r="I78" s="89">
        <f t="shared" si="2"/>
        <v>100</v>
      </c>
    </row>
    <row r="79" spans="1:9" x14ac:dyDescent="0.25">
      <c r="A79" s="988" t="s">
        <v>252</v>
      </c>
      <c r="B79" s="988"/>
      <c r="C79" s="988"/>
      <c r="D79" s="988"/>
      <c r="E79" s="88">
        <v>100</v>
      </c>
      <c r="F79" s="88">
        <v>100</v>
      </c>
      <c r="G79" s="88">
        <v>100</v>
      </c>
      <c r="H79" s="88">
        <v>100</v>
      </c>
      <c r="I79" s="89">
        <f t="shared" si="2"/>
        <v>100</v>
      </c>
    </row>
    <row r="80" spans="1:9" x14ac:dyDescent="0.25">
      <c r="A80" s="988" t="s">
        <v>253</v>
      </c>
      <c r="B80" s="988"/>
      <c r="C80" s="988"/>
      <c r="D80" s="988"/>
      <c r="E80" s="90">
        <v>100</v>
      </c>
      <c r="F80" s="88">
        <v>100</v>
      </c>
      <c r="G80" s="88">
        <v>100</v>
      </c>
      <c r="H80" s="88">
        <v>100</v>
      </c>
      <c r="I80" s="89">
        <f t="shared" si="2"/>
        <v>100</v>
      </c>
    </row>
    <row r="81" spans="1:9" x14ac:dyDescent="0.25">
      <c r="A81" s="988" t="s">
        <v>254</v>
      </c>
      <c r="B81" s="988"/>
      <c r="C81" s="988"/>
      <c r="D81" s="988"/>
      <c r="E81" s="194">
        <v>95.238095238095241</v>
      </c>
      <c r="F81" s="90">
        <v>100</v>
      </c>
      <c r="G81" s="88">
        <v>100</v>
      </c>
      <c r="H81" s="88">
        <v>100</v>
      </c>
      <c r="I81" s="89">
        <f t="shared" si="2"/>
        <v>98.80952380952381</v>
      </c>
    </row>
    <row r="82" spans="1:9" x14ac:dyDescent="0.25">
      <c r="A82" s="988" t="s">
        <v>255</v>
      </c>
      <c r="B82" s="988"/>
      <c r="C82" s="988"/>
      <c r="D82" s="988"/>
      <c r="E82" s="194">
        <v>95.238095238095241</v>
      </c>
      <c r="F82" s="90">
        <v>100</v>
      </c>
      <c r="G82" s="88">
        <v>100</v>
      </c>
      <c r="H82" s="88">
        <v>100</v>
      </c>
      <c r="I82" s="89">
        <f t="shared" si="2"/>
        <v>98.80952380952381</v>
      </c>
    </row>
    <row r="83" spans="1:9" x14ac:dyDescent="0.25">
      <c r="A83" s="988" t="s">
        <v>256</v>
      </c>
      <c r="B83" s="988"/>
      <c r="C83" s="988"/>
      <c r="D83" s="988"/>
      <c r="E83" s="88">
        <v>100</v>
      </c>
      <c r="F83" s="88">
        <v>100</v>
      </c>
      <c r="G83" s="88">
        <v>100</v>
      </c>
      <c r="H83" s="88">
        <v>100</v>
      </c>
      <c r="I83" s="89">
        <f t="shared" si="2"/>
        <v>100</v>
      </c>
    </row>
    <row r="84" spans="1:9" x14ac:dyDescent="0.25">
      <c r="A84" s="988" t="s">
        <v>257</v>
      </c>
      <c r="B84" s="988"/>
      <c r="C84" s="988"/>
      <c r="D84" s="988"/>
      <c r="E84" s="88">
        <v>100</v>
      </c>
      <c r="F84" s="88">
        <v>100</v>
      </c>
      <c r="G84" s="88">
        <v>100</v>
      </c>
      <c r="H84" s="88">
        <v>100</v>
      </c>
      <c r="I84" s="89">
        <f t="shared" si="2"/>
        <v>100</v>
      </c>
    </row>
    <row r="85" spans="1:9" x14ac:dyDescent="0.25">
      <c r="A85" s="988" t="s">
        <v>258</v>
      </c>
      <c r="B85" s="988"/>
      <c r="C85" s="988"/>
      <c r="D85" s="988"/>
      <c r="E85" s="88">
        <v>100</v>
      </c>
      <c r="F85" s="88">
        <v>100</v>
      </c>
      <c r="G85" s="88">
        <v>100</v>
      </c>
      <c r="H85" s="88">
        <v>100</v>
      </c>
      <c r="I85" s="89">
        <f t="shared" si="2"/>
        <v>100</v>
      </c>
    </row>
    <row r="86" spans="1:9" x14ac:dyDescent="0.25">
      <c r="A86" s="988" t="s">
        <v>259</v>
      </c>
      <c r="B86" s="988"/>
      <c r="C86" s="988"/>
      <c r="D86" s="988"/>
      <c r="E86" s="88">
        <v>100</v>
      </c>
      <c r="F86" s="88">
        <v>100</v>
      </c>
      <c r="G86" s="88">
        <v>100</v>
      </c>
      <c r="H86" s="88">
        <v>100</v>
      </c>
      <c r="I86" s="89">
        <f t="shared" si="2"/>
        <v>100</v>
      </c>
    </row>
    <row r="87" spans="1:9" x14ac:dyDescent="0.25">
      <c r="A87" s="989" t="s">
        <v>299</v>
      </c>
      <c r="B87" s="989"/>
      <c r="C87" s="40"/>
      <c r="I87" s="195"/>
    </row>
    <row r="88" spans="1:9" x14ac:dyDescent="0.25">
      <c r="A88" s="986" t="s">
        <v>300</v>
      </c>
      <c r="B88" s="986"/>
      <c r="C88" s="41"/>
      <c r="I88" s="195"/>
    </row>
    <row r="89" spans="1:9" x14ac:dyDescent="0.25">
      <c r="A89" s="986" t="s">
        <v>301</v>
      </c>
      <c r="B89" s="986"/>
      <c r="C89" s="41"/>
      <c r="I89" s="195"/>
    </row>
    <row r="90" spans="1:9" ht="15.75" x14ac:dyDescent="0.25">
      <c r="A90" s="986" t="s">
        <v>302</v>
      </c>
      <c r="B90" s="986"/>
      <c r="C90" s="41"/>
      <c r="D90" s="990" t="s">
        <v>303</v>
      </c>
      <c r="E90" s="990"/>
      <c r="I90" s="196"/>
    </row>
    <row r="91" spans="1:9" ht="15.75" x14ac:dyDescent="0.25">
      <c r="A91" s="986"/>
      <c r="B91" s="986"/>
      <c r="C91" s="41"/>
      <c r="D91" s="987" t="s">
        <v>304</v>
      </c>
      <c r="E91" s="987"/>
      <c r="I91" s="196"/>
    </row>
  </sheetData>
  <mergeCells count="94">
    <mergeCell ref="A52:B52"/>
    <mergeCell ref="A47:B47"/>
    <mergeCell ref="A49:B49"/>
    <mergeCell ref="A53:B53"/>
    <mergeCell ref="A63:B63"/>
    <mergeCell ref="A77:D77"/>
    <mergeCell ref="A71:D71"/>
    <mergeCell ref="A54:B54"/>
    <mergeCell ref="A55:B55"/>
    <mergeCell ref="A56:B56"/>
    <mergeCell ref="A57:B57"/>
    <mergeCell ref="A58:B58"/>
    <mergeCell ref="A74:D74"/>
    <mergeCell ref="A75:D75"/>
    <mergeCell ref="A76:D76"/>
    <mergeCell ref="A64:B64"/>
    <mergeCell ref="A72:D72"/>
    <mergeCell ref="A73:D73"/>
    <mergeCell ref="A66:I66"/>
    <mergeCell ref="A67:D68"/>
    <mergeCell ref="A70:D70"/>
    <mergeCell ref="A45:B45"/>
    <mergeCell ref="A46:I46"/>
    <mergeCell ref="A48:I48"/>
    <mergeCell ref="A50:B50"/>
    <mergeCell ref="A51:B51"/>
    <mergeCell ref="A40:I40"/>
    <mergeCell ref="A41:B41"/>
    <mergeCell ref="A42:I42"/>
    <mergeCell ref="A43:B43"/>
    <mergeCell ref="A44:I44"/>
    <mergeCell ref="A35:B35"/>
    <mergeCell ref="A36:B36"/>
    <mergeCell ref="A37:I37"/>
    <mergeCell ref="A38:B38"/>
    <mergeCell ref="A39:B39"/>
    <mergeCell ref="A30:I30"/>
    <mergeCell ref="A31:B31"/>
    <mergeCell ref="A32:B32"/>
    <mergeCell ref="A33:I33"/>
    <mergeCell ref="A34:B34"/>
    <mergeCell ref="A25:B25"/>
    <mergeCell ref="A26:B26"/>
    <mergeCell ref="A27:I27"/>
    <mergeCell ref="A28:B28"/>
    <mergeCell ref="A29:B29"/>
    <mergeCell ref="H1:I1"/>
    <mergeCell ref="H2:I2"/>
    <mergeCell ref="A3:I3"/>
    <mergeCell ref="A4:B4"/>
    <mergeCell ref="A59:B59"/>
    <mergeCell ref="A11:B11"/>
    <mergeCell ref="A12:B12"/>
    <mergeCell ref="A13:B13"/>
    <mergeCell ref="A14:B14"/>
    <mergeCell ref="A6:B6"/>
    <mergeCell ref="A7:B7"/>
    <mergeCell ref="A8:B8"/>
    <mergeCell ref="A9:B9"/>
    <mergeCell ref="A10:B10"/>
    <mergeCell ref="A15:I15"/>
    <mergeCell ref="A16:B16"/>
    <mergeCell ref="A1:B2"/>
    <mergeCell ref="C1:G2"/>
    <mergeCell ref="A61:B61"/>
    <mergeCell ref="A62:B62"/>
    <mergeCell ref="A69:D69"/>
    <mergeCell ref="A65:B65"/>
    <mergeCell ref="A5:B5"/>
    <mergeCell ref="A60:B60"/>
    <mergeCell ref="A17:B17"/>
    <mergeCell ref="A18:B18"/>
    <mergeCell ref="A19:B19"/>
    <mergeCell ref="A20:B20"/>
    <mergeCell ref="A21:I21"/>
    <mergeCell ref="A22:I22"/>
    <mergeCell ref="A23:I23"/>
    <mergeCell ref="A24:B24"/>
    <mergeCell ref="A91:B91"/>
    <mergeCell ref="D91:E91"/>
    <mergeCell ref="A84:D84"/>
    <mergeCell ref="A85:D85"/>
    <mergeCell ref="A78:D78"/>
    <mergeCell ref="A79:D79"/>
    <mergeCell ref="A80:D80"/>
    <mergeCell ref="A81:D81"/>
    <mergeCell ref="A82:D82"/>
    <mergeCell ref="A83:D83"/>
    <mergeCell ref="A87:B87"/>
    <mergeCell ref="A88:B88"/>
    <mergeCell ref="A89:B89"/>
    <mergeCell ref="A90:B90"/>
    <mergeCell ref="D90:E90"/>
    <mergeCell ref="A86:D86"/>
  </mergeCells>
  <pageMargins left="0.7" right="0.7" top="0.75" bottom="0.75" header="0.3" footer="0.3"/>
  <drawing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Hoja16"/>
  <dimension ref="A1:AJ43"/>
  <sheetViews>
    <sheetView zoomScale="90" zoomScaleNormal="90" workbookViewId="0">
      <selection activeCell="N7" sqref="N7:N11"/>
    </sheetView>
  </sheetViews>
  <sheetFormatPr baseColWidth="10" defaultRowHeight="15" x14ac:dyDescent="0.25"/>
  <cols>
    <col min="1" max="1" width="40.85546875" style="289" bestFit="1" customWidth="1"/>
    <col min="2" max="13" width="10.42578125" style="289" customWidth="1"/>
    <col min="14" max="14" width="10.42578125" style="290" customWidth="1"/>
    <col min="15" max="36" width="11.42578125" style="290"/>
    <col min="37" max="16384" width="11.42578125" style="289"/>
  </cols>
  <sheetData>
    <row r="1" spans="1:21" ht="16.5" customHeight="1" x14ac:dyDescent="0.25">
      <c r="A1" s="941"/>
      <c r="B1" s="902" t="s">
        <v>260</v>
      </c>
      <c r="C1" s="903"/>
      <c r="D1" s="903"/>
      <c r="E1" s="903"/>
      <c r="F1" s="903"/>
      <c r="G1" s="903"/>
      <c r="H1" s="903"/>
      <c r="I1" s="903"/>
      <c r="J1" s="903"/>
      <c r="K1" s="903"/>
      <c r="L1" s="903"/>
      <c r="M1" s="903"/>
      <c r="N1" s="904"/>
      <c r="O1" s="459" t="s">
        <v>550</v>
      </c>
      <c r="P1" s="353"/>
    </row>
    <row r="2" spans="1:21" ht="16.5" customHeight="1" x14ac:dyDescent="0.25">
      <c r="A2" s="942"/>
      <c r="B2" s="905"/>
      <c r="C2" s="851"/>
      <c r="D2" s="851"/>
      <c r="E2" s="851"/>
      <c r="F2" s="851"/>
      <c r="G2" s="851"/>
      <c r="H2" s="851"/>
      <c r="I2" s="851"/>
      <c r="J2" s="851"/>
      <c r="K2" s="851"/>
      <c r="L2" s="851"/>
      <c r="M2" s="851"/>
      <c r="N2" s="906"/>
      <c r="O2" s="819" t="s">
        <v>533</v>
      </c>
      <c r="P2" s="820"/>
    </row>
    <row r="3" spans="1:21" ht="16.5" customHeight="1" x14ac:dyDescent="0.25">
      <c r="A3" s="942"/>
      <c r="B3" s="905"/>
      <c r="C3" s="851"/>
      <c r="D3" s="851"/>
      <c r="E3" s="851"/>
      <c r="F3" s="851"/>
      <c r="G3" s="851"/>
      <c r="H3" s="851"/>
      <c r="I3" s="851"/>
      <c r="J3" s="851"/>
      <c r="K3" s="851"/>
      <c r="L3" s="851"/>
      <c r="M3" s="851"/>
      <c r="N3" s="906"/>
      <c r="O3" s="819" t="s">
        <v>534</v>
      </c>
      <c r="P3" s="820"/>
    </row>
    <row r="4" spans="1:21" ht="20.25" customHeight="1" thickBot="1" x14ac:dyDescent="0.3">
      <c r="A4" s="943"/>
      <c r="B4" s="907"/>
      <c r="C4" s="908"/>
      <c r="D4" s="908"/>
      <c r="E4" s="908"/>
      <c r="F4" s="908"/>
      <c r="G4" s="908"/>
      <c r="H4" s="908"/>
      <c r="I4" s="908"/>
      <c r="J4" s="908"/>
      <c r="K4" s="908"/>
      <c r="L4" s="908"/>
      <c r="M4" s="908"/>
      <c r="N4" s="909"/>
      <c r="O4" s="912" t="s">
        <v>547</v>
      </c>
      <c r="P4" s="857"/>
    </row>
    <row r="5" spans="1:21" ht="15.75" thickBot="1" x14ac:dyDescent="0.3">
      <c r="N5" s="289"/>
      <c r="O5" s="289"/>
      <c r="P5" s="289"/>
    </row>
    <row r="6" spans="1:21" s="197" customFormat="1" ht="26.25" thickBot="1" x14ac:dyDescent="0.3">
      <c r="A6" s="291" t="s">
        <v>416</v>
      </c>
      <c r="B6" s="328" t="s">
        <v>77</v>
      </c>
      <c r="C6" s="630">
        <v>43952</v>
      </c>
      <c r="D6" s="630">
        <v>43983</v>
      </c>
      <c r="E6" s="630">
        <v>44013</v>
      </c>
      <c r="F6" s="630">
        <v>44044</v>
      </c>
      <c r="G6" s="630">
        <v>44075</v>
      </c>
      <c r="H6" s="630">
        <v>44105</v>
      </c>
      <c r="I6" s="630">
        <v>44136</v>
      </c>
      <c r="J6" s="630">
        <v>44166</v>
      </c>
      <c r="K6" s="630">
        <v>44197</v>
      </c>
      <c r="L6" s="630">
        <v>44228</v>
      </c>
      <c r="M6" s="630">
        <v>44256</v>
      </c>
      <c r="N6" s="630">
        <v>44287</v>
      </c>
      <c r="O6" s="321" t="s">
        <v>307</v>
      </c>
      <c r="P6" s="346" t="str">
        <f>"Promedio " &amp; YEAR(N6)</f>
        <v>Promedio 2021</v>
      </c>
    </row>
    <row r="7" spans="1:21" s="197" customFormat="1" ht="16.5" x14ac:dyDescent="0.25">
      <c r="A7" s="292" t="s">
        <v>411</v>
      </c>
      <c r="B7" s="329">
        <v>95</v>
      </c>
      <c r="C7" s="631">
        <v>100</v>
      </c>
      <c r="D7" s="631">
        <v>100</v>
      </c>
      <c r="E7" s="631">
        <v>100</v>
      </c>
      <c r="F7" s="631">
        <v>100</v>
      </c>
      <c r="G7" s="631">
        <v>100</v>
      </c>
      <c r="H7" s="631">
        <v>100</v>
      </c>
      <c r="I7" s="631">
        <v>100</v>
      </c>
      <c r="J7" s="631">
        <v>100</v>
      </c>
      <c r="K7" s="631">
        <v>100</v>
      </c>
      <c r="L7" s="631">
        <v>100</v>
      </c>
      <c r="M7" s="631">
        <v>100</v>
      </c>
      <c r="N7" s="1036"/>
      <c r="O7" s="319">
        <f>IFERROR(AVERAGEIF(C7:N7,"&gt;0"),"-")</f>
        <v>100</v>
      </c>
      <c r="P7" s="324">
        <f>+IFERROR(AVERAGEIFS(C7:N7,C7:N7,"&gt;0",C$6:N$6,"&gt;="&amp;DATE(YEAR(N$6),1,1),C$6:N$6,"&lt;="&amp;DATE(YEAR(N$6),12,31)),"-")</f>
        <v>100</v>
      </c>
    </row>
    <row r="8" spans="1:21" s="197" customFormat="1" ht="16.5" x14ac:dyDescent="0.25">
      <c r="A8" s="293" t="s">
        <v>412</v>
      </c>
      <c r="B8" s="629">
        <v>95</v>
      </c>
      <c r="C8" s="632" t="s">
        <v>63</v>
      </c>
      <c r="D8" s="632" t="s">
        <v>63</v>
      </c>
      <c r="E8" s="632" t="s">
        <v>63</v>
      </c>
      <c r="F8" s="632" t="s">
        <v>63</v>
      </c>
      <c r="G8" s="632" t="s">
        <v>63</v>
      </c>
      <c r="H8" s="632" t="s">
        <v>63</v>
      </c>
      <c r="I8" s="632" t="s">
        <v>63</v>
      </c>
      <c r="J8" s="632" t="s">
        <v>63</v>
      </c>
      <c r="K8" s="632" t="s">
        <v>63</v>
      </c>
      <c r="L8" s="632" t="s">
        <v>63</v>
      </c>
      <c r="M8" s="632" t="s">
        <v>63</v>
      </c>
      <c r="N8" s="1034"/>
      <c r="O8" s="326" t="str">
        <f>IFERROR(AVERAGEIF(C8:N8,"&gt;0"),"-")</f>
        <v>-</v>
      </c>
      <c r="P8" s="343" t="str">
        <f>+IFERROR(AVERAGEIFS(C8:N8,C8:N8,"&gt;0",C$6:N$6,"&gt;="&amp;DATE(YEAR(N$6),1,1),C$6:N$6,"&lt;="&amp;DATE(YEAR(N$6),12,31)),"-")</f>
        <v>-</v>
      </c>
    </row>
    <row r="9" spans="1:21" s="197" customFormat="1" ht="16.5" x14ac:dyDescent="0.25">
      <c r="A9" s="293" t="s">
        <v>413</v>
      </c>
      <c r="B9" s="629">
        <v>3.3</v>
      </c>
      <c r="C9" s="632">
        <v>0</v>
      </c>
      <c r="D9" s="632">
        <v>0</v>
      </c>
      <c r="E9" s="632">
        <v>0</v>
      </c>
      <c r="F9" s="632">
        <v>0</v>
      </c>
      <c r="G9" s="632">
        <v>0</v>
      </c>
      <c r="H9" s="632">
        <v>0</v>
      </c>
      <c r="I9" s="632">
        <v>0</v>
      </c>
      <c r="J9" s="632">
        <v>0</v>
      </c>
      <c r="K9" s="632">
        <v>0</v>
      </c>
      <c r="L9" s="632">
        <v>0</v>
      </c>
      <c r="M9" s="632">
        <v>0</v>
      </c>
      <c r="N9" s="1034"/>
      <c r="O9" s="326" t="str">
        <f>IFERROR(AVERAGEIF(C9:N9,"&gt;0"),"-")</f>
        <v>-</v>
      </c>
      <c r="P9" s="343" t="str">
        <f>+IFERROR(AVERAGEIFS(C9:N9,C9:N9,"&gt;0",C$6:N$6,"&gt;="&amp;DATE(YEAR(N$6),1,1),C$6:N$6,"&lt;="&amp;DATE(YEAR(N$6),12,31)),"-")</f>
        <v>-</v>
      </c>
    </row>
    <row r="10" spans="1:21" s="197" customFormat="1" ht="16.5" x14ac:dyDescent="0.25">
      <c r="A10" s="293" t="s">
        <v>414</v>
      </c>
      <c r="B10" s="629">
        <v>0</v>
      </c>
      <c r="C10" s="632">
        <v>0</v>
      </c>
      <c r="D10" s="632">
        <v>0</v>
      </c>
      <c r="E10" s="632">
        <v>0</v>
      </c>
      <c r="F10" s="632">
        <v>0</v>
      </c>
      <c r="G10" s="632">
        <v>0</v>
      </c>
      <c r="H10" s="632">
        <v>0</v>
      </c>
      <c r="I10" s="632">
        <v>0</v>
      </c>
      <c r="J10" s="632">
        <v>0</v>
      </c>
      <c r="K10" s="632">
        <v>0</v>
      </c>
      <c r="L10" s="632">
        <v>0</v>
      </c>
      <c r="M10" s="632">
        <v>0</v>
      </c>
      <c r="N10" s="1034"/>
      <c r="O10" s="326" t="str">
        <f>IFERROR(AVERAGEIF(C10:N10,"&gt;0"),"-")</f>
        <v>-</v>
      </c>
      <c r="P10" s="343" t="str">
        <f>+IFERROR(AVERAGEIFS(C10:N10,C10:N10,"&gt;0",C$6:N$6,"&gt;="&amp;DATE(YEAR(N$6),1,1),C$6:N$6,"&lt;="&amp;DATE(YEAR(N$6),12,31)),"-")</f>
        <v>-</v>
      </c>
    </row>
    <row r="11" spans="1:21" s="197" customFormat="1" ht="17.25" thickBot="1" x14ac:dyDescent="0.3">
      <c r="A11" s="294" t="s">
        <v>415</v>
      </c>
      <c r="B11" s="323">
        <v>95</v>
      </c>
      <c r="C11" s="633">
        <v>90</v>
      </c>
      <c r="D11" s="633">
        <v>91</v>
      </c>
      <c r="E11" s="633">
        <v>90.1</v>
      </c>
      <c r="F11" s="633">
        <v>91.5</v>
      </c>
      <c r="G11" s="633">
        <v>91.5</v>
      </c>
      <c r="H11" s="633">
        <v>93.7</v>
      </c>
      <c r="I11" s="633">
        <v>93.6</v>
      </c>
      <c r="J11" s="633">
        <v>94.1</v>
      </c>
      <c r="K11" s="633">
        <v>94</v>
      </c>
      <c r="L11" s="813">
        <v>100</v>
      </c>
      <c r="M11" s="813">
        <v>100</v>
      </c>
      <c r="N11" s="1035"/>
      <c r="O11" s="327">
        <f>IFERROR(AVERAGEIF(C11:N11,"&gt;0"),"-")</f>
        <v>93.590909090909093</v>
      </c>
      <c r="P11" s="344">
        <f>+IFERROR(AVERAGEIFS(C11:N11,C11:N11,"&gt;0",C$6:N$6,"&gt;="&amp;DATE(YEAR(N$6),1,1),C$6:N$6,"&lt;="&amp;DATE(YEAR(N$6),12,31)),"-")</f>
        <v>98</v>
      </c>
    </row>
    <row r="12" spans="1:21" ht="16.5" x14ac:dyDescent="0.25">
      <c r="A12" s="197"/>
      <c r="B12" s="197"/>
      <c r="C12" s="197"/>
      <c r="D12" s="197"/>
      <c r="E12" s="197"/>
      <c r="F12" s="197"/>
      <c r="G12" s="197"/>
      <c r="H12" s="197"/>
      <c r="I12" s="197"/>
      <c r="J12" s="197"/>
      <c r="K12" s="197"/>
      <c r="L12" s="197"/>
      <c r="M12" s="197"/>
      <c r="N12" s="197"/>
      <c r="O12" s="197"/>
      <c r="P12" s="197"/>
      <c r="Q12" s="295"/>
      <c r="R12" s="295"/>
      <c r="S12" s="295"/>
      <c r="T12" s="295"/>
      <c r="U12" s="295"/>
    </row>
    <row r="13" spans="1:21" ht="16.5" x14ac:dyDescent="0.25">
      <c r="A13" s="197"/>
      <c r="B13" s="197"/>
      <c r="C13" s="197"/>
      <c r="D13" s="197"/>
      <c r="E13" s="197"/>
      <c r="F13" s="197"/>
      <c r="G13" s="197"/>
      <c r="H13" s="197"/>
      <c r="I13" s="197"/>
      <c r="J13" s="197"/>
      <c r="K13" s="197"/>
      <c r="L13" s="197"/>
      <c r="M13" s="197"/>
      <c r="N13" s="197"/>
      <c r="O13" s="197"/>
      <c r="P13" s="197"/>
      <c r="Q13" s="295"/>
      <c r="R13" s="295"/>
      <c r="S13" s="295"/>
      <c r="T13" s="295"/>
      <c r="U13" s="295"/>
    </row>
    <row r="14" spans="1:21" ht="16.5" x14ac:dyDescent="0.25">
      <c r="A14" s="197"/>
      <c r="B14" s="197"/>
      <c r="C14" s="197"/>
      <c r="D14" s="197"/>
      <c r="E14" s="197"/>
      <c r="F14" s="197"/>
      <c r="G14" s="197"/>
      <c r="H14" s="197"/>
      <c r="I14" s="197"/>
      <c r="J14" s="197"/>
      <c r="K14" s="197"/>
      <c r="L14" s="197"/>
      <c r="M14" s="197"/>
      <c r="N14" s="295"/>
      <c r="O14" s="197"/>
      <c r="P14" s="197"/>
      <c r="Q14" s="295"/>
      <c r="R14" s="295"/>
      <c r="S14" s="295"/>
      <c r="T14" s="295"/>
      <c r="U14" s="295"/>
    </row>
    <row r="15" spans="1:21" ht="16.5" x14ac:dyDescent="0.25">
      <c r="A15" s="197"/>
      <c r="B15" s="197"/>
      <c r="C15" s="197"/>
      <c r="D15" s="197"/>
      <c r="E15" s="197"/>
      <c r="F15" s="197"/>
      <c r="G15" s="197"/>
      <c r="H15" s="197"/>
      <c r="I15" s="197"/>
      <c r="J15" s="197"/>
      <c r="K15" s="197"/>
      <c r="L15" s="197"/>
      <c r="M15" s="197"/>
      <c r="N15" s="295"/>
      <c r="O15" s="197"/>
      <c r="P15" s="197"/>
      <c r="Q15" s="295"/>
      <c r="R15" s="295"/>
      <c r="S15" s="295"/>
      <c r="T15" s="295"/>
      <c r="U15" s="295"/>
    </row>
    <row r="16" spans="1:21" ht="16.5" x14ac:dyDescent="0.25">
      <c r="A16" s="197"/>
      <c r="B16" s="197"/>
      <c r="C16" s="197"/>
      <c r="D16" s="197"/>
      <c r="E16" s="197"/>
      <c r="F16" s="197"/>
      <c r="G16" s="197"/>
      <c r="H16" s="197"/>
      <c r="I16" s="197"/>
      <c r="J16" s="197"/>
      <c r="K16" s="197"/>
      <c r="L16" s="197"/>
      <c r="M16" s="197"/>
      <c r="N16" s="295"/>
      <c r="O16" s="197"/>
      <c r="P16" s="197"/>
      <c r="Q16" s="295"/>
      <c r="R16" s="295"/>
      <c r="S16" s="295"/>
      <c r="T16" s="295"/>
      <c r="U16" s="295"/>
    </row>
    <row r="17" spans="1:21" ht="16.5" x14ac:dyDescent="0.25">
      <c r="A17" s="197"/>
      <c r="B17" s="197"/>
      <c r="C17" s="197"/>
      <c r="D17" s="197"/>
      <c r="E17" s="197"/>
      <c r="F17" s="197"/>
      <c r="G17" s="197"/>
      <c r="H17" s="197"/>
      <c r="I17" s="197"/>
      <c r="J17" s="197"/>
      <c r="K17" s="197"/>
      <c r="L17" s="197"/>
      <c r="M17" s="197"/>
      <c r="N17" s="295"/>
      <c r="O17" s="197"/>
      <c r="P17" s="197"/>
      <c r="Q17" s="295"/>
      <c r="R17" s="295"/>
      <c r="S17" s="295"/>
      <c r="T17" s="295"/>
      <c r="U17" s="295"/>
    </row>
    <row r="18" spans="1:21" ht="16.5" x14ac:dyDescent="0.25">
      <c r="A18" s="197"/>
      <c r="B18" s="197"/>
      <c r="C18" s="197"/>
      <c r="D18" s="197"/>
      <c r="E18" s="197"/>
      <c r="F18" s="197"/>
      <c r="G18" s="197"/>
      <c r="H18" s="197"/>
      <c r="I18" s="197"/>
      <c r="J18" s="197"/>
      <c r="K18" s="197"/>
      <c r="L18" s="197"/>
      <c r="M18" s="197"/>
      <c r="N18" s="197"/>
      <c r="O18" s="197"/>
      <c r="P18" s="197"/>
      <c r="Q18" s="953"/>
      <c r="R18" s="953"/>
      <c r="S18" s="953"/>
      <c r="T18" s="197"/>
      <c r="U18" s="295"/>
    </row>
    <row r="19" spans="1:21" ht="16.5" x14ac:dyDescent="0.25">
      <c r="A19" s="197"/>
      <c r="B19" s="197"/>
      <c r="C19" s="197"/>
      <c r="D19" s="197"/>
      <c r="E19" s="197"/>
      <c r="F19" s="197"/>
      <c r="G19" s="197"/>
      <c r="H19" s="197"/>
      <c r="I19" s="197"/>
      <c r="J19" s="197"/>
      <c r="K19" s="197"/>
      <c r="L19" s="197"/>
      <c r="M19" s="197"/>
      <c r="N19" s="197"/>
      <c r="O19" s="197"/>
      <c r="P19" s="197"/>
      <c r="Q19" s="7"/>
      <c r="R19" s="7"/>
      <c r="S19" s="7"/>
      <c r="T19" s="197"/>
      <c r="U19" s="295"/>
    </row>
    <row r="20" spans="1:21" ht="15.75" customHeight="1" x14ac:dyDescent="0.25">
      <c r="A20" s="197"/>
      <c r="B20" s="197"/>
      <c r="C20" s="197"/>
      <c r="D20" s="197"/>
      <c r="E20" s="197"/>
      <c r="F20" s="197"/>
      <c r="G20" s="197"/>
      <c r="H20" s="197"/>
      <c r="I20" s="197"/>
      <c r="J20" s="197"/>
      <c r="K20" s="197"/>
      <c r="L20" s="197"/>
      <c r="M20" s="197"/>
      <c r="N20" s="197"/>
      <c r="O20" s="197"/>
      <c r="P20" s="197"/>
      <c r="Q20" s="197"/>
      <c r="R20" s="197"/>
      <c r="S20" s="197"/>
      <c r="T20" s="197"/>
      <c r="U20" s="295"/>
    </row>
    <row r="21" spans="1:21" ht="16.5" x14ac:dyDescent="0.25">
      <c r="A21" s="197"/>
      <c r="B21" s="197"/>
      <c r="C21" s="197"/>
      <c r="D21" s="197"/>
      <c r="E21" s="197"/>
      <c r="F21" s="197"/>
      <c r="G21" s="197"/>
      <c r="H21" s="197"/>
      <c r="I21" s="197"/>
      <c r="J21" s="197"/>
      <c r="K21" s="197"/>
      <c r="L21" s="197"/>
      <c r="M21" s="197"/>
      <c r="N21" s="197"/>
      <c r="O21" s="197"/>
      <c r="P21" s="197"/>
      <c r="Q21" s="197"/>
      <c r="R21" s="197"/>
      <c r="S21" s="197"/>
      <c r="T21" s="197"/>
      <c r="U21" s="295"/>
    </row>
    <row r="22" spans="1:21" ht="16.5" x14ac:dyDescent="0.25">
      <c r="A22" s="197"/>
      <c r="B22" s="197"/>
      <c r="C22" s="197"/>
      <c r="D22" s="197"/>
      <c r="E22" s="197"/>
      <c r="F22" s="197"/>
      <c r="G22" s="197"/>
      <c r="H22" s="197"/>
      <c r="I22" s="197"/>
      <c r="J22" s="197"/>
      <c r="K22" s="197"/>
      <c r="L22" s="197"/>
      <c r="M22" s="197"/>
      <c r="N22" s="197"/>
      <c r="O22" s="197"/>
      <c r="P22" s="197"/>
      <c r="Q22" s="197"/>
      <c r="R22" s="197"/>
      <c r="S22" s="197"/>
      <c r="T22" s="197"/>
      <c r="U22" s="295"/>
    </row>
    <row r="23" spans="1:21" ht="16.5" x14ac:dyDescent="0.25">
      <c r="A23" s="197"/>
      <c r="B23" s="197"/>
      <c r="C23" s="197"/>
      <c r="D23" s="197"/>
      <c r="E23" s="197"/>
      <c r="F23" s="197"/>
      <c r="G23" s="197"/>
      <c r="H23" s="197"/>
      <c r="I23" s="197"/>
      <c r="J23" s="197"/>
      <c r="K23" s="197"/>
      <c r="L23" s="197"/>
      <c r="M23" s="197"/>
      <c r="N23" s="197"/>
      <c r="O23" s="197"/>
      <c r="P23" s="197"/>
      <c r="Q23" s="197"/>
      <c r="R23" s="197"/>
      <c r="S23" s="197"/>
      <c r="T23" s="197"/>
      <c r="U23" s="295"/>
    </row>
    <row r="24" spans="1:21" ht="16.5" x14ac:dyDescent="0.25">
      <c r="A24" s="197"/>
      <c r="B24" s="197"/>
      <c r="C24" s="197"/>
      <c r="D24" s="197"/>
      <c r="E24" s="197"/>
      <c r="F24" s="197"/>
      <c r="G24" s="197"/>
      <c r="H24" s="197"/>
      <c r="I24" s="197"/>
      <c r="J24" s="197"/>
      <c r="K24" s="197"/>
      <c r="L24" s="197"/>
      <c r="M24" s="197"/>
      <c r="N24" s="197"/>
      <c r="O24" s="197"/>
      <c r="P24" s="197"/>
      <c r="Q24" s="197"/>
      <c r="R24" s="197"/>
      <c r="S24" s="197"/>
      <c r="T24" s="197"/>
      <c r="U24" s="295"/>
    </row>
    <row r="25" spans="1:21" ht="16.5" x14ac:dyDescent="0.25">
      <c r="A25" s="197"/>
      <c r="B25" s="197"/>
      <c r="C25" s="197"/>
      <c r="D25" s="197"/>
      <c r="E25" s="197"/>
      <c r="F25" s="197"/>
      <c r="G25" s="197"/>
      <c r="H25" s="197"/>
      <c r="I25" s="197"/>
      <c r="J25" s="197"/>
      <c r="K25" s="197"/>
      <c r="L25" s="197"/>
      <c r="M25" s="197"/>
      <c r="N25" s="197"/>
      <c r="O25" s="197"/>
      <c r="P25" s="197"/>
      <c r="Q25" s="197"/>
      <c r="R25" s="197"/>
      <c r="S25" s="197"/>
      <c r="T25" s="197"/>
      <c r="U25" s="295"/>
    </row>
    <row r="26" spans="1:21" ht="16.5" x14ac:dyDescent="0.25">
      <c r="A26" s="197"/>
      <c r="B26" s="197"/>
      <c r="C26" s="197"/>
      <c r="D26" s="197"/>
      <c r="E26" s="197"/>
      <c r="F26" s="197"/>
      <c r="G26" s="197"/>
      <c r="H26" s="197"/>
      <c r="I26" s="197"/>
      <c r="J26" s="197"/>
      <c r="K26" s="197"/>
      <c r="L26" s="197"/>
      <c r="M26" s="197"/>
      <c r="N26" s="197"/>
      <c r="O26" s="197"/>
      <c r="P26" s="197"/>
      <c r="Q26" s="197"/>
      <c r="R26" s="197"/>
      <c r="S26" s="197"/>
      <c r="T26" s="197"/>
      <c r="U26" s="295"/>
    </row>
    <row r="27" spans="1:21" ht="16.5" x14ac:dyDescent="0.25">
      <c r="A27" s="197"/>
      <c r="B27" s="197"/>
      <c r="C27" s="197"/>
      <c r="D27" s="197"/>
      <c r="E27" s="197"/>
      <c r="F27" s="197"/>
      <c r="G27" s="197"/>
      <c r="H27" s="197"/>
      <c r="I27" s="197"/>
      <c r="J27" s="197"/>
      <c r="K27" s="197"/>
      <c r="L27" s="197"/>
      <c r="M27" s="197"/>
      <c r="N27" s="197"/>
      <c r="O27" s="197"/>
      <c r="P27" s="197"/>
      <c r="Q27" s="197"/>
      <c r="R27" s="197"/>
      <c r="S27" s="197"/>
      <c r="T27" s="197"/>
      <c r="U27" s="295"/>
    </row>
    <row r="28" spans="1:21" ht="16.5" x14ac:dyDescent="0.25">
      <c r="A28" s="197"/>
      <c r="B28" s="197"/>
      <c r="C28" s="197"/>
      <c r="D28" s="197"/>
      <c r="E28" s="197"/>
      <c r="F28" s="197"/>
      <c r="G28" s="197"/>
      <c r="H28" s="197"/>
      <c r="I28" s="197"/>
      <c r="J28" s="197"/>
      <c r="K28" s="197"/>
      <c r="L28" s="197"/>
      <c r="M28" s="197"/>
      <c r="N28" s="197"/>
      <c r="O28" s="197"/>
      <c r="P28" s="197"/>
      <c r="Q28" s="197"/>
      <c r="R28" s="197"/>
      <c r="S28" s="197"/>
      <c r="T28" s="197"/>
      <c r="U28" s="295"/>
    </row>
    <row r="29" spans="1:21" ht="16.5" x14ac:dyDescent="0.25">
      <c r="A29" s="197"/>
      <c r="B29" s="197"/>
      <c r="C29" s="197"/>
      <c r="D29" s="197"/>
      <c r="E29" s="197"/>
      <c r="F29" s="197"/>
      <c r="G29" s="197"/>
      <c r="H29" s="197"/>
      <c r="I29" s="197"/>
      <c r="J29" s="197"/>
      <c r="K29" s="197"/>
      <c r="L29" s="197"/>
      <c r="M29" s="197"/>
      <c r="N29" s="197"/>
      <c r="O29" s="197"/>
      <c r="P29" s="197"/>
      <c r="Q29" s="197"/>
      <c r="R29" s="197"/>
      <c r="S29" s="197"/>
      <c r="T29" s="197"/>
      <c r="U29" s="295"/>
    </row>
    <row r="30" spans="1:21" ht="16.5" x14ac:dyDescent="0.25">
      <c r="A30" s="197"/>
      <c r="B30" s="197"/>
      <c r="C30" s="197"/>
      <c r="D30" s="197"/>
      <c r="E30" s="197"/>
      <c r="F30" s="197"/>
      <c r="G30" s="197"/>
      <c r="H30" s="197"/>
      <c r="I30" s="197"/>
      <c r="J30" s="197"/>
      <c r="K30" s="197"/>
      <c r="L30" s="197"/>
      <c r="M30" s="197"/>
      <c r="N30" s="197"/>
      <c r="O30" s="197"/>
      <c r="P30" s="197"/>
      <c r="Q30" s="197"/>
      <c r="R30" s="197"/>
      <c r="S30" s="197"/>
      <c r="T30" s="197"/>
      <c r="U30" s="295"/>
    </row>
    <row r="31" spans="1:21" ht="16.5" x14ac:dyDescent="0.25">
      <c r="A31" s="197"/>
      <c r="B31" s="197"/>
      <c r="C31" s="197"/>
      <c r="D31" s="197"/>
      <c r="E31" s="197"/>
      <c r="F31" s="197"/>
      <c r="G31" s="197"/>
      <c r="H31" s="197"/>
      <c r="I31" s="197"/>
      <c r="J31" s="197"/>
      <c r="K31" s="197"/>
      <c r="L31" s="197"/>
      <c r="M31" s="197"/>
      <c r="N31" s="197"/>
      <c r="O31" s="197"/>
      <c r="P31" s="197"/>
      <c r="Q31" s="197"/>
      <c r="R31" s="197"/>
      <c r="S31" s="197"/>
      <c r="T31" s="197"/>
      <c r="U31" s="295"/>
    </row>
    <row r="32" spans="1:21" ht="16.5" x14ac:dyDescent="0.25">
      <c r="A32" s="197"/>
      <c r="B32" s="197"/>
      <c r="C32" s="197"/>
      <c r="D32" s="197"/>
      <c r="E32" s="197"/>
      <c r="F32" s="197"/>
      <c r="G32" s="197"/>
      <c r="H32" s="197"/>
      <c r="I32" s="197"/>
      <c r="J32" s="197"/>
      <c r="K32" s="197"/>
      <c r="L32" s="197"/>
      <c r="M32" s="197"/>
      <c r="N32" s="197"/>
      <c r="O32" s="197"/>
      <c r="P32" s="197"/>
      <c r="Q32" s="197"/>
      <c r="R32" s="197"/>
      <c r="S32" s="197"/>
      <c r="T32" s="197"/>
      <c r="U32" s="295"/>
    </row>
    <row r="33" spans="1:21" ht="16.5" x14ac:dyDescent="0.25">
      <c r="A33" s="197"/>
      <c r="B33" s="197"/>
      <c r="C33" s="197"/>
      <c r="D33" s="197"/>
      <c r="E33" s="197"/>
      <c r="F33" s="197"/>
      <c r="G33" s="197"/>
      <c r="H33" s="197"/>
      <c r="I33" s="197"/>
      <c r="J33" s="197"/>
      <c r="K33" s="197"/>
      <c r="L33" s="197"/>
      <c r="M33" s="197"/>
      <c r="N33" s="197"/>
      <c r="O33" s="197"/>
      <c r="P33" s="197"/>
      <c r="Q33" s="197"/>
      <c r="R33" s="197"/>
      <c r="S33" s="197"/>
      <c r="T33" s="197"/>
      <c r="U33" s="295"/>
    </row>
    <row r="34" spans="1:21" ht="16.5" x14ac:dyDescent="0.25">
      <c r="A34" s="197"/>
      <c r="B34" s="197"/>
      <c r="C34" s="197"/>
      <c r="D34" s="197"/>
      <c r="E34" s="197"/>
      <c r="F34" s="197"/>
      <c r="G34" s="197"/>
      <c r="H34" s="197"/>
      <c r="I34" s="197"/>
      <c r="J34" s="197"/>
      <c r="K34" s="197"/>
      <c r="L34" s="197"/>
      <c r="M34" s="197"/>
      <c r="N34" s="197"/>
      <c r="O34" s="197"/>
      <c r="P34" s="197"/>
      <c r="Q34" s="197"/>
      <c r="R34" s="197"/>
      <c r="S34" s="197"/>
      <c r="T34" s="197"/>
      <c r="U34" s="295"/>
    </row>
    <row r="35" spans="1:21" ht="16.5" x14ac:dyDescent="0.25">
      <c r="A35" s="197"/>
      <c r="B35" s="197"/>
      <c r="C35" s="197"/>
      <c r="D35" s="197"/>
      <c r="E35" s="197"/>
      <c r="F35" s="197"/>
      <c r="G35" s="197"/>
      <c r="H35" s="197"/>
      <c r="I35" s="197"/>
      <c r="J35" s="197"/>
      <c r="K35" s="197"/>
      <c r="L35" s="197"/>
      <c r="M35" s="197"/>
      <c r="N35" s="197"/>
      <c r="O35" s="197"/>
      <c r="P35" s="197"/>
      <c r="Q35" s="197"/>
      <c r="R35" s="197"/>
      <c r="S35" s="197"/>
      <c r="T35" s="197"/>
      <c r="U35" s="295"/>
    </row>
    <row r="36" spans="1:21" ht="16.5" x14ac:dyDescent="0.25">
      <c r="A36" s="197"/>
      <c r="B36" s="197"/>
      <c r="C36" s="197"/>
      <c r="D36" s="197"/>
      <c r="E36" s="197"/>
      <c r="F36" s="197"/>
      <c r="G36" s="197"/>
      <c r="H36" s="197"/>
      <c r="I36" s="197"/>
      <c r="J36" s="197"/>
      <c r="K36" s="197"/>
      <c r="L36" s="197"/>
      <c r="M36" s="197"/>
      <c r="N36" s="197"/>
      <c r="O36" s="197"/>
      <c r="P36" s="197"/>
      <c r="Q36" s="197"/>
      <c r="R36" s="197"/>
      <c r="S36" s="197"/>
      <c r="T36" s="197"/>
      <c r="U36" s="295"/>
    </row>
    <row r="37" spans="1:21" ht="16.5" x14ac:dyDescent="0.25">
      <c r="A37" s="197"/>
      <c r="B37" s="197"/>
      <c r="C37" s="197"/>
      <c r="D37" s="197"/>
      <c r="E37" s="197"/>
      <c r="F37" s="197"/>
      <c r="G37" s="197"/>
      <c r="H37" s="197"/>
      <c r="I37" s="197"/>
      <c r="J37" s="197"/>
      <c r="K37" s="197"/>
      <c r="L37" s="197"/>
      <c r="M37" s="197"/>
      <c r="N37" s="197"/>
      <c r="O37" s="197"/>
      <c r="P37" s="197"/>
      <c r="Q37" s="197"/>
      <c r="R37" s="197"/>
      <c r="S37" s="197"/>
      <c r="T37" s="197"/>
      <c r="U37" s="295"/>
    </row>
    <row r="38" spans="1:21" ht="16.5" x14ac:dyDescent="0.25">
      <c r="A38" s="197"/>
      <c r="B38" s="197"/>
      <c r="C38" s="197"/>
      <c r="D38" s="197"/>
      <c r="E38" s="197"/>
      <c r="F38" s="197"/>
      <c r="G38" s="197"/>
      <c r="H38" s="197"/>
      <c r="I38" s="197"/>
      <c r="J38" s="197"/>
      <c r="K38" s="197"/>
      <c r="L38" s="197"/>
      <c r="M38" s="197"/>
      <c r="N38" s="197"/>
      <c r="O38" s="197"/>
      <c r="P38" s="197"/>
      <c r="Q38" s="197"/>
      <c r="R38" s="197"/>
      <c r="S38" s="197"/>
      <c r="T38" s="197"/>
      <c r="U38" s="295"/>
    </row>
    <row r="39" spans="1:21" ht="16.5" x14ac:dyDescent="0.25">
      <c r="A39" s="197"/>
      <c r="B39" s="197"/>
      <c r="C39" s="197"/>
      <c r="D39" s="197"/>
      <c r="E39" s="197"/>
      <c r="F39" s="197"/>
      <c r="G39" s="197"/>
      <c r="H39" s="197"/>
      <c r="I39" s="197"/>
      <c r="J39" s="197"/>
      <c r="K39" s="197"/>
      <c r="L39" s="197"/>
      <c r="M39" s="197"/>
      <c r="N39" s="197"/>
      <c r="O39" s="197"/>
      <c r="P39" s="197"/>
      <c r="Q39" s="197"/>
      <c r="R39" s="197"/>
      <c r="S39" s="197"/>
      <c r="T39" s="197"/>
      <c r="U39" s="295"/>
    </row>
    <row r="40" spans="1:21" ht="16.5" x14ac:dyDescent="0.25">
      <c r="A40" s="197"/>
      <c r="B40" s="197"/>
      <c r="C40" s="197"/>
      <c r="D40" s="197"/>
      <c r="E40" s="197"/>
      <c r="F40" s="197"/>
      <c r="G40" s="197"/>
      <c r="H40" s="197"/>
      <c r="I40" s="197"/>
      <c r="J40" s="197"/>
      <c r="K40" s="197"/>
      <c r="L40" s="197"/>
      <c r="M40" s="197"/>
      <c r="N40" s="197"/>
      <c r="O40" s="197"/>
      <c r="P40" s="197"/>
      <c r="Q40" s="197"/>
      <c r="R40" s="197"/>
      <c r="S40" s="197"/>
      <c r="T40" s="197"/>
      <c r="U40" s="295"/>
    </row>
    <row r="41" spans="1:21" ht="16.5" x14ac:dyDescent="0.25">
      <c r="A41" s="197"/>
      <c r="B41" s="197"/>
      <c r="C41" s="197"/>
      <c r="D41" s="197"/>
      <c r="E41" s="197"/>
      <c r="F41" s="197"/>
      <c r="G41" s="197"/>
      <c r="H41" s="197"/>
      <c r="I41" s="197"/>
      <c r="J41" s="197"/>
      <c r="K41" s="197"/>
      <c r="L41" s="197"/>
      <c r="M41" s="197"/>
      <c r="N41" s="197"/>
      <c r="O41" s="197"/>
      <c r="P41" s="197"/>
      <c r="Q41" s="197"/>
      <c r="R41" s="197"/>
      <c r="S41" s="197"/>
      <c r="T41" s="197"/>
      <c r="U41" s="295"/>
    </row>
    <row r="42" spans="1:21" ht="16.5" x14ac:dyDescent="0.25">
      <c r="A42" s="197"/>
      <c r="B42" s="197"/>
      <c r="C42" s="197"/>
      <c r="D42" s="197"/>
      <c r="E42" s="197"/>
      <c r="F42" s="197"/>
      <c r="G42" s="197"/>
      <c r="H42" s="197"/>
      <c r="I42" s="197"/>
      <c r="J42" s="197"/>
      <c r="K42" s="197"/>
      <c r="L42" s="197"/>
      <c r="M42" s="197"/>
      <c r="N42" s="197"/>
      <c r="O42" s="197"/>
      <c r="P42" s="197"/>
      <c r="Q42" s="197"/>
      <c r="R42" s="197"/>
      <c r="S42" s="197"/>
      <c r="T42" s="197"/>
      <c r="U42" s="295"/>
    </row>
    <row r="43" spans="1:21" x14ac:dyDescent="0.25">
      <c r="N43" s="289"/>
      <c r="O43" s="289"/>
      <c r="P43" s="289"/>
      <c r="Q43" s="289"/>
      <c r="R43" s="289"/>
      <c r="S43" s="289"/>
      <c r="T43" s="289"/>
    </row>
  </sheetData>
  <mergeCells count="6">
    <mergeCell ref="Q18:S18"/>
    <mergeCell ref="A1:A4"/>
    <mergeCell ref="B1:N4"/>
    <mergeCell ref="O2:P2"/>
    <mergeCell ref="O3:P3"/>
    <mergeCell ref="O4:P4"/>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13"/>
  <dimension ref="A1:AN43"/>
  <sheetViews>
    <sheetView zoomScale="90" zoomScaleNormal="90" workbookViewId="0">
      <selection activeCell="N7" sqref="N7:N10"/>
    </sheetView>
  </sheetViews>
  <sheetFormatPr baseColWidth="10" defaultRowHeight="15" x14ac:dyDescent="0.25"/>
  <cols>
    <col min="1" max="1" width="40.85546875" style="289" bestFit="1" customWidth="1"/>
    <col min="2" max="13" width="10.42578125" style="289" customWidth="1"/>
    <col min="14" max="14" width="10.42578125" style="290" customWidth="1"/>
    <col min="15" max="36" width="11.42578125" style="290"/>
    <col min="37" max="16384" width="11.42578125" style="289"/>
  </cols>
  <sheetData>
    <row r="1" spans="1:40" ht="16.5" customHeight="1" x14ac:dyDescent="0.25">
      <c r="A1" s="941"/>
      <c r="B1" s="902" t="s">
        <v>260</v>
      </c>
      <c r="C1" s="903"/>
      <c r="D1" s="903"/>
      <c r="E1" s="903"/>
      <c r="F1" s="903"/>
      <c r="G1" s="903"/>
      <c r="H1" s="903"/>
      <c r="I1" s="903"/>
      <c r="J1" s="903"/>
      <c r="K1" s="903"/>
      <c r="L1" s="903"/>
      <c r="M1" s="903"/>
      <c r="N1" s="904"/>
      <c r="O1" s="459" t="s">
        <v>550</v>
      </c>
      <c r="P1" s="353"/>
    </row>
    <row r="2" spans="1:40" ht="16.5" customHeight="1" x14ac:dyDescent="0.25">
      <c r="A2" s="942"/>
      <c r="B2" s="905"/>
      <c r="C2" s="851"/>
      <c r="D2" s="851"/>
      <c r="E2" s="851"/>
      <c r="F2" s="851"/>
      <c r="G2" s="851"/>
      <c r="H2" s="851"/>
      <c r="I2" s="851"/>
      <c r="J2" s="851"/>
      <c r="K2" s="851"/>
      <c r="L2" s="851"/>
      <c r="M2" s="851"/>
      <c r="N2" s="906"/>
      <c r="O2" s="819" t="s">
        <v>533</v>
      </c>
      <c r="P2" s="820"/>
    </row>
    <row r="3" spans="1:40" ht="16.5" customHeight="1" x14ac:dyDescent="0.25">
      <c r="A3" s="942"/>
      <c r="B3" s="905"/>
      <c r="C3" s="851"/>
      <c r="D3" s="851"/>
      <c r="E3" s="851"/>
      <c r="F3" s="851"/>
      <c r="G3" s="851"/>
      <c r="H3" s="851"/>
      <c r="I3" s="851"/>
      <c r="J3" s="851"/>
      <c r="K3" s="851"/>
      <c r="L3" s="851"/>
      <c r="M3" s="851"/>
      <c r="N3" s="906"/>
      <c r="O3" s="819" t="s">
        <v>534</v>
      </c>
      <c r="P3" s="820"/>
    </row>
    <row r="4" spans="1:40" ht="20.25" customHeight="1" thickBot="1" x14ac:dyDescent="0.3">
      <c r="A4" s="943"/>
      <c r="B4" s="907"/>
      <c r="C4" s="908"/>
      <c r="D4" s="908"/>
      <c r="E4" s="908"/>
      <c r="F4" s="908"/>
      <c r="G4" s="908"/>
      <c r="H4" s="908"/>
      <c r="I4" s="908"/>
      <c r="J4" s="908"/>
      <c r="K4" s="908"/>
      <c r="L4" s="908"/>
      <c r="M4" s="908"/>
      <c r="N4" s="909"/>
      <c r="O4" s="912" t="s">
        <v>548</v>
      </c>
      <c r="P4" s="857"/>
    </row>
    <row r="5" spans="1:40" ht="15.75" thickBot="1" x14ac:dyDescent="0.3">
      <c r="N5" s="289"/>
      <c r="O5" s="289"/>
      <c r="P5" s="289"/>
    </row>
    <row r="6" spans="1:40" s="197" customFormat="1" ht="26.25" thickBot="1" x14ac:dyDescent="0.3">
      <c r="A6" s="291" t="s">
        <v>416</v>
      </c>
      <c r="B6" s="328" t="s">
        <v>77</v>
      </c>
      <c r="C6" s="630">
        <v>43952</v>
      </c>
      <c r="D6" s="630">
        <v>43983</v>
      </c>
      <c r="E6" s="630">
        <v>44013</v>
      </c>
      <c r="F6" s="630">
        <v>44044</v>
      </c>
      <c r="G6" s="630">
        <v>44075</v>
      </c>
      <c r="H6" s="630">
        <v>44105</v>
      </c>
      <c r="I6" s="630">
        <v>44136</v>
      </c>
      <c r="J6" s="630">
        <v>44166</v>
      </c>
      <c r="K6" s="630">
        <v>44197</v>
      </c>
      <c r="L6" s="630">
        <v>44228</v>
      </c>
      <c r="M6" s="630">
        <v>44256</v>
      </c>
      <c r="N6" s="325">
        <v>44287</v>
      </c>
      <c r="O6" s="321" t="s">
        <v>307</v>
      </c>
      <c r="P6" s="346" t="str">
        <f>"Promedio " &amp; YEAR(N6)</f>
        <v>Promedio 2021</v>
      </c>
    </row>
    <row r="7" spans="1:40" s="197" customFormat="1" ht="16.5" x14ac:dyDescent="0.25">
      <c r="A7" s="292" t="s">
        <v>412</v>
      </c>
      <c r="B7" s="322">
        <v>95</v>
      </c>
      <c r="C7" s="634">
        <v>100</v>
      </c>
      <c r="D7" s="634">
        <v>99</v>
      </c>
      <c r="E7" s="634">
        <v>100</v>
      </c>
      <c r="F7" s="634">
        <v>100</v>
      </c>
      <c r="G7" s="634">
        <v>100</v>
      </c>
      <c r="H7" s="634">
        <v>100</v>
      </c>
      <c r="I7" s="634">
        <v>99.6</v>
      </c>
      <c r="J7" s="634">
        <v>100</v>
      </c>
      <c r="K7" s="634">
        <v>100</v>
      </c>
      <c r="L7" s="634">
        <v>100</v>
      </c>
      <c r="M7" s="634">
        <v>100</v>
      </c>
      <c r="N7" s="1033"/>
      <c r="O7" s="330">
        <f>IFERROR(AVERAGEIF(C7:N7,"&gt;0"),"-")</f>
        <v>99.872727272727261</v>
      </c>
      <c r="P7" s="342">
        <f>+IFERROR(AVERAGEIFS(C7:N7,C7:N7,"&gt;0",C$6:N$6,"&gt;="&amp;DATE(YEAR(N$6),1,1),C$6:N$6,"&lt;="&amp;DATE(YEAR(N$6),12,31)),"-")</f>
        <v>100</v>
      </c>
    </row>
    <row r="8" spans="1:40" s="197" customFormat="1" ht="16.5" x14ac:dyDescent="0.25">
      <c r="A8" s="293" t="s">
        <v>413</v>
      </c>
      <c r="B8" s="320">
        <v>3.3</v>
      </c>
      <c r="C8" s="632">
        <v>0</v>
      </c>
      <c r="D8" s="632">
        <v>0.6</v>
      </c>
      <c r="E8" s="632">
        <v>0</v>
      </c>
      <c r="F8" s="632">
        <v>0</v>
      </c>
      <c r="G8" s="632">
        <v>0</v>
      </c>
      <c r="H8" s="632">
        <v>0</v>
      </c>
      <c r="I8" s="632">
        <v>0.35</v>
      </c>
      <c r="J8" s="632">
        <v>0</v>
      </c>
      <c r="K8" s="632">
        <v>0</v>
      </c>
      <c r="L8" s="632">
        <v>0</v>
      </c>
      <c r="M8" s="632">
        <v>0</v>
      </c>
      <c r="N8" s="1034"/>
      <c r="O8" s="326">
        <f>IFERROR(AVERAGEIF(C8:N8,"&gt;0"),"-")</f>
        <v>0.47499999999999998</v>
      </c>
      <c r="P8" s="343" t="str">
        <f>+IFERROR(AVERAGEIFS(C8:N8,C8:N8,"&gt;0",C$6:N$6,"&gt;="&amp;DATE(YEAR(N$6),1,1),C$6:N$6,"&lt;="&amp;DATE(YEAR(N$6),12,31)),"-")</f>
        <v>-</v>
      </c>
    </row>
    <row r="9" spans="1:40" s="197" customFormat="1" ht="16.5" x14ac:dyDescent="0.25">
      <c r="A9" s="293" t="s">
        <v>414</v>
      </c>
      <c r="B9" s="320">
        <v>0</v>
      </c>
      <c r="C9" s="632">
        <v>0</v>
      </c>
      <c r="D9" s="632">
        <v>0</v>
      </c>
      <c r="E9" s="632">
        <v>0</v>
      </c>
      <c r="F9" s="632">
        <v>0</v>
      </c>
      <c r="G9" s="632">
        <v>0</v>
      </c>
      <c r="H9" s="632">
        <v>0</v>
      </c>
      <c r="I9" s="632">
        <v>0</v>
      </c>
      <c r="J9" s="632">
        <v>0</v>
      </c>
      <c r="K9" s="632">
        <v>0</v>
      </c>
      <c r="L9" s="632">
        <v>0</v>
      </c>
      <c r="M9" s="632">
        <v>0</v>
      </c>
      <c r="N9" s="1034"/>
      <c r="O9" s="326" t="str">
        <f>IFERROR(AVERAGEIF(C9:N9,"&gt;0"),"-")</f>
        <v>-</v>
      </c>
      <c r="P9" s="343" t="str">
        <f>+IFERROR(AVERAGEIFS(C9:N9,C9:N9,"&gt;0",C$6:N$6,"&gt;="&amp;DATE(YEAR(N$6),1,1),C$6:N$6,"&lt;="&amp;DATE(YEAR(N$6),12,31)),"-")</f>
        <v>-</v>
      </c>
    </row>
    <row r="10" spans="1:40" s="197" customFormat="1" ht="17.25" thickBot="1" x14ac:dyDescent="0.3">
      <c r="A10" s="294" t="s">
        <v>415</v>
      </c>
      <c r="B10" s="323">
        <v>95</v>
      </c>
      <c r="C10" s="633">
        <v>90</v>
      </c>
      <c r="D10" s="633">
        <v>91</v>
      </c>
      <c r="E10" s="633">
        <v>90.1</v>
      </c>
      <c r="F10" s="633">
        <v>91.5</v>
      </c>
      <c r="G10" s="633">
        <v>91.5</v>
      </c>
      <c r="H10" s="633">
        <v>93.7</v>
      </c>
      <c r="I10" s="633">
        <v>93.6</v>
      </c>
      <c r="J10" s="633">
        <v>94.1</v>
      </c>
      <c r="K10" s="633">
        <v>94</v>
      </c>
      <c r="L10" s="813">
        <v>100</v>
      </c>
      <c r="M10" s="813">
        <v>100</v>
      </c>
      <c r="N10" s="1035"/>
      <c r="O10" s="327">
        <f>IFERROR(AVERAGEIF(C10:N10,"&gt;0"),"-")</f>
        <v>93.590909090909093</v>
      </c>
      <c r="P10" s="344">
        <f>+IFERROR(AVERAGEIFS(C10:N10,C10:N10,"&gt;0",C$6:N$6,"&gt;="&amp;DATE(YEAR(N$6),1,1),C$6:N$6,"&lt;="&amp;DATE(YEAR(N$6),12,31)),"-")</f>
        <v>98</v>
      </c>
    </row>
    <row r="11" spans="1:40" s="290" customFormat="1" ht="16.5" x14ac:dyDescent="0.25">
      <c r="A11" s="197"/>
      <c r="B11" s="197"/>
      <c r="C11" s="197"/>
      <c r="D11" s="197"/>
      <c r="E11" s="197"/>
      <c r="F11" s="197"/>
      <c r="G11" s="197"/>
      <c r="H11" s="197"/>
      <c r="I11" s="197"/>
      <c r="J11" s="197"/>
      <c r="K11" s="197"/>
      <c r="L11" s="197"/>
      <c r="M11" s="197"/>
      <c r="N11" s="197"/>
      <c r="O11" s="197"/>
      <c r="P11" s="197"/>
      <c r="Q11" s="295"/>
      <c r="R11" s="295"/>
      <c r="S11" s="295"/>
      <c r="T11" s="295"/>
      <c r="U11" s="295"/>
      <c r="AK11" s="289"/>
      <c r="AL11" s="289"/>
      <c r="AM11" s="289"/>
      <c r="AN11" s="289"/>
    </row>
    <row r="12" spans="1:40" s="290" customFormat="1" ht="16.5" x14ac:dyDescent="0.25">
      <c r="A12" s="197"/>
      <c r="B12" s="197"/>
      <c r="C12" s="197"/>
      <c r="D12" s="197"/>
      <c r="E12" s="197"/>
      <c r="F12" s="197"/>
      <c r="G12" s="197"/>
      <c r="H12" s="197"/>
      <c r="I12" s="197"/>
      <c r="J12" s="197"/>
      <c r="K12" s="197"/>
      <c r="L12" s="197"/>
      <c r="M12" s="197"/>
      <c r="N12" s="197"/>
      <c r="O12" s="197"/>
      <c r="P12" s="197"/>
      <c r="Q12" s="295"/>
      <c r="R12" s="295"/>
      <c r="S12" s="295"/>
      <c r="T12" s="295"/>
      <c r="U12" s="295"/>
      <c r="AK12" s="289"/>
      <c r="AL12" s="289"/>
      <c r="AM12" s="289"/>
      <c r="AN12" s="289"/>
    </row>
    <row r="13" spans="1:40" s="290" customFormat="1" ht="16.5" x14ac:dyDescent="0.25">
      <c r="A13" s="197"/>
      <c r="B13" s="197"/>
      <c r="C13" s="197"/>
      <c r="D13" s="197"/>
      <c r="E13" s="197"/>
      <c r="F13" s="197"/>
      <c r="G13" s="197"/>
      <c r="H13" s="197"/>
      <c r="I13" s="197"/>
      <c r="J13" s="197"/>
      <c r="K13" s="197"/>
      <c r="L13" s="197"/>
      <c r="M13" s="197"/>
      <c r="N13" s="295"/>
      <c r="O13" s="197"/>
      <c r="P13" s="197"/>
      <c r="Q13" s="295"/>
      <c r="R13" s="295"/>
      <c r="S13" s="295"/>
      <c r="T13" s="295"/>
      <c r="U13" s="295"/>
      <c r="AK13" s="289"/>
      <c r="AL13" s="289"/>
      <c r="AM13" s="289"/>
      <c r="AN13" s="289"/>
    </row>
    <row r="14" spans="1:40" s="290" customFormat="1" ht="16.5" x14ac:dyDescent="0.25">
      <c r="A14" s="197"/>
      <c r="B14" s="197"/>
      <c r="C14" s="197"/>
      <c r="D14" s="197"/>
      <c r="E14" s="197"/>
      <c r="F14" s="197"/>
      <c r="G14" s="197"/>
      <c r="H14" s="197"/>
      <c r="I14" s="197"/>
      <c r="J14" s="197"/>
      <c r="K14" s="197"/>
      <c r="L14" s="197"/>
      <c r="M14" s="197"/>
      <c r="N14" s="295"/>
      <c r="O14" s="197"/>
      <c r="P14" s="197"/>
      <c r="Q14" s="295"/>
      <c r="R14" s="295"/>
      <c r="S14" s="295"/>
      <c r="T14" s="295"/>
      <c r="U14" s="295"/>
      <c r="AK14" s="289"/>
      <c r="AL14" s="289"/>
      <c r="AM14" s="289"/>
      <c r="AN14" s="289"/>
    </row>
    <row r="15" spans="1:40" s="290" customFormat="1" ht="16.5" x14ac:dyDescent="0.25">
      <c r="A15" s="197"/>
      <c r="B15" s="197"/>
      <c r="C15" s="197"/>
      <c r="D15" s="197"/>
      <c r="E15" s="197"/>
      <c r="F15" s="197"/>
      <c r="G15" s="197"/>
      <c r="H15" s="197"/>
      <c r="I15" s="197"/>
      <c r="J15" s="197"/>
      <c r="K15" s="197"/>
      <c r="L15" s="197"/>
      <c r="M15" s="197"/>
      <c r="N15" s="295"/>
      <c r="O15" s="197"/>
      <c r="P15" s="197"/>
      <c r="Q15" s="295"/>
      <c r="R15" s="295"/>
      <c r="S15" s="295"/>
      <c r="T15" s="295"/>
      <c r="U15" s="295"/>
      <c r="AK15" s="289"/>
      <c r="AL15" s="289"/>
      <c r="AM15" s="289"/>
      <c r="AN15" s="289"/>
    </row>
    <row r="16" spans="1:40" s="290" customFormat="1" ht="16.5" x14ac:dyDescent="0.25">
      <c r="A16" s="197"/>
      <c r="B16" s="197"/>
      <c r="C16" s="197"/>
      <c r="D16" s="197"/>
      <c r="E16" s="197"/>
      <c r="F16" s="197"/>
      <c r="G16" s="197"/>
      <c r="H16" s="197"/>
      <c r="I16" s="197"/>
      <c r="J16" s="197"/>
      <c r="K16" s="197"/>
      <c r="L16" s="197"/>
      <c r="M16" s="197"/>
      <c r="N16" s="295"/>
      <c r="O16" s="197"/>
      <c r="P16" s="197"/>
      <c r="Q16" s="295"/>
      <c r="R16" s="295"/>
      <c r="S16" s="295"/>
      <c r="T16" s="295"/>
      <c r="U16" s="295"/>
      <c r="AK16" s="289"/>
      <c r="AL16" s="289"/>
      <c r="AM16" s="289"/>
      <c r="AN16" s="289"/>
    </row>
    <row r="17" spans="1:40" s="290" customFormat="1" ht="16.5" x14ac:dyDescent="0.25">
      <c r="A17" s="197"/>
      <c r="B17" s="197"/>
      <c r="C17" s="197"/>
      <c r="D17" s="197"/>
      <c r="E17" s="197"/>
      <c r="F17" s="197"/>
      <c r="G17" s="197"/>
      <c r="H17" s="197"/>
      <c r="I17" s="197"/>
      <c r="J17" s="197"/>
      <c r="K17" s="197"/>
      <c r="L17" s="197"/>
      <c r="M17" s="197"/>
      <c r="N17" s="197"/>
      <c r="O17" s="197"/>
      <c r="P17" s="197"/>
      <c r="Q17" s="953"/>
      <c r="R17" s="953"/>
      <c r="S17" s="953"/>
      <c r="T17" s="197"/>
      <c r="U17" s="295"/>
      <c r="AK17" s="289"/>
      <c r="AL17" s="289"/>
      <c r="AM17" s="289"/>
      <c r="AN17" s="289"/>
    </row>
    <row r="18" spans="1:40" s="290" customFormat="1" ht="16.5" x14ac:dyDescent="0.25">
      <c r="A18" s="197"/>
      <c r="B18" s="197"/>
      <c r="C18" s="197"/>
      <c r="D18" s="197"/>
      <c r="E18" s="197"/>
      <c r="F18" s="197"/>
      <c r="G18" s="197"/>
      <c r="H18" s="197"/>
      <c r="I18" s="197"/>
      <c r="J18" s="197"/>
      <c r="K18" s="197"/>
      <c r="L18" s="197"/>
      <c r="M18" s="197"/>
      <c r="N18" s="197"/>
      <c r="O18" s="197"/>
      <c r="P18" s="197"/>
      <c r="Q18" s="7"/>
      <c r="R18" s="7"/>
      <c r="S18" s="7"/>
      <c r="T18" s="197"/>
      <c r="U18" s="295"/>
      <c r="AK18" s="289"/>
      <c r="AL18" s="289"/>
      <c r="AM18" s="289"/>
      <c r="AN18" s="289"/>
    </row>
    <row r="19" spans="1:40" s="290" customFormat="1" ht="15.75" customHeight="1" x14ac:dyDescent="0.25">
      <c r="A19" s="197"/>
      <c r="B19" s="197"/>
      <c r="C19" s="197"/>
      <c r="D19" s="197"/>
      <c r="E19" s="197"/>
      <c r="F19" s="197"/>
      <c r="G19" s="197"/>
      <c r="H19" s="197"/>
      <c r="I19" s="197"/>
      <c r="J19" s="197"/>
      <c r="K19" s="197"/>
      <c r="L19" s="197"/>
      <c r="M19" s="197"/>
      <c r="N19" s="197"/>
      <c r="O19" s="197"/>
      <c r="P19" s="197"/>
      <c r="Q19" s="197"/>
      <c r="R19" s="197"/>
      <c r="S19" s="197"/>
      <c r="T19" s="197"/>
      <c r="U19" s="295"/>
      <c r="AK19" s="289"/>
      <c r="AL19" s="289"/>
      <c r="AM19" s="289"/>
      <c r="AN19" s="289"/>
    </row>
    <row r="20" spans="1:40" s="290" customFormat="1" ht="16.5" x14ac:dyDescent="0.25">
      <c r="A20" s="197"/>
      <c r="B20" s="197"/>
      <c r="C20" s="197"/>
      <c r="D20" s="197"/>
      <c r="E20" s="197"/>
      <c r="F20" s="197"/>
      <c r="G20" s="197"/>
      <c r="H20" s="197"/>
      <c r="I20" s="197"/>
      <c r="J20" s="197"/>
      <c r="K20" s="197"/>
      <c r="L20" s="197"/>
      <c r="M20" s="197"/>
      <c r="N20" s="197"/>
      <c r="O20" s="197"/>
      <c r="P20" s="197"/>
      <c r="Q20" s="197"/>
      <c r="R20" s="197"/>
      <c r="S20" s="197"/>
      <c r="T20" s="197"/>
      <c r="U20" s="295"/>
      <c r="AK20" s="289"/>
      <c r="AL20" s="289"/>
      <c r="AM20" s="289"/>
      <c r="AN20" s="289"/>
    </row>
    <row r="21" spans="1:40" s="290" customFormat="1" ht="16.5" x14ac:dyDescent="0.25">
      <c r="A21" s="197"/>
      <c r="B21" s="197"/>
      <c r="C21" s="197"/>
      <c r="D21" s="197"/>
      <c r="E21" s="197"/>
      <c r="F21" s="197"/>
      <c r="G21" s="197"/>
      <c r="H21" s="197"/>
      <c r="I21" s="197"/>
      <c r="J21" s="197"/>
      <c r="K21" s="197"/>
      <c r="L21" s="197"/>
      <c r="M21" s="197"/>
      <c r="N21" s="197"/>
      <c r="O21" s="197"/>
      <c r="P21" s="197"/>
      <c r="Q21" s="197"/>
      <c r="R21" s="197"/>
      <c r="S21" s="197"/>
      <c r="T21" s="197"/>
      <c r="U21" s="295"/>
      <c r="AK21" s="289"/>
      <c r="AL21" s="289"/>
      <c r="AM21" s="289"/>
      <c r="AN21" s="289"/>
    </row>
    <row r="22" spans="1:40" s="290" customFormat="1" ht="16.5" x14ac:dyDescent="0.25">
      <c r="A22" s="197"/>
      <c r="B22" s="197"/>
      <c r="C22" s="197"/>
      <c r="D22" s="197"/>
      <c r="E22" s="197"/>
      <c r="F22" s="197"/>
      <c r="G22" s="197"/>
      <c r="H22" s="197"/>
      <c r="I22" s="197"/>
      <c r="J22" s="197"/>
      <c r="K22" s="197"/>
      <c r="L22" s="197"/>
      <c r="M22" s="197"/>
      <c r="N22" s="197"/>
      <c r="O22" s="197"/>
      <c r="P22" s="197"/>
      <c r="Q22" s="197"/>
      <c r="R22" s="197"/>
      <c r="S22" s="197"/>
      <c r="T22" s="197"/>
      <c r="U22" s="295"/>
      <c r="AK22" s="289"/>
      <c r="AL22" s="289"/>
      <c r="AM22" s="289"/>
      <c r="AN22" s="289"/>
    </row>
    <row r="23" spans="1:40" s="290" customFormat="1" ht="16.5" x14ac:dyDescent="0.25">
      <c r="A23" s="197"/>
      <c r="B23" s="197"/>
      <c r="C23" s="197"/>
      <c r="D23" s="197"/>
      <c r="E23" s="197"/>
      <c r="F23" s="197"/>
      <c r="G23" s="197"/>
      <c r="H23" s="197"/>
      <c r="I23" s="197"/>
      <c r="J23" s="197"/>
      <c r="K23" s="197"/>
      <c r="L23" s="197"/>
      <c r="M23" s="197"/>
      <c r="N23" s="197"/>
      <c r="O23" s="197"/>
      <c r="P23" s="197"/>
      <c r="Q23" s="197"/>
      <c r="R23" s="197"/>
      <c r="S23" s="197"/>
      <c r="T23" s="197"/>
      <c r="U23" s="295"/>
      <c r="AK23" s="289"/>
      <c r="AL23" s="289"/>
      <c r="AM23" s="289"/>
      <c r="AN23" s="289"/>
    </row>
    <row r="24" spans="1:40" s="290" customFormat="1" ht="16.5" x14ac:dyDescent="0.25">
      <c r="A24" s="197"/>
      <c r="B24" s="197"/>
      <c r="C24" s="197"/>
      <c r="D24" s="197"/>
      <c r="E24" s="197"/>
      <c r="F24" s="197"/>
      <c r="G24" s="197"/>
      <c r="H24" s="197"/>
      <c r="I24" s="197"/>
      <c r="J24" s="197"/>
      <c r="K24" s="197"/>
      <c r="L24" s="197"/>
      <c r="M24" s="197"/>
      <c r="N24" s="197"/>
      <c r="O24" s="197"/>
      <c r="P24" s="197"/>
      <c r="Q24" s="197"/>
      <c r="R24" s="197"/>
      <c r="S24" s="197"/>
      <c r="T24" s="197"/>
      <c r="U24" s="295"/>
      <c r="AK24" s="289"/>
      <c r="AL24" s="289"/>
      <c r="AM24" s="289"/>
      <c r="AN24" s="289"/>
    </row>
    <row r="25" spans="1:40" s="290" customFormat="1" ht="16.5" x14ac:dyDescent="0.25">
      <c r="A25" s="197"/>
      <c r="B25" s="197"/>
      <c r="C25" s="197"/>
      <c r="D25" s="197"/>
      <c r="E25" s="197"/>
      <c r="F25" s="197"/>
      <c r="G25" s="197"/>
      <c r="H25" s="197"/>
      <c r="I25" s="197"/>
      <c r="J25" s="197"/>
      <c r="K25" s="197"/>
      <c r="L25" s="197"/>
      <c r="M25" s="197"/>
      <c r="N25" s="197"/>
      <c r="O25" s="197"/>
      <c r="P25" s="197"/>
      <c r="Q25" s="197"/>
      <c r="R25" s="197"/>
      <c r="S25" s="197"/>
      <c r="T25" s="197"/>
      <c r="U25" s="295"/>
      <c r="AK25" s="289"/>
      <c r="AL25" s="289"/>
      <c r="AM25" s="289"/>
      <c r="AN25" s="289"/>
    </row>
    <row r="26" spans="1:40" s="290" customFormat="1" ht="16.5" x14ac:dyDescent="0.25">
      <c r="A26" s="197"/>
      <c r="B26" s="197"/>
      <c r="C26" s="197"/>
      <c r="D26" s="197"/>
      <c r="E26" s="197"/>
      <c r="F26" s="197"/>
      <c r="G26" s="197"/>
      <c r="H26" s="197"/>
      <c r="I26" s="197"/>
      <c r="J26" s="197"/>
      <c r="K26" s="197"/>
      <c r="L26" s="197"/>
      <c r="M26" s="197"/>
      <c r="N26" s="197"/>
      <c r="O26" s="197"/>
      <c r="P26" s="197"/>
      <c r="Q26" s="197"/>
      <c r="R26" s="197"/>
      <c r="S26" s="197"/>
      <c r="T26" s="197"/>
      <c r="U26" s="295"/>
      <c r="AK26" s="289"/>
      <c r="AL26" s="289"/>
      <c r="AM26" s="289"/>
      <c r="AN26" s="289"/>
    </row>
    <row r="27" spans="1:40" s="290" customFormat="1" ht="16.5" x14ac:dyDescent="0.25">
      <c r="A27" s="197"/>
      <c r="B27" s="197"/>
      <c r="C27" s="197"/>
      <c r="D27" s="197"/>
      <c r="E27" s="197"/>
      <c r="F27" s="197"/>
      <c r="G27" s="197"/>
      <c r="H27" s="197"/>
      <c r="I27" s="197"/>
      <c r="J27" s="197"/>
      <c r="K27" s="197"/>
      <c r="L27" s="197"/>
      <c r="M27" s="197"/>
      <c r="N27" s="197"/>
      <c r="O27" s="197"/>
      <c r="P27" s="197"/>
      <c r="Q27" s="197"/>
      <c r="R27" s="197"/>
      <c r="S27" s="197"/>
      <c r="T27" s="197"/>
      <c r="U27" s="295"/>
      <c r="AK27" s="289"/>
      <c r="AL27" s="289"/>
      <c r="AM27" s="289"/>
      <c r="AN27" s="289"/>
    </row>
    <row r="28" spans="1:40" s="290" customFormat="1" ht="16.5" x14ac:dyDescent="0.25">
      <c r="A28" s="197"/>
      <c r="B28" s="197"/>
      <c r="C28" s="197"/>
      <c r="D28" s="197"/>
      <c r="E28" s="197"/>
      <c r="F28" s="197"/>
      <c r="G28" s="197"/>
      <c r="H28" s="197"/>
      <c r="I28" s="197"/>
      <c r="J28" s="197"/>
      <c r="K28" s="197"/>
      <c r="L28" s="197"/>
      <c r="M28" s="197"/>
      <c r="N28" s="197"/>
      <c r="O28" s="197"/>
      <c r="P28" s="197"/>
      <c r="Q28" s="197"/>
      <c r="R28" s="197"/>
      <c r="S28" s="197"/>
      <c r="T28" s="197"/>
      <c r="U28" s="295"/>
      <c r="AK28" s="289"/>
      <c r="AL28" s="289"/>
      <c r="AM28" s="289"/>
      <c r="AN28" s="289"/>
    </row>
    <row r="29" spans="1:40" s="290" customFormat="1" ht="16.5" x14ac:dyDescent="0.25">
      <c r="A29" s="197"/>
      <c r="B29" s="197"/>
      <c r="C29" s="197"/>
      <c r="D29" s="197"/>
      <c r="E29" s="197"/>
      <c r="F29" s="197"/>
      <c r="G29" s="197"/>
      <c r="H29" s="197"/>
      <c r="I29" s="197"/>
      <c r="J29" s="197"/>
      <c r="K29" s="197"/>
      <c r="L29" s="197"/>
      <c r="M29" s="197"/>
      <c r="N29" s="197"/>
      <c r="O29" s="197"/>
      <c r="P29" s="197"/>
      <c r="Q29" s="197"/>
      <c r="R29" s="197"/>
      <c r="S29" s="197"/>
      <c r="T29" s="197"/>
      <c r="U29" s="295"/>
      <c r="AK29" s="289"/>
      <c r="AL29" s="289"/>
      <c r="AM29" s="289"/>
      <c r="AN29" s="289"/>
    </row>
    <row r="30" spans="1:40" s="290" customFormat="1" ht="16.5" x14ac:dyDescent="0.25">
      <c r="A30" s="197"/>
      <c r="B30" s="197"/>
      <c r="C30" s="197"/>
      <c r="D30" s="197"/>
      <c r="E30" s="197"/>
      <c r="F30" s="197"/>
      <c r="G30" s="197"/>
      <c r="H30" s="197"/>
      <c r="I30" s="197"/>
      <c r="J30" s="197"/>
      <c r="K30" s="197"/>
      <c r="L30" s="197"/>
      <c r="M30" s="197"/>
      <c r="N30" s="197"/>
      <c r="O30" s="197"/>
      <c r="P30" s="197"/>
      <c r="Q30" s="197"/>
      <c r="R30" s="197"/>
      <c r="S30" s="197"/>
      <c r="T30" s="197"/>
      <c r="U30" s="295"/>
      <c r="AK30" s="289"/>
      <c r="AL30" s="289"/>
      <c r="AM30" s="289"/>
      <c r="AN30" s="289"/>
    </row>
    <row r="31" spans="1:40" s="290" customFormat="1" ht="16.5" x14ac:dyDescent="0.25">
      <c r="A31" s="197"/>
      <c r="B31" s="197"/>
      <c r="C31" s="197"/>
      <c r="D31" s="197"/>
      <c r="E31" s="197"/>
      <c r="F31" s="197"/>
      <c r="G31" s="197"/>
      <c r="H31" s="197"/>
      <c r="I31" s="197"/>
      <c r="J31" s="197"/>
      <c r="K31" s="197"/>
      <c r="L31" s="197"/>
      <c r="M31" s="197"/>
      <c r="N31" s="197"/>
      <c r="O31" s="197"/>
      <c r="P31" s="197"/>
      <c r="Q31" s="197"/>
      <c r="R31" s="197"/>
      <c r="S31" s="197"/>
      <c r="T31" s="197"/>
      <c r="U31" s="295"/>
      <c r="AK31" s="289"/>
      <c r="AL31" s="289"/>
      <c r="AM31" s="289"/>
      <c r="AN31" s="289"/>
    </row>
    <row r="32" spans="1:40" s="290" customFormat="1" ht="16.5" x14ac:dyDescent="0.25">
      <c r="A32" s="197"/>
      <c r="B32" s="197"/>
      <c r="C32" s="197"/>
      <c r="D32" s="197"/>
      <c r="E32" s="197"/>
      <c r="F32" s="197"/>
      <c r="G32" s="197"/>
      <c r="H32" s="197"/>
      <c r="I32" s="197"/>
      <c r="J32" s="197"/>
      <c r="K32" s="197"/>
      <c r="L32" s="197"/>
      <c r="M32" s="197"/>
      <c r="N32" s="197"/>
      <c r="O32" s="197"/>
      <c r="P32" s="197"/>
      <c r="Q32" s="197"/>
      <c r="R32" s="197"/>
      <c r="S32" s="197"/>
      <c r="T32" s="197"/>
      <c r="U32" s="295"/>
      <c r="AK32" s="289"/>
      <c r="AL32" s="289"/>
      <c r="AM32" s="289"/>
      <c r="AN32" s="289"/>
    </row>
    <row r="33" spans="1:40" s="290" customFormat="1" ht="16.5" x14ac:dyDescent="0.25">
      <c r="A33" s="197"/>
      <c r="B33" s="197"/>
      <c r="C33" s="197"/>
      <c r="D33" s="197"/>
      <c r="E33" s="197"/>
      <c r="F33" s="197"/>
      <c r="G33" s="197"/>
      <c r="H33" s="197"/>
      <c r="I33" s="197"/>
      <c r="J33" s="197"/>
      <c r="K33" s="197"/>
      <c r="L33" s="197"/>
      <c r="M33" s="197"/>
      <c r="N33" s="197"/>
      <c r="O33" s="197"/>
      <c r="P33" s="197"/>
      <c r="Q33" s="197"/>
      <c r="R33" s="197"/>
      <c r="S33" s="197"/>
      <c r="T33" s="197"/>
      <c r="U33" s="295"/>
      <c r="AK33" s="289"/>
      <c r="AL33" s="289"/>
      <c r="AM33" s="289"/>
      <c r="AN33" s="289"/>
    </row>
    <row r="34" spans="1:40" s="290" customFormat="1" ht="16.5" x14ac:dyDescent="0.25">
      <c r="A34" s="197"/>
      <c r="B34" s="197"/>
      <c r="C34" s="197"/>
      <c r="D34" s="197"/>
      <c r="E34" s="197"/>
      <c r="F34" s="197"/>
      <c r="G34" s="197"/>
      <c r="H34" s="197"/>
      <c r="I34" s="197"/>
      <c r="J34" s="197"/>
      <c r="K34" s="197"/>
      <c r="L34" s="197"/>
      <c r="M34" s="197"/>
      <c r="N34" s="197"/>
      <c r="O34" s="197"/>
      <c r="P34" s="197"/>
      <c r="Q34" s="197"/>
      <c r="R34" s="197"/>
      <c r="S34" s="197"/>
      <c r="T34" s="197"/>
      <c r="U34" s="295"/>
      <c r="AK34" s="289"/>
      <c r="AL34" s="289"/>
      <c r="AM34" s="289"/>
      <c r="AN34" s="289"/>
    </row>
    <row r="35" spans="1:40" s="290" customFormat="1" ht="16.5" x14ac:dyDescent="0.25">
      <c r="A35" s="197"/>
      <c r="B35" s="197"/>
      <c r="C35" s="197"/>
      <c r="D35" s="197"/>
      <c r="E35" s="197"/>
      <c r="F35" s="197"/>
      <c r="G35" s="197"/>
      <c r="H35" s="197"/>
      <c r="I35" s="197"/>
      <c r="J35" s="197"/>
      <c r="K35" s="197"/>
      <c r="L35" s="197"/>
      <c r="M35" s="197"/>
      <c r="N35" s="197"/>
      <c r="O35" s="197"/>
      <c r="P35" s="197"/>
      <c r="Q35" s="197"/>
      <c r="R35" s="197"/>
      <c r="S35" s="197"/>
      <c r="T35" s="197"/>
      <c r="U35" s="295"/>
      <c r="AK35" s="289"/>
      <c r="AL35" s="289"/>
      <c r="AM35" s="289"/>
      <c r="AN35" s="289"/>
    </row>
    <row r="36" spans="1:40" s="290" customFormat="1" ht="16.5" x14ac:dyDescent="0.25">
      <c r="A36" s="197"/>
      <c r="B36" s="197"/>
      <c r="C36" s="197"/>
      <c r="D36" s="197"/>
      <c r="E36" s="197"/>
      <c r="F36" s="197"/>
      <c r="G36" s="197"/>
      <c r="H36" s="197"/>
      <c r="I36" s="197"/>
      <c r="J36" s="197"/>
      <c r="K36" s="197"/>
      <c r="L36" s="197"/>
      <c r="M36" s="197"/>
      <c r="N36" s="197"/>
      <c r="O36" s="197"/>
      <c r="P36" s="197"/>
      <c r="Q36" s="197"/>
      <c r="R36" s="197"/>
      <c r="S36" s="197"/>
      <c r="T36" s="197"/>
      <c r="U36" s="295"/>
      <c r="AK36" s="289"/>
      <c r="AL36" s="289"/>
      <c r="AM36" s="289"/>
      <c r="AN36" s="289"/>
    </row>
    <row r="37" spans="1:40" s="290" customFormat="1" ht="16.5" x14ac:dyDescent="0.25">
      <c r="A37" s="197"/>
      <c r="B37" s="197"/>
      <c r="C37" s="197"/>
      <c r="D37" s="197"/>
      <c r="E37" s="197"/>
      <c r="F37" s="197"/>
      <c r="G37" s="197"/>
      <c r="H37" s="197"/>
      <c r="I37" s="197"/>
      <c r="J37" s="197"/>
      <c r="K37" s="197"/>
      <c r="L37" s="197"/>
      <c r="M37" s="197"/>
      <c r="N37" s="197"/>
      <c r="O37" s="197"/>
      <c r="P37" s="197"/>
      <c r="Q37" s="197"/>
      <c r="R37" s="197"/>
      <c r="S37" s="197"/>
      <c r="T37" s="197"/>
      <c r="U37" s="295"/>
      <c r="AK37" s="289"/>
      <c r="AL37" s="289"/>
      <c r="AM37" s="289"/>
      <c r="AN37" s="289"/>
    </row>
    <row r="38" spans="1:40" s="290" customFormat="1" ht="16.5" x14ac:dyDescent="0.25">
      <c r="A38" s="197"/>
      <c r="B38" s="197"/>
      <c r="C38" s="197"/>
      <c r="D38" s="197"/>
      <c r="E38" s="197"/>
      <c r="F38" s="197"/>
      <c r="G38" s="197"/>
      <c r="H38" s="197"/>
      <c r="I38" s="197"/>
      <c r="J38" s="197"/>
      <c r="K38" s="197"/>
      <c r="L38" s="197"/>
      <c r="M38" s="197"/>
      <c r="N38" s="197"/>
      <c r="O38" s="197"/>
      <c r="P38" s="197"/>
      <c r="Q38" s="197"/>
      <c r="R38" s="197"/>
      <c r="S38" s="197"/>
      <c r="T38" s="197"/>
      <c r="U38" s="295"/>
      <c r="AK38" s="289"/>
      <c r="AL38" s="289"/>
      <c r="AM38" s="289"/>
      <c r="AN38" s="289"/>
    </row>
    <row r="39" spans="1:40" s="290" customFormat="1" ht="16.5" x14ac:dyDescent="0.25">
      <c r="A39" s="197"/>
      <c r="B39" s="197"/>
      <c r="C39" s="197"/>
      <c r="D39" s="197"/>
      <c r="E39" s="197"/>
      <c r="F39" s="197"/>
      <c r="G39" s="197"/>
      <c r="H39" s="197"/>
      <c r="I39" s="197"/>
      <c r="J39" s="197"/>
      <c r="K39" s="197"/>
      <c r="L39" s="197"/>
      <c r="M39" s="197"/>
      <c r="N39" s="197"/>
      <c r="O39" s="197"/>
      <c r="P39" s="197"/>
      <c r="Q39" s="197"/>
      <c r="R39" s="197"/>
      <c r="S39" s="197"/>
      <c r="T39" s="197"/>
      <c r="U39" s="295"/>
      <c r="AK39" s="289"/>
      <c r="AL39" s="289"/>
      <c r="AM39" s="289"/>
      <c r="AN39" s="289"/>
    </row>
    <row r="40" spans="1:40" s="290" customFormat="1" ht="16.5" x14ac:dyDescent="0.25">
      <c r="A40" s="197"/>
      <c r="B40" s="197"/>
      <c r="C40" s="197"/>
      <c r="D40" s="197"/>
      <c r="E40" s="197"/>
      <c r="F40" s="197"/>
      <c r="G40" s="197"/>
      <c r="H40" s="197"/>
      <c r="I40" s="197"/>
      <c r="J40" s="197"/>
      <c r="K40" s="197"/>
      <c r="L40" s="197"/>
      <c r="M40" s="197"/>
      <c r="N40" s="197"/>
      <c r="O40" s="197"/>
      <c r="P40" s="197"/>
      <c r="Q40" s="197"/>
      <c r="R40" s="197"/>
      <c r="S40" s="197"/>
      <c r="T40" s="197"/>
      <c r="U40" s="295"/>
      <c r="AK40" s="289"/>
      <c r="AL40" s="289"/>
      <c r="AM40" s="289"/>
      <c r="AN40" s="289"/>
    </row>
    <row r="41" spans="1:40" s="290" customFormat="1" ht="16.5" x14ac:dyDescent="0.25">
      <c r="A41" s="197"/>
      <c r="B41" s="197"/>
      <c r="C41" s="197"/>
      <c r="D41" s="197"/>
      <c r="E41" s="197"/>
      <c r="F41" s="197"/>
      <c r="G41" s="197"/>
      <c r="H41" s="197"/>
      <c r="I41" s="197"/>
      <c r="J41" s="197"/>
      <c r="K41" s="197"/>
      <c r="L41" s="197"/>
      <c r="M41" s="197"/>
      <c r="N41" s="197"/>
      <c r="O41" s="197"/>
      <c r="P41" s="197"/>
      <c r="Q41" s="197"/>
      <c r="R41" s="197"/>
      <c r="S41" s="197"/>
      <c r="T41" s="197"/>
      <c r="U41" s="295"/>
      <c r="AK41" s="289"/>
      <c r="AL41" s="289"/>
      <c r="AM41" s="289"/>
      <c r="AN41" s="289"/>
    </row>
    <row r="42" spans="1:40" s="290" customFormat="1" x14ac:dyDescent="0.25">
      <c r="A42" s="289"/>
      <c r="B42" s="289"/>
      <c r="C42" s="289"/>
      <c r="D42" s="289"/>
      <c r="E42" s="289"/>
      <c r="F42" s="289"/>
      <c r="G42" s="289"/>
      <c r="H42" s="289"/>
      <c r="I42" s="289"/>
      <c r="J42" s="289"/>
      <c r="K42" s="289"/>
      <c r="L42" s="289"/>
      <c r="M42" s="289"/>
      <c r="N42" s="289"/>
      <c r="O42" s="289"/>
      <c r="P42" s="289"/>
      <c r="Q42" s="289"/>
      <c r="R42" s="289"/>
      <c r="S42" s="289"/>
      <c r="T42" s="289"/>
      <c r="AK42" s="289"/>
      <c r="AL42" s="289"/>
      <c r="AM42" s="289"/>
      <c r="AN42" s="289"/>
    </row>
    <row r="43" spans="1:40" s="290" customFormat="1" x14ac:dyDescent="0.25">
      <c r="A43" s="289"/>
      <c r="B43" s="289"/>
      <c r="C43" s="289"/>
      <c r="D43" s="289"/>
      <c r="E43" s="289"/>
      <c r="F43" s="289"/>
      <c r="G43" s="289"/>
      <c r="H43" s="289"/>
      <c r="I43" s="289"/>
      <c r="J43" s="289"/>
      <c r="K43" s="289"/>
      <c r="L43" s="289"/>
      <c r="M43" s="289"/>
      <c r="AK43" s="289"/>
      <c r="AL43" s="289"/>
      <c r="AM43" s="289"/>
      <c r="AN43" s="289"/>
    </row>
  </sheetData>
  <mergeCells count="6">
    <mergeCell ref="Q17:S17"/>
    <mergeCell ref="A1:A4"/>
    <mergeCell ref="B1:N4"/>
    <mergeCell ref="O2:P2"/>
    <mergeCell ref="O3:P3"/>
    <mergeCell ref="O4:P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Z21"/>
  <sheetViews>
    <sheetView zoomScale="90" zoomScaleNormal="90" workbookViewId="0">
      <selection activeCell="H14" sqref="H14"/>
    </sheetView>
  </sheetViews>
  <sheetFormatPr baseColWidth="10" defaultRowHeight="16.5" x14ac:dyDescent="0.3"/>
  <cols>
    <col min="1" max="1" width="12.28515625" style="2" customWidth="1"/>
    <col min="2" max="2" width="12.42578125" style="2" bestFit="1" customWidth="1"/>
    <col min="3" max="3" width="13.28515625" style="2" bestFit="1" customWidth="1"/>
    <col min="4" max="4" width="14" style="2" bestFit="1" customWidth="1"/>
    <col min="5" max="5" width="10.5703125" style="2" bestFit="1" customWidth="1"/>
    <col min="6" max="6" width="15.28515625" style="2" customWidth="1"/>
    <col min="7" max="7" width="10" style="2" bestFit="1" customWidth="1"/>
    <col min="8" max="8" width="20" style="3" bestFit="1" customWidth="1"/>
    <col min="9" max="10" width="10.7109375" style="2" bestFit="1" customWidth="1"/>
    <col min="11" max="11" width="13.5703125" style="2" customWidth="1"/>
    <col min="12" max="12" width="12.42578125" style="2" bestFit="1" customWidth="1"/>
    <col min="13" max="13" width="11.42578125" style="2" customWidth="1"/>
    <col min="14" max="14" width="11.42578125" style="2" bestFit="1" customWidth="1"/>
    <col min="15" max="15" width="12.42578125" style="2" bestFit="1" customWidth="1"/>
    <col min="16" max="16" width="10.42578125" style="2" customWidth="1"/>
    <col min="17" max="17" width="11.85546875" style="2" customWidth="1"/>
    <col min="18" max="16384" width="11.42578125" style="2"/>
  </cols>
  <sheetData>
    <row r="1" spans="1:26" ht="16.5" customHeight="1" x14ac:dyDescent="0.3">
      <c r="A1" s="846"/>
      <c r="B1" s="846"/>
      <c r="C1" s="847" t="s">
        <v>260</v>
      </c>
      <c r="D1" s="848"/>
      <c r="E1" s="848"/>
      <c r="F1" s="848"/>
      <c r="G1" s="848"/>
      <c r="H1" s="848"/>
      <c r="I1" s="848"/>
      <c r="J1" s="848"/>
      <c r="K1" s="848"/>
      <c r="L1" s="848"/>
      <c r="M1" s="848"/>
      <c r="N1" s="848"/>
      <c r="O1" s="848"/>
      <c r="P1" s="849"/>
      <c r="Q1" s="459" t="s">
        <v>550</v>
      </c>
      <c r="R1" s="353"/>
    </row>
    <row r="2" spans="1:26" ht="16.5" customHeight="1" x14ac:dyDescent="0.3">
      <c r="A2" s="846"/>
      <c r="B2" s="846"/>
      <c r="C2" s="850"/>
      <c r="D2" s="851"/>
      <c r="E2" s="851"/>
      <c r="F2" s="851"/>
      <c r="G2" s="851"/>
      <c r="H2" s="851"/>
      <c r="I2" s="851"/>
      <c r="J2" s="851"/>
      <c r="K2" s="851"/>
      <c r="L2" s="851"/>
      <c r="M2" s="851"/>
      <c r="N2" s="851"/>
      <c r="O2" s="851"/>
      <c r="P2" s="852"/>
      <c r="Q2" s="819" t="s">
        <v>533</v>
      </c>
      <c r="R2" s="820"/>
    </row>
    <row r="3" spans="1:26" ht="16.5" customHeight="1" x14ac:dyDescent="0.3">
      <c r="A3" s="846"/>
      <c r="B3" s="846"/>
      <c r="C3" s="850"/>
      <c r="D3" s="851"/>
      <c r="E3" s="851"/>
      <c r="F3" s="851"/>
      <c r="G3" s="851"/>
      <c r="H3" s="851"/>
      <c r="I3" s="851"/>
      <c r="J3" s="851"/>
      <c r="K3" s="851"/>
      <c r="L3" s="851"/>
      <c r="M3" s="851"/>
      <c r="N3" s="851"/>
      <c r="O3" s="851"/>
      <c r="P3" s="852"/>
      <c r="Q3" s="819" t="s">
        <v>534</v>
      </c>
      <c r="R3" s="820"/>
    </row>
    <row r="4" spans="1:26" ht="17.25" customHeight="1" thickBot="1" x14ac:dyDescent="0.35">
      <c r="A4" s="846"/>
      <c r="B4" s="846"/>
      <c r="C4" s="853"/>
      <c r="D4" s="854"/>
      <c r="E4" s="854"/>
      <c r="F4" s="854"/>
      <c r="G4" s="854"/>
      <c r="H4" s="854"/>
      <c r="I4" s="854"/>
      <c r="J4" s="854"/>
      <c r="K4" s="854"/>
      <c r="L4" s="854"/>
      <c r="M4" s="854"/>
      <c r="N4" s="854"/>
      <c r="O4" s="854"/>
      <c r="P4" s="855"/>
      <c r="Q4" s="856" t="s">
        <v>536</v>
      </c>
      <c r="R4" s="857"/>
    </row>
    <row r="5" spans="1:26" s="217" customFormat="1" ht="13.5" thickBot="1" x14ac:dyDescent="0.25"/>
    <row r="6" spans="1:26" ht="50.25" thickBot="1" x14ac:dyDescent="0.35">
      <c r="A6" s="230" t="s">
        <v>76</v>
      </c>
      <c r="B6" s="231" t="s">
        <v>394</v>
      </c>
      <c r="C6" s="223" t="s">
        <v>384</v>
      </c>
      <c r="D6" s="223" t="s">
        <v>397</v>
      </c>
      <c r="E6" s="223" t="s">
        <v>398</v>
      </c>
      <c r="F6" s="224" t="s">
        <v>65</v>
      </c>
      <c r="G6" s="232" t="s">
        <v>395</v>
      </c>
      <c r="H6" s="231" t="s">
        <v>396</v>
      </c>
      <c r="I6" s="223" t="s">
        <v>390</v>
      </c>
      <c r="J6" s="223" t="s">
        <v>389</v>
      </c>
      <c r="K6" s="223" t="s">
        <v>388</v>
      </c>
      <c r="L6" s="223" t="s">
        <v>391</v>
      </c>
      <c r="M6" s="223" t="s">
        <v>392</v>
      </c>
      <c r="N6" s="223" t="s">
        <v>393</v>
      </c>
      <c r="O6" s="232" t="s">
        <v>385</v>
      </c>
      <c r="P6" s="233" t="s">
        <v>386</v>
      </c>
      <c r="Q6" s="234" t="s">
        <v>387</v>
      </c>
    </row>
    <row r="7" spans="1:26" x14ac:dyDescent="0.3">
      <c r="A7" s="625">
        <v>43952</v>
      </c>
      <c r="B7" s="618">
        <v>75966</v>
      </c>
      <c r="C7" s="616">
        <v>70630</v>
      </c>
      <c r="D7" s="617">
        <v>4523</v>
      </c>
      <c r="E7" s="616">
        <v>813</v>
      </c>
      <c r="F7" s="627">
        <f t="shared" ref="F7:F14" si="0">IF(B7="","",C7/B7*100)</f>
        <v>92.975804965379254</v>
      </c>
      <c r="G7" s="628">
        <f t="shared" ref="G7:G14" si="1">IF(B7="","",E7/B7)</f>
        <v>1.0702156227786115E-2</v>
      </c>
      <c r="H7" s="622">
        <v>5946234</v>
      </c>
      <c r="I7" s="621">
        <v>0</v>
      </c>
      <c r="J7" s="621">
        <v>0</v>
      </c>
      <c r="K7" s="623">
        <v>0</v>
      </c>
      <c r="L7" s="623">
        <v>0</v>
      </c>
      <c r="M7" s="623">
        <v>0</v>
      </c>
      <c r="N7" s="623">
        <v>0</v>
      </c>
      <c r="O7" s="624">
        <f t="shared" ref="O7:O11" si="2">SUM(H7:N7)</f>
        <v>5946234</v>
      </c>
      <c r="P7" s="619" t="s">
        <v>63</v>
      </c>
      <c r="Q7" s="620" t="s">
        <v>63</v>
      </c>
      <c r="R7" s="225"/>
      <c r="S7" s="219"/>
      <c r="T7" s="220"/>
      <c r="U7" s="219"/>
      <c r="V7" s="221"/>
      <c r="W7" s="4"/>
      <c r="X7" s="222"/>
      <c r="Y7" s="222"/>
      <c r="Z7" s="197"/>
    </row>
    <row r="8" spans="1:26" x14ac:dyDescent="0.3">
      <c r="A8" s="625">
        <v>43983</v>
      </c>
      <c r="B8" s="618">
        <v>4071991</v>
      </c>
      <c r="C8" s="616">
        <v>3798928</v>
      </c>
      <c r="D8" s="617">
        <v>251459</v>
      </c>
      <c r="E8" s="616">
        <v>21604</v>
      </c>
      <c r="F8" s="627">
        <f t="shared" si="0"/>
        <v>93.294115826876819</v>
      </c>
      <c r="G8" s="628">
        <f t="shared" si="1"/>
        <v>5.3055127086479321E-3</v>
      </c>
      <c r="H8" s="622">
        <v>570040</v>
      </c>
      <c r="I8" s="621">
        <v>0</v>
      </c>
      <c r="J8" s="621">
        <v>0</v>
      </c>
      <c r="K8" s="623">
        <v>0</v>
      </c>
      <c r="L8" s="623">
        <v>0</v>
      </c>
      <c r="M8" s="623">
        <v>0</v>
      </c>
      <c r="N8" s="623">
        <v>0</v>
      </c>
      <c r="O8" s="624">
        <f t="shared" si="2"/>
        <v>570040</v>
      </c>
      <c r="P8" s="619" t="s">
        <v>63</v>
      </c>
      <c r="Q8" s="620" t="s">
        <v>63</v>
      </c>
      <c r="R8" s="225"/>
      <c r="S8" s="219"/>
      <c r="T8" s="220"/>
      <c r="U8" s="219"/>
      <c r="V8" s="221"/>
      <c r="W8" s="4"/>
      <c r="X8" s="222"/>
      <c r="Y8" s="222"/>
      <c r="Z8" s="197"/>
    </row>
    <row r="9" spans="1:26" x14ac:dyDescent="0.3">
      <c r="A9" s="625">
        <v>44013</v>
      </c>
      <c r="B9" s="618">
        <v>2435102</v>
      </c>
      <c r="C9" s="616">
        <v>2226317</v>
      </c>
      <c r="D9" s="617">
        <v>195636</v>
      </c>
      <c r="E9" s="616">
        <v>13149</v>
      </c>
      <c r="F9" s="627">
        <f t="shared" si="0"/>
        <v>91.426026507308521</v>
      </c>
      <c r="G9" s="628">
        <f t="shared" si="1"/>
        <v>5.3997738082429405E-3</v>
      </c>
      <c r="H9" s="622">
        <v>5152405</v>
      </c>
      <c r="I9" s="621">
        <v>0</v>
      </c>
      <c r="J9" s="621">
        <v>0</v>
      </c>
      <c r="K9" s="623">
        <v>0</v>
      </c>
      <c r="L9" s="623">
        <v>0</v>
      </c>
      <c r="M9" s="623">
        <v>0</v>
      </c>
      <c r="N9" s="623">
        <v>0</v>
      </c>
      <c r="O9" s="624">
        <f t="shared" si="2"/>
        <v>5152405</v>
      </c>
      <c r="P9" s="619" t="s">
        <v>63</v>
      </c>
      <c r="Q9" s="620" t="s">
        <v>63</v>
      </c>
      <c r="R9" s="225"/>
      <c r="S9" s="219"/>
      <c r="T9" s="220"/>
      <c r="U9" s="219"/>
      <c r="V9" s="221"/>
      <c r="W9" s="4"/>
      <c r="X9" s="222"/>
      <c r="Y9" s="222"/>
      <c r="Z9" s="197"/>
    </row>
    <row r="10" spans="1:26" x14ac:dyDescent="0.3">
      <c r="A10" s="625">
        <v>44044</v>
      </c>
      <c r="B10" s="618">
        <v>3705048</v>
      </c>
      <c r="C10" s="616">
        <v>3470022</v>
      </c>
      <c r="D10" s="617">
        <v>209064</v>
      </c>
      <c r="E10" s="616">
        <v>19307</v>
      </c>
      <c r="F10" s="627">
        <f t="shared" si="0"/>
        <v>93.656600400318695</v>
      </c>
      <c r="G10" s="628">
        <f t="shared" si="1"/>
        <v>5.2109986159423576E-3</v>
      </c>
      <c r="H10" s="622">
        <v>3202491</v>
      </c>
      <c r="I10" s="621">
        <v>0</v>
      </c>
      <c r="J10" s="621">
        <v>0</v>
      </c>
      <c r="K10" s="623">
        <v>0</v>
      </c>
      <c r="L10" s="623">
        <v>0</v>
      </c>
      <c r="M10" s="623">
        <v>0</v>
      </c>
      <c r="N10" s="623">
        <v>0</v>
      </c>
      <c r="O10" s="624">
        <f t="shared" si="2"/>
        <v>3202491</v>
      </c>
      <c r="P10" s="619" t="s">
        <v>63</v>
      </c>
      <c r="Q10" s="620" t="s">
        <v>63</v>
      </c>
      <c r="R10" s="225"/>
      <c r="S10" s="219"/>
      <c r="T10" s="220"/>
      <c r="U10" s="219"/>
      <c r="V10" s="221"/>
      <c r="W10" s="4"/>
      <c r="X10" s="222"/>
      <c r="Y10" s="222"/>
      <c r="Z10" s="197"/>
    </row>
    <row r="11" spans="1:26" x14ac:dyDescent="0.3">
      <c r="A11" s="625">
        <v>44075</v>
      </c>
      <c r="B11" s="618">
        <f>4520740+30974</f>
        <v>4551714</v>
      </c>
      <c r="C11" s="616">
        <f>4297533+20135</f>
        <v>4317668</v>
      </c>
      <c r="D11" s="617">
        <f>3857+199530</f>
        <v>203387</v>
      </c>
      <c r="E11" s="616">
        <f>23677+6982</f>
        <v>30659</v>
      </c>
      <c r="F11" s="627">
        <f t="shared" si="0"/>
        <v>94.858068850547284</v>
      </c>
      <c r="G11" s="628">
        <f t="shared" si="1"/>
        <v>6.735704396190095E-3</v>
      </c>
      <c r="H11" s="622">
        <v>1892329</v>
      </c>
      <c r="I11" s="621">
        <v>0</v>
      </c>
      <c r="J11" s="621">
        <v>0</v>
      </c>
      <c r="K11" s="623">
        <v>0</v>
      </c>
      <c r="L11" s="623">
        <v>0</v>
      </c>
      <c r="M11" s="623">
        <v>0</v>
      </c>
      <c r="N11" s="623">
        <v>0</v>
      </c>
      <c r="O11" s="624">
        <f t="shared" si="2"/>
        <v>1892329</v>
      </c>
      <c r="P11" s="619" t="s">
        <v>63</v>
      </c>
      <c r="Q11" s="620" t="s">
        <v>63</v>
      </c>
      <c r="R11" s="225"/>
      <c r="S11" s="219"/>
      <c r="T11" s="220"/>
      <c r="U11" s="219"/>
      <c r="V11" s="221"/>
      <c r="W11" s="4"/>
      <c r="X11" s="222"/>
      <c r="Y11" s="222"/>
      <c r="Z11" s="197"/>
    </row>
    <row r="12" spans="1:26" x14ac:dyDescent="0.3">
      <c r="A12" s="625">
        <v>44105</v>
      </c>
      <c r="B12" s="618">
        <f>40121+1739209</f>
        <v>1779330</v>
      </c>
      <c r="C12" s="616">
        <f>1667850+26081</f>
        <v>1693931</v>
      </c>
      <c r="D12" s="617">
        <f>4997+62532</f>
        <v>67529</v>
      </c>
      <c r="E12" s="616">
        <f>9043+8827</f>
        <v>17870</v>
      </c>
      <c r="F12" s="627">
        <f t="shared" si="0"/>
        <v>95.200496816217338</v>
      </c>
      <c r="G12" s="628">
        <f t="shared" si="1"/>
        <v>1.0043106112975108E-2</v>
      </c>
      <c r="H12" s="622">
        <f>462621+6188227</f>
        <v>6650848</v>
      </c>
      <c r="I12" s="621">
        <v>0</v>
      </c>
      <c r="J12" s="621">
        <v>0</v>
      </c>
      <c r="K12" s="623">
        <v>0</v>
      </c>
      <c r="L12" s="623">
        <v>0</v>
      </c>
      <c r="M12" s="623">
        <v>0</v>
      </c>
      <c r="N12" s="623">
        <v>0</v>
      </c>
      <c r="O12" s="624">
        <f t="shared" ref="O12:O17" si="3">SUM(H12:N12)</f>
        <v>6650848</v>
      </c>
      <c r="P12" s="619" t="s">
        <v>63</v>
      </c>
      <c r="Q12" s="620" t="s">
        <v>63</v>
      </c>
      <c r="R12" s="225"/>
      <c r="S12" s="219"/>
      <c r="T12" s="220"/>
      <c r="U12" s="219"/>
      <c r="V12" s="221"/>
      <c r="W12" s="4"/>
      <c r="X12" s="222"/>
      <c r="Y12" s="222"/>
      <c r="Z12" s="197"/>
    </row>
    <row r="13" spans="1:26" x14ac:dyDescent="0.3">
      <c r="A13" s="625">
        <v>44136</v>
      </c>
      <c r="B13" s="618">
        <f>2061696+856463</f>
        <v>2918159</v>
      </c>
      <c r="C13" s="616">
        <f>1969821+752625</f>
        <v>2722446</v>
      </c>
      <c r="D13" s="617">
        <f>81182+48459</f>
        <v>129641</v>
      </c>
      <c r="E13" s="616">
        <f>10693+55379</f>
        <v>66072</v>
      </c>
      <c r="F13" s="627">
        <f t="shared" si="0"/>
        <v>93.293271545518934</v>
      </c>
      <c r="G13" s="628">
        <f t="shared" si="1"/>
        <v>2.2641672369463076E-2</v>
      </c>
      <c r="H13" s="622">
        <v>5664885</v>
      </c>
      <c r="I13" s="621">
        <v>0</v>
      </c>
      <c r="J13" s="621">
        <v>0</v>
      </c>
      <c r="K13" s="623">
        <v>0</v>
      </c>
      <c r="L13" s="623">
        <v>0</v>
      </c>
      <c r="M13" s="623">
        <v>0</v>
      </c>
      <c r="N13" s="623">
        <v>0</v>
      </c>
      <c r="O13" s="624">
        <f t="shared" si="3"/>
        <v>5664885</v>
      </c>
      <c r="P13" s="619" t="s">
        <v>63</v>
      </c>
      <c r="Q13" s="620" t="s">
        <v>63</v>
      </c>
      <c r="R13" s="225"/>
      <c r="S13" s="219"/>
      <c r="T13" s="220"/>
      <c r="U13" s="219"/>
      <c r="V13" s="221"/>
      <c r="W13" s="4"/>
      <c r="X13" s="222"/>
      <c r="Y13" s="222"/>
      <c r="Z13" s="197"/>
    </row>
    <row r="14" spans="1:26" x14ac:dyDescent="0.3">
      <c r="A14" s="625">
        <v>44166</v>
      </c>
      <c r="B14" s="618">
        <v>2153594</v>
      </c>
      <c r="C14" s="616">
        <v>1994111</v>
      </c>
      <c r="D14" s="617">
        <v>147977</v>
      </c>
      <c r="E14" s="616">
        <v>11506</v>
      </c>
      <c r="F14" s="627">
        <f t="shared" si="0"/>
        <v>92.594565178023345</v>
      </c>
      <c r="G14" s="628">
        <f t="shared" si="1"/>
        <v>5.3426969057306069E-3</v>
      </c>
      <c r="H14" s="622">
        <f>397454+3933313</f>
        <v>4330767</v>
      </c>
      <c r="I14" s="621">
        <v>0</v>
      </c>
      <c r="J14" s="621">
        <v>0</v>
      </c>
      <c r="K14" s="623">
        <v>0</v>
      </c>
      <c r="L14" s="623">
        <v>0</v>
      </c>
      <c r="M14" s="623">
        <v>0</v>
      </c>
      <c r="N14" s="623">
        <v>0</v>
      </c>
      <c r="O14" s="624">
        <f t="shared" si="3"/>
        <v>4330767</v>
      </c>
      <c r="P14" s="619" t="s">
        <v>63</v>
      </c>
      <c r="Q14" s="620" t="s">
        <v>63</v>
      </c>
      <c r="R14" s="225"/>
      <c r="S14" s="219"/>
      <c r="T14" s="220"/>
      <c r="U14" s="219"/>
      <c r="V14" s="221"/>
      <c r="W14" s="4"/>
      <c r="X14" s="222"/>
      <c r="Y14" s="222"/>
      <c r="Z14" s="197"/>
    </row>
    <row r="15" spans="1:26" x14ac:dyDescent="0.3">
      <c r="A15" s="625">
        <v>44197</v>
      </c>
      <c r="B15" s="618">
        <f>2671066+1761304</f>
        <v>4432370</v>
      </c>
      <c r="C15" s="616">
        <f>2529506+1667579</f>
        <v>4197085</v>
      </c>
      <c r="D15" s="617">
        <f>128489+83558</f>
        <v>212047</v>
      </c>
      <c r="E15" s="616">
        <f>10167+13071</f>
        <v>23238</v>
      </c>
      <c r="F15" s="627">
        <f>IF(B15="","",C15/B15*100)</f>
        <v>94.691666083833255</v>
      </c>
      <c r="G15" s="628">
        <f>IF(B15="","",E15/B15)</f>
        <v>5.242793358857677E-3</v>
      </c>
      <c r="H15" s="622">
        <v>3334794</v>
      </c>
      <c r="I15" s="621">
        <v>0</v>
      </c>
      <c r="J15" s="621">
        <v>0</v>
      </c>
      <c r="K15" s="623">
        <v>0</v>
      </c>
      <c r="L15" s="623">
        <v>0</v>
      </c>
      <c r="M15" s="623">
        <v>0</v>
      </c>
      <c r="N15" s="623">
        <v>0</v>
      </c>
      <c r="O15" s="624">
        <f t="shared" si="3"/>
        <v>3334794</v>
      </c>
      <c r="P15" s="619" t="s">
        <v>63</v>
      </c>
      <c r="Q15" s="620" t="s">
        <v>63</v>
      </c>
      <c r="R15" s="225"/>
      <c r="S15" s="219"/>
      <c r="T15" s="220"/>
      <c r="U15" s="219"/>
      <c r="V15" s="221"/>
      <c r="W15" s="4"/>
      <c r="X15" s="222"/>
      <c r="Y15" s="222"/>
      <c r="Z15" s="197"/>
    </row>
    <row r="16" spans="1:26" x14ac:dyDescent="0.3">
      <c r="A16" s="625">
        <v>44228</v>
      </c>
      <c r="B16" s="618">
        <f>5994905+599866</f>
        <v>6594771</v>
      </c>
      <c r="C16" s="616">
        <f>5697325+571600</f>
        <v>6268925</v>
      </c>
      <c r="D16" s="617">
        <f>268598+25267</f>
        <v>293865</v>
      </c>
      <c r="E16" s="616">
        <f>28982+2999</f>
        <v>31981</v>
      </c>
      <c r="F16" s="627">
        <f>IF(B16="","",C16/B16*100)</f>
        <v>95.059024794037583</v>
      </c>
      <c r="G16" s="628">
        <f>IF(B16="","",E16/B16)</f>
        <v>4.8494481461145503E-3</v>
      </c>
      <c r="H16" s="622">
        <v>1143797</v>
      </c>
      <c r="I16" s="621">
        <v>0</v>
      </c>
      <c r="J16" s="621">
        <v>0</v>
      </c>
      <c r="K16" s="623">
        <v>0</v>
      </c>
      <c r="L16" s="623">
        <v>0</v>
      </c>
      <c r="M16" s="623">
        <v>0</v>
      </c>
      <c r="N16" s="623">
        <v>0</v>
      </c>
      <c r="O16" s="624">
        <f t="shared" si="3"/>
        <v>1143797</v>
      </c>
      <c r="P16" s="619" t="s">
        <v>63</v>
      </c>
      <c r="Q16" s="620" t="s">
        <v>63</v>
      </c>
      <c r="R16" s="225"/>
      <c r="S16" s="219"/>
      <c r="T16" s="220"/>
      <c r="U16" s="219"/>
      <c r="V16" s="221"/>
      <c r="W16" s="4"/>
      <c r="X16" s="222"/>
      <c r="Y16" s="222"/>
      <c r="Z16" s="197"/>
    </row>
    <row r="17" spans="1:26" x14ac:dyDescent="0.3">
      <c r="A17" s="625">
        <v>44256</v>
      </c>
      <c r="B17" s="618">
        <v>5529220</v>
      </c>
      <c r="C17" s="616">
        <v>5241503</v>
      </c>
      <c r="D17" s="617">
        <v>261445</v>
      </c>
      <c r="E17" s="616">
        <v>26272</v>
      </c>
      <c r="F17" s="627">
        <f>IF(B17="","",C17/B17*100)</f>
        <v>94.796426982467679</v>
      </c>
      <c r="G17" s="628">
        <f>IF(B17="","",E17/B17)</f>
        <v>4.7514839344428329E-3</v>
      </c>
      <c r="H17" s="622">
        <v>1586225</v>
      </c>
      <c r="I17" s="621">
        <v>0</v>
      </c>
      <c r="J17" s="621">
        <v>0</v>
      </c>
      <c r="K17" s="623">
        <v>0</v>
      </c>
      <c r="L17" s="623">
        <v>0</v>
      </c>
      <c r="M17" s="623">
        <v>0</v>
      </c>
      <c r="N17" s="623">
        <v>0</v>
      </c>
      <c r="O17" s="624">
        <f t="shared" si="3"/>
        <v>1586225</v>
      </c>
      <c r="P17" s="619" t="s">
        <v>63</v>
      </c>
      <c r="Q17" s="620" t="s">
        <v>63</v>
      </c>
      <c r="R17" s="225"/>
      <c r="S17" s="219"/>
      <c r="T17" s="220"/>
      <c r="U17" s="219"/>
      <c r="V17" s="221"/>
      <c r="W17" s="4"/>
      <c r="X17" s="222"/>
      <c r="Y17" s="222"/>
      <c r="Z17" s="197"/>
    </row>
    <row r="18" spans="1:26" ht="17.25" thickBot="1" x14ac:dyDescent="0.35">
      <c r="A18" s="248">
        <v>44287</v>
      </c>
      <c r="B18" s="227">
        <v>2759938</v>
      </c>
      <c r="C18" s="218">
        <v>2595980</v>
      </c>
      <c r="D18" s="226">
        <v>149704</v>
      </c>
      <c r="E18" s="218">
        <v>14254</v>
      </c>
      <c r="F18" s="627">
        <f>IF(B18="","",C18/B18*100)</f>
        <v>94.059359304448137</v>
      </c>
      <c r="G18" s="628">
        <f>IF(B18="","",E18/B18)</f>
        <v>5.1646087701970114E-3</v>
      </c>
      <c r="H18" s="236">
        <v>4252574</v>
      </c>
      <c r="I18" s="235">
        <v>0</v>
      </c>
      <c r="J18" s="235">
        <v>0</v>
      </c>
      <c r="K18" s="237">
        <v>0</v>
      </c>
      <c r="L18" s="237">
        <v>0</v>
      </c>
      <c r="M18" s="237">
        <v>0</v>
      </c>
      <c r="N18" s="237">
        <v>0</v>
      </c>
      <c r="O18" s="238">
        <f t="shared" ref="O18" si="4">SUM(H18:N18)</f>
        <v>4252574</v>
      </c>
      <c r="P18" s="228" t="s">
        <v>63</v>
      </c>
      <c r="Q18" s="229" t="s">
        <v>63</v>
      </c>
      <c r="R18" s="225"/>
      <c r="S18" s="219"/>
      <c r="T18" s="220"/>
      <c r="U18" s="219"/>
      <c r="V18" s="221"/>
      <c r="W18" s="4"/>
      <c r="X18" s="222"/>
      <c r="Y18" s="222"/>
      <c r="Z18" s="197"/>
    </row>
    <row r="19" spans="1:26" ht="16.5" customHeight="1" thickBot="1" x14ac:dyDescent="0.35">
      <c r="A19" s="239" t="s">
        <v>310</v>
      </c>
      <c r="B19" s="240">
        <f>SUM(B7:B18)</f>
        <v>41007203</v>
      </c>
      <c r="C19" s="241">
        <f>SUM(C7:C18)</f>
        <v>38597546</v>
      </c>
      <c r="D19" s="241">
        <f>SUM(D7:D18)</f>
        <v>2126277</v>
      </c>
      <c r="E19" s="241">
        <f>SUM(E7:E18)</f>
        <v>276725</v>
      </c>
      <c r="F19" s="242">
        <f>C19/B19*100</f>
        <v>94.123820149352781</v>
      </c>
      <c r="G19" s="243">
        <f>AVERAGE(G7:G18)</f>
        <v>7.6158296128825244E-3</v>
      </c>
      <c r="H19" s="244">
        <f t="shared" ref="H19:N19" si="5">SUM(H7:H18)</f>
        <v>43727389</v>
      </c>
      <c r="I19" s="245">
        <f t="shared" si="5"/>
        <v>0</v>
      </c>
      <c r="J19" s="245">
        <f t="shared" si="5"/>
        <v>0</v>
      </c>
      <c r="K19" s="245">
        <f t="shared" si="5"/>
        <v>0</v>
      </c>
      <c r="L19" s="245">
        <f t="shared" si="5"/>
        <v>0</v>
      </c>
      <c r="M19" s="245">
        <f t="shared" si="5"/>
        <v>0</v>
      </c>
      <c r="N19" s="245">
        <f t="shared" si="5"/>
        <v>0</v>
      </c>
      <c r="O19" s="246">
        <f>SUM(O7:O18)</f>
        <v>43727389</v>
      </c>
      <c r="P19" s="247">
        <f>SUM(P7:P18)</f>
        <v>0</v>
      </c>
      <c r="Q19" s="246">
        <f>SUM(Q7:Q18)</f>
        <v>0</v>
      </c>
    </row>
    <row r="20" spans="1:26" x14ac:dyDescent="0.3">
      <c r="B20" s="197"/>
      <c r="C20" s="197"/>
      <c r="D20" s="812"/>
      <c r="E20" s="197"/>
      <c r="F20" s="812"/>
      <c r="G20" s="197"/>
      <c r="H20" s="198"/>
      <c r="J20" s="6"/>
      <c r="K20" s="6"/>
      <c r="N20" s="8"/>
    </row>
    <row r="21" spans="1:26" x14ac:dyDescent="0.3">
      <c r="B21" s="197"/>
      <c r="C21" s="197"/>
      <c r="D21" s="197"/>
      <c r="E21" s="197"/>
      <c r="F21" s="812"/>
      <c r="G21" s="197"/>
      <c r="H21" s="198"/>
      <c r="I21" s="6"/>
    </row>
  </sheetData>
  <mergeCells count="5">
    <mergeCell ref="A1:B4"/>
    <mergeCell ref="C1:P4"/>
    <mergeCell ref="Q2:R2"/>
    <mergeCell ref="Q3:R3"/>
    <mergeCell ref="Q4:R4"/>
  </mergeCells>
  <pageMargins left="0.70866141732283472" right="0.70866141732283472" top="0.74803149606299213" bottom="0.74803149606299213" header="0.31496062992125984" footer="0.31496062992125984"/>
  <pageSetup scale="70" orientation="landscape"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7"/>
  <dimension ref="A1:P21"/>
  <sheetViews>
    <sheetView topLeftCell="A4" zoomScale="90" zoomScaleNormal="90" workbookViewId="0">
      <selection activeCell="I20" sqref="I20"/>
    </sheetView>
  </sheetViews>
  <sheetFormatPr baseColWidth="10" defaultRowHeight="16.5" x14ac:dyDescent="0.3"/>
  <cols>
    <col min="1" max="1" width="21.140625" style="735" customWidth="1"/>
    <col min="2" max="6" width="16.28515625" style="735" customWidth="1"/>
    <col min="7" max="16384" width="11.42578125" style="735"/>
  </cols>
  <sheetData>
    <row r="1" spans="1:16" ht="16.5" customHeight="1" x14ac:dyDescent="0.3">
      <c r="A1" s="858"/>
      <c r="B1" s="859" t="s">
        <v>260</v>
      </c>
      <c r="C1" s="860"/>
      <c r="D1" s="860"/>
      <c r="E1" s="860"/>
      <c r="F1" s="861"/>
      <c r="G1" s="459" t="s">
        <v>550</v>
      </c>
      <c r="H1" s="353"/>
    </row>
    <row r="2" spans="1:16" ht="16.5" customHeight="1" x14ac:dyDescent="0.3">
      <c r="A2" s="858"/>
      <c r="B2" s="862"/>
      <c r="C2" s="863"/>
      <c r="D2" s="863"/>
      <c r="E2" s="863"/>
      <c r="F2" s="864"/>
      <c r="G2" s="819" t="s">
        <v>533</v>
      </c>
      <c r="H2" s="820"/>
    </row>
    <row r="3" spans="1:16" ht="16.5" customHeight="1" x14ac:dyDescent="0.3">
      <c r="A3" s="858"/>
      <c r="B3" s="862"/>
      <c r="C3" s="863"/>
      <c r="D3" s="863"/>
      <c r="E3" s="863"/>
      <c r="F3" s="864"/>
      <c r="G3" s="819" t="s">
        <v>534</v>
      </c>
      <c r="H3" s="820"/>
    </row>
    <row r="4" spans="1:16" ht="17.25" customHeight="1" thickBot="1" x14ac:dyDescent="0.35">
      <c r="A4" s="858"/>
      <c r="B4" s="865"/>
      <c r="C4" s="866"/>
      <c r="D4" s="866"/>
      <c r="E4" s="866"/>
      <c r="F4" s="867"/>
      <c r="G4" s="868" t="s">
        <v>537</v>
      </c>
      <c r="H4" s="869"/>
    </row>
    <row r="5" spans="1:16" ht="17.25" customHeight="1" thickBot="1" x14ac:dyDescent="0.35">
      <c r="G5" s="736"/>
      <c r="H5" s="736"/>
    </row>
    <row r="6" spans="1:16" ht="33.75" thickBot="1" x14ac:dyDescent="0.35">
      <c r="A6" s="737" t="s">
        <v>76</v>
      </c>
      <c r="B6" s="738" t="s">
        <v>331</v>
      </c>
      <c r="C6" s="738" t="s">
        <v>332</v>
      </c>
      <c r="D6" s="738" t="s">
        <v>383</v>
      </c>
      <c r="E6" s="739" t="s">
        <v>65</v>
      </c>
      <c r="F6" s="740" t="s">
        <v>330</v>
      </c>
    </row>
    <row r="7" spans="1:16" ht="16.5" customHeight="1" x14ac:dyDescent="0.3">
      <c r="A7" s="751">
        <v>43952</v>
      </c>
      <c r="B7" s="741">
        <v>143343</v>
      </c>
      <c r="C7" s="742">
        <v>86006</v>
      </c>
      <c r="D7" s="742">
        <v>57337</v>
      </c>
      <c r="E7" s="743">
        <f t="shared" ref="E7:E13" si="0">IF(B7="","",C7/B7*100)</f>
        <v>60.000139525473863</v>
      </c>
      <c r="F7" s="744">
        <f t="shared" ref="F7:F13" si="1">IF(B7="","",D7/B7*100)</f>
        <v>39.999860474526137</v>
      </c>
      <c r="I7" s="746"/>
      <c r="J7" s="747"/>
      <c r="K7" s="746"/>
      <c r="L7" s="748"/>
      <c r="M7" s="749"/>
      <c r="N7" s="750"/>
      <c r="O7" s="750"/>
      <c r="P7" s="736"/>
    </row>
    <row r="8" spans="1:16" ht="16.5" customHeight="1" x14ac:dyDescent="0.3">
      <c r="A8" s="751">
        <v>43983</v>
      </c>
      <c r="B8" s="741">
        <v>83383</v>
      </c>
      <c r="C8" s="742">
        <v>50030</v>
      </c>
      <c r="D8" s="742">
        <v>33353</v>
      </c>
      <c r="E8" s="756">
        <f t="shared" si="0"/>
        <v>60.000239857045202</v>
      </c>
      <c r="F8" s="757">
        <f t="shared" si="1"/>
        <v>39.999760142954798</v>
      </c>
      <c r="I8" s="746"/>
      <c r="J8" s="747"/>
      <c r="K8" s="746"/>
      <c r="L8" s="748"/>
      <c r="M8" s="749"/>
      <c r="N8" s="750"/>
      <c r="O8" s="753"/>
      <c r="P8" s="752"/>
    </row>
    <row r="9" spans="1:16" ht="16.5" customHeight="1" x14ac:dyDescent="0.3">
      <c r="A9" s="751">
        <v>44013</v>
      </c>
      <c r="B9" s="741">
        <v>572213</v>
      </c>
      <c r="C9" s="742">
        <v>343328</v>
      </c>
      <c r="D9" s="742">
        <v>228885</v>
      </c>
      <c r="E9" s="743">
        <f t="shared" si="0"/>
        <v>60.000034952019611</v>
      </c>
      <c r="F9" s="757">
        <f t="shared" si="1"/>
        <v>39.999965047980382</v>
      </c>
      <c r="I9" s="746"/>
      <c r="J9" s="747"/>
      <c r="K9" s="746"/>
      <c r="L9" s="748"/>
      <c r="M9" s="749"/>
      <c r="N9" s="750"/>
      <c r="O9" s="750"/>
      <c r="P9" s="736"/>
    </row>
    <row r="10" spans="1:16" ht="16.5" customHeight="1" x14ac:dyDescent="0.3">
      <c r="A10" s="751">
        <v>44044</v>
      </c>
      <c r="B10" s="741">
        <v>39945</v>
      </c>
      <c r="C10" s="742">
        <v>23967</v>
      </c>
      <c r="D10" s="742">
        <v>15978</v>
      </c>
      <c r="E10" s="743">
        <f t="shared" si="0"/>
        <v>60</v>
      </c>
      <c r="F10" s="757">
        <f t="shared" si="1"/>
        <v>40</v>
      </c>
      <c r="I10" s="746"/>
      <c r="J10" s="747"/>
      <c r="K10" s="746"/>
      <c r="L10" s="748"/>
      <c r="M10" s="749"/>
      <c r="N10" s="750"/>
      <c r="O10" s="750"/>
      <c r="P10" s="736"/>
    </row>
    <row r="11" spans="1:16" ht="16.5" customHeight="1" x14ac:dyDescent="0.3">
      <c r="A11" s="751">
        <v>44075</v>
      </c>
      <c r="B11" s="741">
        <v>100000</v>
      </c>
      <c r="C11" s="742">
        <v>60000</v>
      </c>
      <c r="D11" s="742">
        <v>40000</v>
      </c>
      <c r="E11" s="743">
        <f t="shared" si="0"/>
        <v>60</v>
      </c>
      <c r="F11" s="757">
        <f t="shared" si="1"/>
        <v>40</v>
      </c>
      <c r="I11" s="746"/>
      <c r="J11" s="747"/>
      <c r="K11" s="746"/>
      <c r="L11" s="748"/>
      <c r="M11" s="749"/>
      <c r="N11" s="750"/>
      <c r="O11" s="750"/>
      <c r="P11" s="736"/>
    </row>
    <row r="12" spans="1:16" ht="16.5" customHeight="1" x14ac:dyDescent="0.3">
      <c r="A12" s="751">
        <v>44105</v>
      </c>
      <c r="B12" s="741">
        <v>250000</v>
      </c>
      <c r="C12" s="742">
        <v>150000</v>
      </c>
      <c r="D12" s="742">
        <v>100000</v>
      </c>
      <c r="E12" s="743">
        <f t="shared" si="0"/>
        <v>60</v>
      </c>
      <c r="F12" s="757">
        <f t="shared" si="1"/>
        <v>40</v>
      </c>
      <c r="I12" s="746"/>
      <c r="J12" s="747"/>
      <c r="K12" s="746"/>
      <c r="L12" s="748"/>
      <c r="M12" s="749"/>
      <c r="N12" s="750"/>
      <c r="O12" s="750"/>
      <c r="P12" s="736"/>
    </row>
    <row r="13" spans="1:16" ht="16.5" customHeight="1" x14ac:dyDescent="0.3">
      <c r="A13" s="751">
        <v>44136</v>
      </c>
      <c r="B13" s="741">
        <v>308704</v>
      </c>
      <c r="C13" s="742">
        <v>185222</v>
      </c>
      <c r="D13" s="742">
        <v>123482</v>
      </c>
      <c r="E13" s="743">
        <f t="shared" si="0"/>
        <v>59.99987042603918</v>
      </c>
      <c r="F13" s="757">
        <f t="shared" si="1"/>
        <v>40.00012957396082</v>
      </c>
      <c r="I13" s="746"/>
      <c r="J13" s="747"/>
      <c r="K13" s="746"/>
      <c r="L13" s="748"/>
      <c r="M13" s="749"/>
      <c r="N13" s="750"/>
      <c r="O13" s="750"/>
      <c r="P13" s="736"/>
    </row>
    <row r="14" spans="1:16" ht="16.5" customHeight="1" x14ac:dyDescent="0.3">
      <c r="A14" s="802">
        <v>44166</v>
      </c>
      <c r="B14" s="741">
        <v>0</v>
      </c>
      <c r="C14" s="742">
        <v>0</v>
      </c>
      <c r="D14" s="742">
        <v>0</v>
      </c>
      <c r="E14" s="756">
        <v>0</v>
      </c>
      <c r="F14" s="757">
        <v>0</v>
      </c>
      <c r="I14" s="746"/>
      <c r="J14" s="747"/>
      <c r="K14" s="746"/>
      <c r="L14" s="748"/>
      <c r="M14" s="749"/>
      <c r="N14" s="750"/>
      <c r="O14" s="750"/>
      <c r="P14" s="736"/>
    </row>
    <row r="15" spans="1:16" ht="16.5" customHeight="1" x14ac:dyDescent="0.3">
      <c r="A15" s="751">
        <v>44197</v>
      </c>
      <c r="B15" s="741">
        <v>309364</v>
      </c>
      <c r="C15" s="742">
        <v>185618</v>
      </c>
      <c r="D15" s="742">
        <v>123746</v>
      </c>
      <c r="E15" s="743">
        <f>IF(B15="","",C15/B15*100)</f>
        <v>59.999870702473459</v>
      </c>
      <c r="F15" s="744">
        <f>IF(B15="","",D15/B15*100)</f>
        <v>40.000129297526534</v>
      </c>
      <c r="I15" s="746"/>
      <c r="J15" s="747"/>
      <c r="K15" s="746"/>
      <c r="L15" s="748"/>
      <c r="M15" s="749"/>
      <c r="N15" s="750"/>
      <c r="O15" s="750"/>
      <c r="P15" s="736"/>
    </row>
    <row r="16" spans="1:16" ht="16.5" customHeight="1" x14ac:dyDescent="0.3">
      <c r="A16" s="751">
        <v>44228</v>
      </c>
      <c r="B16" s="741">
        <v>228026</v>
      </c>
      <c r="C16" s="742">
        <v>136816</v>
      </c>
      <c r="D16" s="742">
        <v>91210</v>
      </c>
      <c r="E16" s="743">
        <f>IF(B16="","",C16/B16*100)</f>
        <v>60.000175418592619</v>
      </c>
      <c r="F16" s="744">
        <f>IF(B16="","",D16/B16*100)</f>
        <v>39.999824581407381</v>
      </c>
      <c r="I16" s="746"/>
      <c r="J16" s="747"/>
      <c r="K16" s="746"/>
      <c r="L16" s="748"/>
      <c r="M16" s="749"/>
      <c r="N16" s="750"/>
      <c r="O16" s="750"/>
      <c r="P16" s="736"/>
    </row>
    <row r="17" spans="1:16" ht="16.5" customHeight="1" x14ac:dyDescent="0.3">
      <c r="A17" s="751">
        <v>44256</v>
      </c>
      <c r="B17" s="741">
        <v>0</v>
      </c>
      <c r="C17" s="742">
        <v>0</v>
      </c>
      <c r="D17" s="742">
        <v>0</v>
      </c>
      <c r="E17" s="743">
        <v>0</v>
      </c>
      <c r="F17" s="757">
        <v>0</v>
      </c>
      <c r="I17" s="746"/>
      <c r="J17" s="747"/>
      <c r="K17" s="746"/>
      <c r="L17" s="748"/>
      <c r="M17" s="749"/>
      <c r="N17" s="750"/>
      <c r="O17" s="750"/>
      <c r="P17" s="736"/>
    </row>
    <row r="18" spans="1:16" ht="16.5" customHeight="1" thickBot="1" x14ac:dyDescent="0.35">
      <c r="A18" s="751">
        <v>44287</v>
      </c>
      <c r="B18" s="754">
        <v>0</v>
      </c>
      <c r="C18" s="755">
        <v>0</v>
      </c>
      <c r="D18" s="755">
        <v>0</v>
      </c>
      <c r="E18" s="756">
        <v>0</v>
      </c>
      <c r="F18" s="757">
        <v>0</v>
      </c>
      <c r="I18" s="746"/>
      <c r="J18" s="747"/>
      <c r="K18" s="746"/>
      <c r="L18" s="748"/>
      <c r="M18" s="749"/>
      <c r="N18" s="750"/>
      <c r="O18" s="750"/>
      <c r="P18" s="736"/>
    </row>
    <row r="19" spans="1:16" ht="16.5" customHeight="1" thickBot="1" x14ac:dyDescent="0.35">
      <c r="A19" s="758" t="s">
        <v>310</v>
      </c>
      <c r="B19" s="759">
        <f>SUM(B7:B18)</f>
        <v>2034978</v>
      </c>
      <c r="C19" s="760">
        <f>SUM(C7:C18)</f>
        <v>1220987</v>
      </c>
      <c r="D19" s="760">
        <f>SUM(D7:D18)</f>
        <v>813991</v>
      </c>
      <c r="E19" s="761">
        <f>IF(B19="","",C19/B19*100)</f>
        <v>60.000009828116077</v>
      </c>
      <c r="F19" s="762">
        <f>IF(B19="","",D19/B19*100)</f>
        <v>39.999990171883923</v>
      </c>
    </row>
    <row r="21" spans="1:16" x14ac:dyDescent="0.3">
      <c r="C21" s="745"/>
      <c r="E21" s="745"/>
    </row>
  </sheetData>
  <mergeCells count="5">
    <mergeCell ref="A1:A4"/>
    <mergeCell ref="B1:F4"/>
    <mergeCell ref="G2:H2"/>
    <mergeCell ref="G3:H3"/>
    <mergeCell ref="G4:H4"/>
  </mergeCells>
  <pageMargins left="0.70866141732283472" right="0.70866141732283472" top="0.74803149606299213" bottom="0.74803149606299213" header="0.31496062992125984" footer="0.31496062992125984"/>
  <pageSetup scale="70" orientation="landscape"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3"/>
  <dimension ref="A1:XEQ133"/>
  <sheetViews>
    <sheetView topLeftCell="A49" zoomScale="80" zoomScaleNormal="80" workbookViewId="0">
      <selection activeCell="I63" sqref="I63"/>
    </sheetView>
  </sheetViews>
  <sheetFormatPr baseColWidth="10" defaultRowHeight="16.5" x14ac:dyDescent="0.25"/>
  <cols>
    <col min="1" max="1" width="38" style="354" customWidth="1"/>
    <col min="2" max="2" width="13.42578125" style="354" customWidth="1"/>
    <col min="3" max="4" width="12.42578125" style="354" bestFit="1" customWidth="1"/>
    <col min="5" max="11" width="12.5703125" style="354" bestFit="1" customWidth="1"/>
    <col min="12" max="12" width="12.28515625" style="354" customWidth="1"/>
    <col min="13" max="13" width="12.5703125" style="354" bestFit="1" customWidth="1"/>
    <col min="14" max="14" width="12.42578125" style="354" bestFit="1" customWidth="1"/>
    <col min="15" max="15" width="11.85546875" style="354" customWidth="1"/>
    <col min="16" max="16" width="11.42578125" style="354"/>
    <col min="17" max="17" width="11.42578125" style="354" customWidth="1"/>
    <col min="18" max="18" width="12.42578125" style="354" bestFit="1" customWidth="1"/>
    <col min="19" max="30" width="11.42578125" style="354"/>
    <col min="31" max="41" width="11.42578125" style="354" hidden="1" customWidth="1"/>
    <col min="42" max="16384" width="11.42578125" style="354"/>
  </cols>
  <sheetData>
    <row r="1" spans="1:16371" x14ac:dyDescent="0.25">
      <c r="A1" s="873"/>
      <c r="B1" s="874"/>
      <c r="C1" s="879" t="s">
        <v>260</v>
      </c>
      <c r="D1" s="880"/>
      <c r="E1" s="880"/>
      <c r="F1" s="880"/>
      <c r="G1" s="880"/>
      <c r="H1" s="880"/>
      <c r="I1" s="880"/>
      <c r="J1" s="880"/>
      <c r="K1" s="881"/>
      <c r="L1" s="459" t="s">
        <v>550</v>
      </c>
      <c r="M1" s="460"/>
      <c r="N1" s="353"/>
    </row>
    <row r="2" spans="1:16371" x14ac:dyDescent="0.25">
      <c r="A2" s="875"/>
      <c r="B2" s="876"/>
      <c r="C2" s="882"/>
      <c r="D2" s="883"/>
      <c r="E2" s="883"/>
      <c r="F2" s="883"/>
      <c r="G2" s="883"/>
      <c r="H2" s="883"/>
      <c r="I2" s="883"/>
      <c r="J2" s="883"/>
      <c r="K2" s="884"/>
      <c r="L2" s="819" t="s">
        <v>533</v>
      </c>
      <c r="M2" s="819"/>
      <c r="N2" s="820"/>
      <c r="Q2" s="461"/>
    </row>
    <row r="3" spans="1:16371" x14ac:dyDescent="0.25">
      <c r="A3" s="875"/>
      <c r="B3" s="876"/>
      <c r="C3" s="882"/>
      <c r="D3" s="883"/>
      <c r="E3" s="883"/>
      <c r="F3" s="883"/>
      <c r="G3" s="883"/>
      <c r="H3" s="883"/>
      <c r="I3" s="883"/>
      <c r="J3" s="883"/>
      <c r="K3" s="884"/>
      <c r="L3" s="819" t="s">
        <v>534</v>
      </c>
      <c r="M3" s="819"/>
      <c r="N3" s="820"/>
    </row>
    <row r="4" spans="1:16371" ht="17.25" thickBot="1" x14ac:dyDescent="0.3">
      <c r="A4" s="877"/>
      <c r="B4" s="878"/>
      <c r="C4" s="885"/>
      <c r="D4" s="886"/>
      <c r="E4" s="886"/>
      <c r="F4" s="886"/>
      <c r="G4" s="886"/>
      <c r="H4" s="886"/>
      <c r="I4" s="886"/>
      <c r="J4" s="886"/>
      <c r="K4" s="887"/>
      <c r="L4" s="821" t="s">
        <v>538</v>
      </c>
      <c r="M4" s="821"/>
      <c r="N4" s="822"/>
    </row>
    <row r="5" spans="1:16371" ht="15.75" customHeight="1" thickBot="1" x14ac:dyDescent="0.3">
      <c r="A5" s="295"/>
      <c r="B5" s="295"/>
      <c r="C5" s="444"/>
      <c r="D5" s="444"/>
      <c r="E5" s="444"/>
      <c r="F5" s="444"/>
      <c r="G5" s="444"/>
      <c r="H5" s="444"/>
      <c r="I5" s="444"/>
      <c r="J5" s="444"/>
      <c r="K5" s="444"/>
      <c r="L5" s="462"/>
      <c r="M5" s="462"/>
    </row>
    <row r="6" spans="1:16371" ht="17.25" thickBot="1" x14ac:dyDescent="0.3">
      <c r="A6" s="463"/>
      <c r="B6" s="870" t="s">
        <v>327</v>
      </c>
      <c r="C6" s="871"/>
      <c r="D6" s="871"/>
      <c r="E6" s="871"/>
      <c r="F6" s="871"/>
      <c r="G6" s="871"/>
      <c r="H6" s="871"/>
      <c r="I6" s="871"/>
      <c r="J6" s="871"/>
      <c r="K6" s="871"/>
      <c r="L6" s="871"/>
      <c r="M6" s="871"/>
      <c r="N6" s="872"/>
    </row>
    <row r="7" spans="1:16371" ht="33.75" thickBot="1" x14ac:dyDescent="0.3">
      <c r="A7" s="464" t="s">
        <v>4</v>
      </c>
      <c r="B7" s="465" t="s">
        <v>342</v>
      </c>
      <c r="C7" s="465">
        <f>INVENTARIOS!C6</f>
        <v>43952</v>
      </c>
      <c r="D7" s="465">
        <f>INVENTARIOS!D6</f>
        <v>43983</v>
      </c>
      <c r="E7" s="465">
        <f>INVENTARIOS!E6</f>
        <v>44013</v>
      </c>
      <c r="F7" s="465">
        <f>INVENTARIOS!F6</f>
        <v>44044</v>
      </c>
      <c r="G7" s="465">
        <f>INVENTARIOS!G6</f>
        <v>44075</v>
      </c>
      <c r="H7" s="465">
        <f>INVENTARIOS!H6</f>
        <v>44105</v>
      </c>
      <c r="I7" s="465">
        <f>INVENTARIOS!I6</f>
        <v>44136</v>
      </c>
      <c r="J7" s="465">
        <f>INVENTARIOS!J6</f>
        <v>44166</v>
      </c>
      <c r="K7" s="465">
        <f>INVENTARIOS!K6</f>
        <v>44197</v>
      </c>
      <c r="L7" s="465">
        <f>INVENTARIOS!L6</f>
        <v>44228</v>
      </c>
      <c r="M7" s="465">
        <f>INVENTARIOS!M6</f>
        <v>44256</v>
      </c>
      <c r="N7" s="465">
        <f>INVENTARIOS!N6</f>
        <v>44287</v>
      </c>
      <c r="O7" s="716" t="s">
        <v>525</v>
      </c>
      <c r="P7" s="715" t="str">
        <f>"Año " &amp; YEAR(N7)</f>
        <v>Año 2021</v>
      </c>
      <c r="Q7" s="465" t="str">
        <f>"Año " &amp; YEAR(N7)-1</f>
        <v>Año 2020</v>
      </c>
      <c r="R7" s="295"/>
    </row>
    <row r="8" spans="1:16371" x14ac:dyDescent="0.25">
      <c r="A8" s="466" t="s">
        <v>428</v>
      </c>
      <c r="B8" s="467" t="s">
        <v>341</v>
      </c>
      <c r="C8" s="468">
        <f>INVENTARIOS!C69</f>
        <v>5964.8959999999997</v>
      </c>
      <c r="D8" s="468">
        <f>INVENTARIOS!D69</f>
        <v>5355.1750000000002</v>
      </c>
      <c r="E8" s="468">
        <f>INVENTARIOS!E69</f>
        <v>9342.1239999999998</v>
      </c>
      <c r="F8" s="468">
        <f>INVENTARIOS!F69</f>
        <v>7241.7730000000001</v>
      </c>
      <c r="G8" s="468">
        <f>INVENTARIOS!G69</f>
        <v>5968.9849999999997</v>
      </c>
      <c r="H8" s="468">
        <f>INVENTARIOS!H69</f>
        <v>9049.3320000000003</v>
      </c>
      <c r="I8" s="468">
        <f>INVENTARIOS!I69</f>
        <v>9116.6720000000005</v>
      </c>
      <c r="J8" s="468">
        <f>INVENTARIOS!J69</f>
        <v>7164.6769999999997</v>
      </c>
      <c r="K8" s="468">
        <f>INVENTARIOS!K69</f>
        <v>8011.2389999999996</v>
      </c>
      <c r="L8" s="468">
        <f>INVENTARIOS!L69</f>
        <v>7086.6459999999997</v>
      </c>
      <c r="M8" s="468">
        <f>INVENTARIOS!M69</f>
        <v>8166.1139999999996</v>
      </c>
      <c r="N8" s="468">
        <f>INVENTARIOS!N69</f>
        <v>8361.0120000000006</v>
      </c>
      <c r="O8" s="469">
        <f>IFERROR(AVERAGEIF(C8:N8,"&gt;0"),"-")</f>
        <v>7569.05375</v>
      </c>
      <c r="P8" s="530">
        <f>IFERROR(AVERAGEIFS('INDICADORES PRODUCCION'!C8:N8,'INDICADORES PRODUCCION'!C8:N8,"&gt;0",'INDICADORES PRODUCCION'!C$7:N$7,"&gt;="&amp;DATE(YEAR('INDICADORES PRODUCCION'!N$7),1,1),'INDICADORES PRODUCCION'!C$7:N$7,"&lt;="&amp;DATE(YEAR('INDICADORES PRODUCCION'!N$7),12,31)),"-")</f>
        <v>7906.2527499999997</v>
      </c>
      <c r="Q8" s="469">
        <v>7348.3890000000001</v>
      </c>
      <c r="R8" s="800"/>
      <c r="S8" s="803"/>
      <c r="T8" s="726"/>
      <c r="U8" s="803"/>
      <c r="V8" s="803"/>
      <c r="W8" s="803"/>
      <c r="X8" s="803"/>
      <c r="Y8" s="803"/>
      <c r="Z8" s="803"/>
      <c r="AA8" s="803"/>
      <c r="AB8" s="803"/>
      <c r="AC8" s="803"/>
      <c r="AD8" s="295"/>
      <c r="AE8" s="799">
        <f>S8-C8</f>
        <v>-5964.8959999999997</v>
      </c>
      <c r="AF8" s="799">
        <f t="shared" ref="AF8:AO8" si="0">T8-D8</f>
        <v>-5355.1750000000002</v>
      </c>
      <c r="AG8" s="799">
        <f t="shared" si="0"/>
        <v>-9342.1239999999998</v>
      </c>
      <c r="AH8" s="799">
        <f t="shared" si="0"/>
        <v>-7241.7730000000001</v>
      </c>
      <c r="AI8" s="799">
        <f t="shared" si="0"/>
        <v>-5968.9849999999997</v>
      </c>
      <c r="AJ8" s="799">
        <f t="shared" si="0"/>
        <v>-9049.3320000000003</v>
      </c>
      <c r="AK8" s="799">
        <f t="shared" si="0"/>
        <v>-9116.6720000000005</v>
      </c>
      <c r="AL8" s="799">
        <f t="shared" si="0"/>
        <v>-7164.6769999999997</v>
      </c>
      <c r="AM8" s="799">
        <f t="shared" si="0"/>
        <v>-8011.2389999999996</v>
      </c>
      <c r="AN8" s="799">
        <f t="shared" si="0"/>
        <v>-7086.6459999999997</v>
      </c>
      <c r="AO8" s="799">
        <f t="shared" si="0"/>
        <v>-8166.1139999999996</v>
      </c>
      <c r="AP8" s="799"/>
      <c r="AQ8" s="799"/>
      <c r="AR8" s="799"/>
      <c r="AS8" s="799"/>
      <c r="AT8" s="799"/>
      <c r="AU8" s="799"/>
      <c r="AV8" s="799"/>
      <c r="AW8" s="799"/>
      <c r="AX8" s="799"/>
      <c r="AY8" s="799"/>
      <c r="AZ8" s="799">
        <f t="shared" ref="AZ8:AZ17" si="1">AC8-M8</f>
        <v>-8166.1139999999996</v>
      </c>
      <c r="BA8" s="799"/>
      <c r="BB8" s="799"/>
    </row>
    <row r="9" spans="1:16371" x14ac:dyDescent="0.25">
      <c r="A9" s="471" t="s">
        <v>429</v>
      </c>
      <c r="B9" s="472" t="s">
        <v>341</v>
      </c>
      <c r="C9" s="473">
        <f>INVENTARIOS!C70</f>
        <v>0</v>
      </c>
      <c r="D9" s="473">
        <f>INVENTARIOS!D70</f>
        <v>0</v>
      </c>
      <c r="E9" s="473">
        <f>INVENTARIOS!E70</f>
        <v>0</v>
      </c>
      <c r="F9" s="473">
        <f>INVENTARIOS!F70</f>
        <v>0</v>
      </c>
      <c r="G9" s="473">
        <f>INVENTARIOS!G70</f>
        <v>0</v>
      </c>
      <c r="H9" s="473">
        <f>INVENTARIOS!H70</f>
        <v>0</v>
      </c>
      <c r="I9" s="473">
        <f>INVENTARIOS!I70</f>
        <v>0</v>
      </c>
      <c r="J9" s="473">
        <f>INVENTARIOS!J70</f>
        <v>94.534000000000006</v>
      </c>
      <c r="K9" s="473">
        <f>INVENTARIOS!K70</f>
        <v>0</v>
      </c>
      <c r="L9" s="473">
        <f>INVENTARIOS!L70</f>
        <v>0</v>
      </c>
      <c r="M9" s="473">
        <f>INVENTARIOS!M70</f>
        <v>0</v>
      </c>
      <c r="N9" s="473">
        <f>INVENTARIOS!N70</f>
        <v>662.71500000000003</v>
      </c>
      <c r="O9" s="474">
        <f>IFERROR(AVERAGEIF(C9:N9,"&gt;0"),"-")</f>
        <v>378.62450000000001</v>
      </c>
      <c r="P9" s="531">
        <f>IFERROR(AVERAGEIFS('INDICADORES PRODUCCION'!C9:N9,'INDICADORES PRODUCCION'!C9:N9,"&gt;0",'INDICADORES PRODUCCION'!C$7:N$7,"&gt;="&amp;DATE(YEAR('INDICADORES PRODUCCION'!N$7),1,1),'INDICADORES PRODUCCION'!C$7:N$7,"&lt;="&amp;DATE(YEAR('INDICADORES PRODUCCION'!N$7),12,31)),"-")</f>
        <v>662.71500000000003</v>
      </c>
      <c r="Q9" s="474">
        <v>444.99649999999997</v>
      </c>
      <c r="R9" s="800"/>
      <c r="S9" s="803"/>
      <c r="T9" s="726"/>
      <c r="U9" s="803"/>
      <c r="V9" s="803"/>
      <c r="W9" s="803"/>
      <c r="X9" s="803"/>
      <c r="Y9" s="803"/>
      <c r="Z9" s="803"/>
      <c r="AA9" s="803"/>
      <c r="AB9" s="803"/>
      <c r="AC9" s="803"/>
      <c r="AD9" s="295"/>
      <c r="AE9" s="799">
        <f t="shared" ref="AE9:AE17" si="2">S9-C9</f>
        <v>0</v>
      </c>
      <c r="AF9" s="799">
        <f t="shared" ref="AF9:AF17" si="3">T9-D9</f>
        <v>0</v>
      </c>
      <c r="AG9" s="799">
        <f t="shared" ref="AG9:AG17" si="4">U9-E9</f>
        <v>0</v>
      </c>
      <c r="AH9" s="799">
        <f t="shared" ref="AH9:AH17" si="5">V9-F9</f>
        <v>0</v>
      </c>
      <c r="AI9" s="799">
        <f t="shared" ref="AI9:AI17" si="6">W9-G9</f>
        <v>0</v>
      </c>
      <c r="AJ9" s="799">
        <f t="shared" ref="AJ9:AJ17" si="7">X9-H9</f>
        <v>0</v>
      </c>
      <c r="AK9" s="799">
        <f t="shared" ref="AK9:AK17" si="8">Y9-I9</f>
        <v>0</v>
      </c>
      <c r="AL9" s="799">
        <f t="shared" ref="AL9:AL17" si="9">Z9-J9</f>
        <v>-94.534000000000006</v>
      </c>
      <c r="AM9" s="799">
        <f t="shared" ref="AM9:AM17" si="10">AA9-K9</f>
        <v>0</v>
      </c>
      <c r="AN9" s="799">
        <f t="shared" ref="AN9:AN17" si="11">AB9-L9</f>
        <v>0</v>
      </c>
      <c r="AO9" s="799">
        <f t="shared" ref="AO9:AO17" si="12">AC9-M9</f>
        <v>0</v>
      </c>
      <c r="AP9" s="799"/>
      <c r="AQ9" s="799"/>
      <c r="AR9" s="799"/>
      <c r="AS9" s="799"/>
      <c r="AT9" s="799"/>
      <c r="AU9" s="799"/>
      <c r="AV9" s="799"/>
      <c r="AW9" s="799"/>
      <c r="AX9" s="799"/>
      <c r="AY9" s="799"/>
      <c r="AZ9" s="799">
        <f t="shared" si="1"/>
        <v>0</v>
      </c>
      <c r="BA9" s="799"/>
      <c r="BB9" s="799"/>
    </row>
    <row r="10" spans="1:16371" x14ac:dyDescent="0.25">
      <c r="A10" s="471" t="s">
        <v>459</v>
      </c>
      <c r="B10" s="472" t="s">
        <v>341</v>
      </c>
      <c r="C10" s="473">
        <f>C8</f>
        <v>5964.8959999999997</v>
      </c>
      <c r="D10" s="473">
        <f t="shared" ref="D10:N10" si="13">D8+D9+IF(MONTH(D7)=1,0,C10)</f>
        <v>11320.071</v>
      </c>
      <c r="E10" s="473">
        <f t="shared" si="13"/>
        <v>20662.195</v>
      </c>
      <c r="F10" s="473">
        <f t="shared" si="13"/>
        <v>27903.968000000001</v>
      </c>
      <c r="G10" s="473">
        <f t="shared" si="13"/>
        <v>33872.953000000001</v>
      </c>
      <c r="H10" s="473">
        <f t="shared" si="13"/>
        <v>42922.285000000003</v>
      </c>
      <c r="I10" s="473">
        <f t="shared" si="13"/>
        <v>52038.957000000002</v>
      </c>
      <c r="J10" s="473">
        <f t="shared" si="13"/>
        <v>59298.168000000005</v>
      </c>
      <c r="K10" s="473">
        <f t="shared" si="13"/>
        <v>8011.2389999999996</v>
      </c>
      <c r="L10" s="473">
        <f t="shared" si="13"/>
        <v>15097.884999999998</v>
      </c>
      <c r="M10" s="473">
        <f t="shared" si="13"/>
        <v>23263.998999999996</v>
      </c>
      <c r="N10" s="473">
        <f t="shared" si="13"/>
        <v>32287.725999999995</v>
      </c>
      <c r="O10" s="474">
        <f>SUM(C8:N9)</f>
        <v>91585.894</v>
      </c>
      <c r="P10" s="531">
        <f>IFERROR(SUMIFS('INDICADORES PRODUCCION'!C8:N8,'INDICADORES PRODUCCION'!C8:N8,"&gt;0",'INDICADORES PRODUCCION'!C$7:N$7,"&gt;="&amp;DATE(YEAR('INDICADORES PRODUCCION'!N$7),1,1),'INDICADORES PRODUCCION'!C$7:N$7,"&lt;="&amp;DATE(YEAR('INDICADORES PRODUCCION'!N$7),12,31)),"-")+IFERROR(SUMIFS('INDICADORES PRODUCCION'!C9:N9,'INDICADORES PRODUCCION'!C9:N9,"&gt;0",'INDICADORES PRODUCCION'!C$7:N$7,"&gt;="&amp;DATE(YEAR('INDICADORES PRODUCCION'!N$7),1,1),'INDICADORES PRODUCCION'!C$7:N$7,"&lt;="&amp;DATE(YEAR('INDICADORES PRODUCCION'!N$7),12,31)),"-")</f>
        <v>32287.725999999999</v>
      </c>
      <c r="Q10" s="474">
        <v>89070.665000000008</v>
      </c>
      <c r="R10" s="800"/>
      <c r="S10" s="803"/>
      <c r="T10" s="726"/>
      <c r="U10" s="803"/>
      <c r="V10" s="803"/>
      <c r="W10" s="803"/>
      <c r="X10" s="803"/>
      <c r="Y10" s="803"/>
      <c r="Z10" s="803"/>
      <c r="AA10" s="803"/>
      <c r="AB10" s="803"/>
      <c r="AC10" s="803"/>
      <c r="AD10" s="295"/>
      <c r="AE10" s="799">
        <f>S10-C10</f>
        <v>-5964.8959999999997</v>
      </c>
      <c r="AF10" s="799">
        <f t="shared" si="3"/>
        <v>-11320.071</v>
      </c>
      <c r="AG10" s="799">
        <f t="shared" si="4"/>
        <v>-20662.195</v>
      </c>
      <c r="AH10" s="799">
        <f t="shared" si="5"/>
        <v>-27903.968000000001</v>
      </c>
      <c r="AI10" s="799">
        <f t="shared" si="6"/>
        <v>-33872.953000000001</v>
      </c>
      <c r="AJ10" s="799">
        <f t="shared" si="7"/>
        <v>-42922.285000000003</v>
      </c>
      <c r="AK10" s="799">
        <f t="shared" si="8"/>
        <v>-52038.957000000002</v>
      </c>
      <c r="AL10" s="799">
        <f t="shared" si="9"/>
        <v>-59298.168000000005</v>
      </c>
      <c r="AM10" s="799">
        <f t="shared" si="10"/>
        <v>-8011.2389999999996</v>
      </c>
      <c r="AN10" s="799">
        <f t="shared" si="11"/>
        <v>-15097.884999999998</v>
      </c>
      <c r="AO10" s="799">
        <f t="shared" si="12"/>
        <v>-23263.998999999996</v>
      </c>
      <c r="AP10" s="799"/>
      <c r="AQ10" s="799"/>
      <c r="AR10" s="799"/>
      <c r="AS10" s="799"/>
      <c r="AT10" s="799"/>
      <c r="AU10" s="799"/>
      <c r="AV10" s="799"/>
      <c r="AW10" s="799"/>
      <c r="AX10" s="799"/>
      <c r="AY10" s="799"/>
      <c r="AZ10" s="799">
        <f t="shared" si="1"/>
        <v>-23263.998999999996</v>
      </c>
      <c r="BA10" s="799"/>
      <c r="BB10" s="799"/>
    </row>
    <row r="11" spans="1:16371" x14ac:dyDescent="0.25">
      <c r="A11" s="471" t="s">
        <v>461</v>
      </c>
      <c r="B11" s="472" t="s">
        <v>202</v>
      </c>
      <c r="C11" s="539">
        <f t="shared" ref="C11:N11" si="14">C10/107000</f>
        <v>5.5746691588785043E-2</v>
      </c>
      <c r="D11" s="539">
        <f t="shared" si="14"/>
        <v>0.10579505607476636</v>
      </c>
      <c r="E11" s="539">
        <f t="shared" si="14"/>
        <v>0.1931046261682243</v>
      </c>
      <c r="F11" s="539">
        <f t="shared" si="14"/>
        <v>0.26078474766355142</v>
      </c>
      <c r="G11" s="539">
        <f t="shared" si="14"/>
        <v>0.31656965420560751</v>
      </c>
      <c r="H11" s="539">
        <f t="shared" si="14"/>
        <v>0.40114285046728976</v>
      </c>
      <c r="I11" s="539">
        <f t="shared" si="14"/>
        <v>0.48634539252336451</v>
      </c>
      <c r="J11" s="539">
        <f t="shared" si="14"/>
        <v>0.55418848598130843</v>
      </c>
      <c r="K11" s="539">
        <f t="shared" si="14"/>
        <v>7.4871392523364486E-2</v>
      </c>
      <c r="L11" s="539">
        <f t="shared" si="14"/>
        <v>0.1411017289719626</v>
      </c>
      <c r="M11" s="539">
        <f t="shared" si="14"/>
        <v>0.21742055140186911</v>
      </c>
      <c r="N11" s="539">
        <f t="shared" si="14"/>
        <v>0.30175444859813078</v>
      </c>
      <c r="O11" s="517" t="s">
        <v>63</v>
      </c>
      <c r="P11" s="532">
        <f>P10/107000</f>
        <v>0.30175444859813083</v>
      </c>
      <c r="Q11" s="517">
        <v>0.83240000000000003</v>
      </c>
      <c r="R11" s="800"/>
      <c r="S11" s="803"/>
      <c r="T11" s="726"/>
      <c r="U11" s="803"/>
      <c r="V11" s="803"/>
      <c r="W11" s="803"/>
      <c r="X11" s="803"/>
      <c r="Y11" s="803"/>
      <c r="Z11" s="803"/>
      <c r="AA11" s="803"/>
      <c r="AB11" s="803"/>
      <c r="AC11" s="803"/>
      <c r="AD11" s="295"/>
      <c r="AE11" s="799">
        <f t="shared" si="2"/>
        <v>-5.5746691588785043E-2</v>
      </c>
      <c r="AF11" s="799">
        <f t="shared" si="3"/>
        <v>-0.10579505607476636</v>
      </c>
      <c r="AG11" s="799">
        <f t="shared" si="4"/>
        <v>-0.1931046261682243</v>
      </c>
      <c r="AH11" s="799">
        <f t="shared" si="5"/>
        <v>-0.26078474766355142</v>
      </c>
      <c r="AI11" s="799">
        <f t="shared" si="6"/>
        <v>-0.31656965420560751</v>
      </c>
      <c r="AJ11" s="799">
        <f t="shared" si="7"/>
        <v>-0.40114285046728976</v>
      </c>
      <c r="AK11" s="799">
        <f t="shared" si="8"/>
        <v>-0.48634539252336451</v>
      </c>
      <c r="AL11" s="799">
        <f t="shared" si="9"/>
        <v>-0.55418848598130843</v>
      </c>
      <c r="AM11" s="799">
        <f t="shared" si="10"/>
        <v>-7.4871392523364486E-2</v>
      </c>
      <c r="AN11" s="799">
        <f t="shared" si="11"/>
        <v>-0.1411017289719626</v>
      </c>
      <c r="AO11" s="799">
        <f t="shared" si="12"/>
        <v>-0.21742055140186911</v>
      </c>
      <c r="AP11" s="799"/>
      <c r="AQ11" s="799"/>
      <c r="AR11" s="799"/>
      <c r="AS11" s="799"/>
      <c r="AT11" s="799"/>
      <c r="AU11" s="799"/>
      <c r="AV11" s="799"/>
      <c r="AW11" s="799"/>
      <c r="AX11" s="799"/>
      <c r="AY11" s="799"/>
      <c r="AZ11" s="799">
        <f t="shared" si="1"/>
        <v>-0.21742055140186911</v>
      </c>
      <c r="BA11" s="799"/>
      <c r="BB11" s="799"/>
    </row>
    <row r="12" spans="1:16371" x14ac:dyDescent="0.25">
      <c r="A12" s="471" t="s">
        <v>430</v>
      </c>
      <c r="B12" s="472" t="s">
        <v>341</v>
      </c>
      <c r="C12" s="473">
        <f>INVENTARIOS!C77</f>
        <v>851.79300000000001</v>
      </c>
      <c r="D12" s="473">
        <f>INVENTARIOS!D77</f>
        <v>750.63599999999997</v>
      </c>
      <c r="E12" s="473">
        <f>INVENTARIOS!E77</f>
        <v>1332.741</v>
      </c>
      <c r="F12" s="473">
        <f>INVENTARIOS!F77</f>
        <v>1024.184</v>
      </c>
      <c r="G12" s="473">
        <f>INVENTARIOS!G77</f>
        <v>829.86199999999997</v>
      </c>
      <c r="H12" s="473">
        <f>INVENTARIOS!H77</f>
        <v>1242.52</v>
      </c>
      <c r="I12" s="473">
        <f>INVENTARIOS!I77</f>
        <v>1275.7550000000001</v>
      </c>
      <c r="J12" s="473">
        <f>INVENTARIOS!J77</f>
        <v>1000.938</v>
      </c>
      <c r="K12" s="473">
        <f>INVENTARIOS!K77</f>
        <v>1125.4929999999999</v>
      </c>
      <c r="L12" s="473">
        <f>INVENTARIOS!L77</f>
        <v>979.22199999999998</v>
      </c>
      <c r="M12" s="473">
        <f>INVENTARIOS!M77</f>
        <v>1167.3810000000001</v>
      </c>
      <c r="N12" s="703">
        <f>INVENTARIOS!N77</f>
        <v>1278.04</v>
      </c>
      <c r="O12" s="474">
        <f t="shared" ref="O12:O17" si="15">IFERROR(AVERAGEIF(C12:N12,"&gt;0"),"-")</f>
        <v>1071.5470833333331</v>
      </c>
      <c r="P12" s="531">
        <f>IFERROR(AVERAGEIFS('INDICADORES PRODUCCION'!C12:N12,'INDICADORES PRODUCCION'!C12:N12,"&gt;0",'INDICADORES PRODUCCION'!C$7:N$7,"&gt;="&amp;DATE(YEAR('INDICADORES PRODUCCION'!N$7),1,1),'INDICADORES PRODUCCION'!C$7:N$7,"&lt;="&amp;DATE(YEAR('INDICADORES PRODUCCION'!N$7),12,31)),"-")</f>
        <v>1137.5340000000001</v>
      </c>
      <c r="Q12" s="474">
        <v>1041.24775</v>
      </c>
      <c r="R12" s="800"/>
      <c r="S12" s="803"/>
      <c r="T12" s="726"/>
      <c r="U12" s="803"/>
      <c r="V12" s="803"/>
      <c r="W12" s="803"/>
      <c r="X12" s="803"/>
      <c r="Y12" s="803"/>
      <c r="Z12" s="803"/>
      <c r="AA12" s="803"/>
      <c r="AB12" s="803"/>
      <c r="AC12" s="803"/>
      <c r="AD12" s="295"/>
      <c r="AE12" s="799">
        <f t="shared" si="2"/>
        <v>-851.79300000000001</v>
      </c>
      <c r="AF12" s="799">
        <f t="shared" si="3"/>
        <v>-750.63599999999997</v>
      </c>
      <c r="AG12" s="799">
        <f t="shared" si="4"/>
        <v>-1332.741</v>
      </c>
      <c r="AH12" s="799">
        <f t="shared" si="5"/>
        <v>-1024.184</v>
      </c>
      <c r="AI12" s="799">
        <f t="shared" si="6"/>
        <v>-829.86199999999997</v>
      </c>
      <c r="AJ12" s="799">
        <f t="shared" si="7"/>
        <v>-1242.52</v>
      </c>
      <c r="AK12" s="799">
        <f t="shared" si="8"/>
        <v>-1275.7550000000001</v>
      </c>
      <c r="AL12" s="799">
        <f t="shared" si="9"/>
        <v>-1000.938</v>
      </c>
      <c r="AM12" s="799">
        <f t="shared" si="10"/>
        <v>-1125.4929999999999</v>
      </c>
      <c r="AN12" s="799">
        <f t="shared" si="11"/>
        <v>-979.22199999999998</v>
      </c>
      <c r="AO12" s="799">
        <f t="shared" si="12"/>
        <v>-1167.3810000000001</v>
      </c>
      <c r="AP12" s="799"/>
      <c r="AQ12" s="799"/>
      <c r="AR12" s="799"/>
      <c r="AS12" s="799"/>
      <c r="AT12" s="799"/>
      <c r="AU12" s="799"/>
      <c r="AV12" s="799"/>
      <c r="AW12" s="799"/>
      <c r="AX12" s="799"/>
      <c r="AY12" s="799"/>
      <c r="AZ12" s="799">
        <f t="shared" si="1"/>
        <v>-1167.3810000000001</v>
      </c>
      <c r="BA12" s="799"/>
      <c r="BB12" s="799"/>
    </row>
    <row r="13" spans="1:16371" x14ac:dyDescent="0.25">
      <c r="A13" s="471" t="s">
        <v>432</v>
      </c>
      <c r="B13" s="472" t="s">
        <v>341</v>
      </c>
      <c r="C13" s="473">
        <f>INVENTARIOS!C78</f>
        <v>0</v>
      </c>
      <c r="D13" s="473">
        <f>INVENTARIOS!D78</f>
        <v>0</v>
      </c>
      <c r="E13" s="473">
        <f>INVENTARIOS!E78</f>
        <v>0</v>
      </c>
      <c r="F13" s="473">
        <f>INVENTARIOS!F78</f>
        <v>0</v>
      </c>
      <c r="G13" s="473">
        <f>INVENTARIOS!G78</f>
        <v>0</v>
      </c>
      <c r="H13" s="473">
        <f>INVENTARIOS!H78</f>
        <v>0</v>
      </c>
      <c r="I13" s="473">
        <f>INVENTARIOS!I78</f>
        <v>0</v>
      </c>
      <c r="J13" s="473">
        <f>INVENTARIOS!J78</f>
        <v>0</v>
      </c>
      <c r="K13" s="473">
        <f>INVENTARIOS!K78</f>
        <v>0</v>
      </c>
      <c r="L13" s="473">
        <f>INVENTARIOS!L78</f>
        <v>0</v>
      </c>
      <c r="M13" s="473">
        <f>INVENTARIOS!M78</f>
        <v>0</v>
      </c>
      <c r="N13" s="703">
        <f>INVENTARIOS!N78</f>
        <v>0</v>
      </c>
      <c r="O13" s="474" t="str">
        <f t="shared" si="15"/>
        <v>-</v>
      </c>
      <c r="P13" s="531" t="str">
        <f>IFERROR(AVERAGEIFS('INDICADORES PRODUCCION'!C13:N13,'INDICADORES PRODUCCION'!C13:N13,"&gt;0",'INDICADORES PRODUCCION'!C$7:N$7,"&gt;="&amp;DATE(YEAR('INDICADORES PRODUCCION'!N$7),1,1),'INDICADORES PRODUCCION'!C$7:N$7,"&lt;="&amp;DATE(YEAR('INDICADORES PRODUCCION'!N$7),12,31)),"-")</f>
        <v>-</v>
      </c>
      <c r="Q13" s="474" t="s">
        <v>63</v>
      </c>
      <c r="R13" s="800"/>
      <c r="S13" s="803"/>
      <c r="T13" s="726"/>
      <c r="U13" s="803"/>
      <c r="V13" s="803"/>
      <c r="W13" s="803"/>
      <c r="X13" s="803"/>
      <c r="Y13" s="803"/>
      <c r="Z13" s="803"/>
      <c r="AA13" s="803"/>
      <c r="AB13" s="803"/>
      <c r="AC13" s="803"/>
      <c r="AD13" s="295"/>
      <c r="AE13" s="799">
        <f t="shared" si="2"/>
        <v>0</v>
      </c>
      <c r="AF13" s="799">
        <f t="shared" si="3"/>
        <v>0</v>
      </c>
      <c r="AG13" s="799">
        <f t="shared" si="4"/>
        <v>0</v>
      </c>
      <c r="AH13" s="799">
        <f t="shared" si="5"/>
        <v>0</v>
      </c>
      <c r="AI13" s="799">
        <f t="shared" si="6"/>
        <v>0</v>
      </c>
      <c r="AJ13" s="799">
        <f t="shared" si="7"/>
        <v>0</v>
      </c>
      <c r="AK13" s="799">
        <f t="shared" si="8"/>
        <v>0</v>
      </c>
      <c r="AL13" s="799">
        <f t="shared" si="9"/>
        <v>0</v>
      </c>
      <c r="AM13" s="799">
        <f t="shared" si="10"/>
        <v>0</v>
      </c>
      <c r="AN13" s="799">
        <f t="shared" si="11"/>
        <v>0</v>
      </c>
      <c r="AO13" s="799">
        <f t="shared" si="12"/>
        <v>0</v>
      </c>
      <c r="AP13" s="799"/>
      <c r="AQ13" s="799"/>
      <c r="AR13" s="799"/>
      <c r="AS13" s="799"/>
      <c r="AT13" s="799"/>
      <c r="AU13" s="799"/>
      <c r="AV13" s="799"/>
      <c r="AW13" s="799"/>
      <c r="AX13" s="799"/>
      <c r="AY13" s="799"/>
      <c r="AZ13" s="799">
        <f t="shared" si="1"/>
        <v>0</v>
      </c>
      <c r="BA13" s="799"/>
      <c r="BB13" s="799"/>
    </row>
    <row r="14" spans="1:16371" x14ac:dyDescent="0.25">
      <c r="A14" s="471" t="s">
        <v>431</v>
      </c>
      <c r="B14" s="472" t="s">
        <v>341</v>
      </c>
      <c r="C14" s="473">
        <f>INVENTARIOS!C91</f>
        <v>92.284999999999997</v>
      </c>
      <c r="D14" s="473">
        <f>INVENTARIOS!D91</f>
        <v>93.308000000000007</v>
      </c>
      <c r="E14" s="473">
        <f>INVENTARIOS!E91</f>
        <v>130.06</v>
      </c>
      <c r="F14" s="473">
        <f>INVENTARIOS!F91</f>
        <v>80.52</v>
      </c>
      <c r="G14" s="473">
        <f>INVENTARIOS!G91</f>
        <v>87.122</v>
      </c>
      <c r="H14" s="473">
        <f>INVENTARIOS!H91</f>
        <v>120.32899999999999</v>
      </c>
      <c r="I14" s="473">
        <f>INVENTARIOS!I91</f>
        <v>116.197</v>
      </c>
      <c r="J14" s="473">
        <f>INVENTARIOS!J91</f>
        <v>112.148</v>
      </c>
      <c r="K14" s="473">
        <f>INVENTARIOS!K91</f>
        <v>74.263999999999996</v>
      </c>
      <c r="L14" s="473">
        <f>INVENTARIOS!L91</f>
        <v>101.649</v>
      </c>
      <c r="M14" s="473">
        <f>INVENTARIOS!M91</f>
        <v>184.75700000000001</v>
      </c>
      <c r="N14" s="473">
        <f>INVENTARIOS!N91</f>
        <v>142.61500000000001</v>
      </c>
      <c r="O14" s="474">
        <f t="shared" si="15"/>
        <v>111.27116666666667</v>
      </c>
      <c r="P14" s="531">
        <f>IFERROR(AVERAGEIFS('INDICADORES PRODUCCION'!C14:N14,'INDICADORES PRODUCCION'!C14:N14,"&gt;0",'INDICADORES PRODUCCION'!C$7:N$7,"&gt;="&amp;DATE(YEAR('INDICADORES PRODUCCION'!N$7),1,1),'INDICADORES PRODUCCION'!C$7:N$7,"&lt;="&amp;DATE(YEAR('INDICADORES PRODUCCION'!N$7),12,31)),"-")</f>
        <v>125.82125000000001</v>
      </c>
      <c r="Q14" s="474">
        <v>110.36574999999999</v>
      </c>
      <c r="R14" s="475"/>
      <c r="S14" s="804"/>
      <c r="T14" s="804"/>
      <c r="U14" s="804"/>
      <c r="V14" s="804"/>
      <c r="W14" s="804"/>
      <c r="X14" s="804"/>
      <c r="Y14" s="804"/>
      <c r="Z14" s="804"/>
      <c r="AA14" s="804"/>
      <c r="AB14" s="804"/>
      <c r="AC14" s="804"/>
      <c r="AD14" s="476"/>
      <c r="AE14" s="799">
        <f t="shared" si="2"/>
        <v>-92.284999999999997</v>
      </c>
      <c r="AF14" s="799">
        <f t="shared" si="3"/>
        <v>-93.308000000000007</v>
      </c>
      <c r="AG14" s="799">
        <f t="shared" si="4"/>
        <v>-130.06</v>
      </c>
      <c r="AH14" s="799">
        <f t="shared" si="5"/>
        <v>-80.52</v>
      </c>
      <c r="AI14" s="799">
        <f t="shared" si="6"/>
        <v>-87.122</v>
      </c>
      <c r="AJ14" s="799">
        <f t="shared" si="7"/>
        <v>-120.32899999999999</v>
      </c>
      <c r="AK14" s="799">
        <f t="shared" si="8"/>
        <v>-116.197</v>
      </c>
      <c r="AL14" s="799">
        <f t="shared" si="9"/>
        <v>-112.148</v>
      </c>
      <c r="AM14" s="799">
        <f t="shared" si="10"/>
        <v>-74.263999999999996</v>
      </c>
      <c r="AN14" s="799">
        <f t="shared" si="11"/>
        <v>-101.649</v>
      </c>
      <c r="AO14" s="799">
        <f t="shared" si="12"/>
        <v>-184.75700000000001</v>
      </c>
      <c r="AP14" s="799"/>
      <c r="AQ14" s="799"/>
      <c r="AR14" s="799"/>
      <c r="AS14" s="799"/>
      <c r="AT14" s="799"/>
      <c r="AU14" s="799"/>
      <c r="AV14" s="799"/>
      <c r="AW14" s="799"/>
      <c r="AX14" s="799"/>
      <c r="AY14" s="799"/>
      <c r="AZ14" s="799">
        <f t="shared" si="1"/>
        <v>-184.75700000000001</v>
      </c>
      <c r="BA14" s="799"/>
      <c r="BB14" s="799"/>
      <c r="BC14" s="476"/>
      <c r="BD14" s="476"/>
      <c r="BE14" s="476"/>
      <c r="BF14" s="476"/>
      <c r="BG14" s="476"/>
      <c r="BH14" s="476"/>
      <c r="BI14" s="476"/>
      <c r="BJ14" s="476"/>
      <c r="BK14" s="477"/>
      <c r="BL14" s="477"/>
      <c r="BM14" s="463"/>
      <c r="BN14" s="475"/>
      <c r="BO14" s="476"/>
      <c r="BP14" s="476"/>
      <c r="BQ14" s="476"/>
      <c r="BR14" s="476"/>
      <c r="BS14" s="476"/>
      <c r="BT14" s="476"/>
      <c r="BU14" s="476"/>
      <c r="BV14" s="476"/>
      <c r="BW14" s="476"/>
      <c r="BX14" s="476"/>
      <c r="BY14" s="476"/>
      <c r="BZ14" s="476"/>
      <c r="CA14" s="477"/>
      <c r="CB14" s="477"/>
      <c r="CC14" s="463"/>
      <c r="CD14" s="475"/>
      <c r="CE14" s="476"/>
      <c r="CF14" s="476"/>
      <c r="CG14" s="476"/>
      <c r="CH14" s="476"/>
      <c r="CI14" s="476"/>
      <c r="CJ14" s="476"/>
      <c r="CK14" s="476"/>
      <c r="CL14" s="476"/>
      <c r="CM14" s="476"/>
      <c r="CN14" s="476"/>
      <c r="CO14" s="476"/>
      <c r="CP14" s="476"/>
      <c r="CQ14" s="477"/>
      <c r="CR14" s="477"/>
      <c r="CS14" s="463"/>
      <c r="CT14" s="475"/>
      <c r="CU14" s="476"/>
      <c r="CV14" s="476"/>
      <c r="CW14" s="476"/>
      <c r="CX14" s="476"/>
      <c r="CY14" s="476"/>
      <c r="CZ14" s="476"/>
      <c r="DA14" s="476"/>
      <c r="DB14" s="476"/>
      <c r="DC14" s="476"/>
      <c r="DD14" s="476"/>
      <c r="DE14" s="476"/>
      <c r="DF14" s="476"/>
      <c r="DG14" s="477"/>
      <c r="DH14" s="477"/>
      <c r="DI14" s="463"/>
      <c r="DJ14" s="475"/>
      <c r="DK14" s="476"/>
      <c r="DL14" s="476"/>
      <c r="DM14" s="476"/>
      <c r="DN14" s="476"/>
      <c r="DO14" s="476"/>
      <c r="DP14" s="476"/>
      <c r="DQ14" s="476"/>
      <c r="DR14" s="476"/>
      <c r="DS14" s="476"/>
      <c r="DT14" s="476"/>
      <c r="DU14" s="476"/>
      <c r="DV14" s="476"/>
      <c r="DW14" s="477"/>
      <c r="DX14" s="477"/>
      <c r="DY14" s="463"/>
      <c r="DZ14" s="475"/>
      <c r="EA14" s="476"/>
      <c r="EB14" s="476"/>
      <c r="EC14" s="476"/>
      <c r="ED14" s="476"/>
      <c r="EE14" s="476"/>
      <c r="EF14" s="476"/>
      <c r="EG14" s="476"/>
      <c r="EH14" s="476"/>
      <c r="EI14" s="476"/>
      <c r="EJ14" s="476"/>
      <c r="EK14" s="476"/>
      <c r="EL14" s="476"/>
      <c r="EM14" s="477"/>
      <c r="EN14" s="477"/>
      <c r="EO14" s="463"/>
      <c r="EP14" s="475"/>
      <c r="EQ14" s="476"/>
      <c r="ER14" s="476"/>
      <c r="ES14" s="476"/>
      <c r="ET14" s="476"/>
      <c r="EU14" s="476"/>
      <c r="EV14" s="476"/>
      <c r="EW14" s="476"/>
      <c r="EX14" s="476"/>
      <c r="EY14" s="476"/>
      <c r="EZ14" s="476"/>
      <c r="FA14" s="476"/>
      <c r="FB14" s="476"/>
      <c r="FC14" s="477"/>
      <c r="FD14" s="477"/>
      <c r="FE14" s="463"/>
      <c r="FF14" s="475"/>
      <c r="FG14" s="476"/>
      <c r="FH14" s="476"/>
      <c r="FI14" s="476"/>
      <c r="FJ14" s="476"/>
      <c r="FK14" s="476"/>
      <c r="FL14" s="476"/>
      <c r="FM14" s="476"/>
      <c r="FN14" s="476"/>
      <c r="FO14" s="476"/>
      <c r="FP14" s="476"/>
      <c r="FQ14" s="476"/>
      <c r="FR14" s="476"/>
      <c r="FS14" s="477"/>
      <c r="FT14" s="477"/>
      <c r="FU14" s="463"/>
      <c r="FV14" s="475"/>
      <c r="FW14" s="476"/>
      <c r="FX14" s="476"/>
      <c r="FY14" s="476"/>
      <c r="FZ14" s="476"/>
      <c r="GA14" s="476"/>
      <c r="GB14" s="476"/>
      <c r="GC14" s="476"/>
      <c r="GD14" s="476"/>
      <c r="GE14" s="476"/>
      <c r="GF14" s="476"/>
      <c r="GG14" s="476"/>
      <c r="GH14" s="476"/>
      <c r="GI14" s="477"/>
      <c r="GJ14" s="477"/>
      <c r="GK14" s="463"/>
      <c r="GL14" s="475"/>
      <c r="GM14" s="476"/>
      <c r="GN14" s="476"/>
      <c r="GO14" s="476"/>
      <c r="GP14" s="476"/>
      <c r="GQ14" s="476"/>
      <c r="GR14" s="476"/>
      <c r="GS14" s="476"/>
      <c r="GT14" s="476"/>
      <c r="GU14" s="476"/>
      <c r="GV14" s="476"/>
      <c r="GW14" s="476"/>
      <c r="GX14" s="476"/>
      <c r="GY14" s="477"/>
      <c r="GZ14" s="477"/>
      <c r="HA14" s="463"/>
      <c r="HB14" s="475"/>
      <c r="HC14" s="476"/>
      <c r="HD14" s="476"/>
      <c r="HE14" s="476"/>
      <c r="HF14" s="476"/>
      <c r="HG14" s="476"/>
      <c r="HH14" s="476"/>
      <c r="HI14" s="476"/>
      <c r="HJ14" s="476"/>
      <c r="HK14" s="476"/>
      <c r="HL14" s="476"/>
      <c r="HM14" s="476"/>
      <c r="HN14" s="476"/>
      <c r="HO14" s="477"/>
      <c r="HP14" s="477"/>
      <c r="HQ14" s="463"/>
      <c r="HR14" s="475"/>
      <c r="HS14" s="476"/>
      <c r="HT14" s="476"/>
      <c r="HU14" s="476"/>
      <c r="HV14" s="476"/>
      <c r="HW14" s="476"/>
      <c r="HX14" s="476"/>
      <c r="HY14" s="476"/>
      <c r="HZ14" s="476"/>
      <c r="IA14" s="476"/>
      <c r="IB14" s="476"/>
      <c r="IC14" s="476"/>
      <c r="ID14" s="476"/>
      <c r="IE14" s="477"/>
      <c r="IF14" s="477"/>
      <c r="IG14" s="463"/>
      <c r="IH14" s="475"/>
      <c r="II14" s="476"/>
      <c r="IJ14" s="476"/>
      <c r="IK14" s="476"/>
      <c r="IL14" s="476"/>
      <c r="IM14" s="476"/>
      <c r="IN14" s="476"/>
      <c r="IO14" s="476"/>
      <c r="IP14" s="476"/>
      <c r="IQ14" s="476"/>
      <c r="IR14" s="476"/>
      <c r="IS14" s="476"/>
      <c r="IT14" s="476"/>
      <c r="IU14" s="477"/>
      <c r="IV14" s="477"/>
      <c r="IW14" s="463"/>
      <c r="IX14" s="475"/>
      <c r="IY14" s="476"/>
      <c r="IZ14" s="476"/>
      <c r="JA14" s="476"/>
      <c r="JB14" s="476"/>
      <c r="JC14" s="476"/>
      <c r="JD14" s="476"/>
      <c r="JE14" s="476"/>
      <c r="JF14" s="476"/>
      <c r="JG14" s="476"/>
      <c r="JH14" s="476"/>
      <c r="JI14" s="476"/>
      <c r="JJ14" s="476"/>
      <c r="JK14" s="477"/>
      <c r="JL14" s="477"/>
      <c r="JM14" s="463"/>
      <c r="JN14" s="475"/>
      <c r="JO14" s="476"/>
      <c r="JP14" s="476"/>
      <c r="JQ14" s="476"/>
      <c r="JR14" s="476"/>
      <c r="JS14" s="476"/>
      <c r="JT14" s="476"/>
      <c r="JU14" s="476"/>
      <c r="JV14" s="476"/>
      <c r="JW14" s="476"/>
      <c r="JX14" s="476"/>
      <c r="JY14" s="476"/>
      <c r="JZ14" s="476"/>
      <c r="KA14" s="477"/>
      <c r="KB14" s="477"/>
      <c r="KC14" s="463"/>
      <c r="KD14" s="475"/>
      <c r="KE14" s="476"/>
      <c r="KF14" s="476"/>
      <c r="KG14" s="476"/>
      <c r="KH14" s="476"/>
      <c r="KI14" s="476"/>
      <c r="KJ14" s="476"/>
      <c r="KK14" s="476"/>
      <c r="KL14" s="476"/>
      <c r="KM14" s="476"/>
      <c r="KN14" s="476"/>
      <c r="KO14" s="476"/>
      <c r="KP14" s="476"/>
      <c r="KQ14" s="477"/>
      <c r="KR14" s="477"/>
      <c r="KS14" s="463"/>
      <c r="KT14" s="475"/>
      <c r="KU14" s="476"/>
      <c r="KV14" s="476"/>
      <c r="KW14" s="476"/>
      <c r="KX14" s="476"/>
      <c r="KY14" s="476"/>
      <c r="KZ14" s="476"/>
      <c r="LA14" s="476"/>
      <c r="LB14" s="476"/>
      <c r="LC14" s="476"/>
      <c r="LD14" s="476"/>
      <c r="LE14" s="476"/>
      <c r="LF14" s="476"/>
      <c r="LG14" s="477"/>
      <c r="LH14" s="477"/>
      <c r="LI14" s="463"/>
      <c r="LJ14" s="475"/>
      <c r="LK14" s="476"/>
      <c r="LL14" s="476"/>
      <c r="LM14" s="476"/>
      <c r="LN14" s="476"/>
      <c r="LO14" s="476"/>
      <c r="LP14" s="476"/>
      <c r="LQ14" s="476"/>
      <c r="LR14" s="476"/>
      <c r="LS14" s="476"/>
      <c r="LT14" s="476"/>
      <c r="LU14" s="476"/>
      <c r="LV14" s="476"/>
      <c r="LW14" s="477"/>
      <c r="LX14" s="477"/>
      <c r="LY14" s="463"/>
      <c r="LZ14" s="475"/>
      <c r="MA14" s="476"/>
      <c r="MB14" s="476"/>
      <c r="MC14" s="476"/>
      <c r="MD14" s="476"/>
      <c r="ME14" s="476"/>
      <c r="MF14" s="476"/>
      <c r="MG14" s="476"/>
      <c r="MH14" s="476"/>
      <c r="MI14" s="476"/>
      <c r="MJ14" s="476"/>
      <c r="MK14" s="476"/>
      <c r="ML14" s="476"/>
      <c r="MM14" s="477"/>
      <c r="MN14" s="477"/>
      <c r="MO14" s="463"/>
      <c r="MP14" s="475"/>
      <c r="MQ14" s="476"/>
      <c r="MR14" s="476"/>
      <c r="MS14" s="476"/>
      <c r="MT14" s="476"/>
      <c r="MU14" s="476"/>
      <c r="MV14" s="476"/>
      <c r="MW14" s="476"/>
      <c r="MX14" s="476"/>
      <c r="MY14" s="476"/>
      <c r="MZ14" s="476"/>
      <c r="NA14" s="476"/>
      <c r="NB14" s="476"/>
      <c r="NC14" s="477"/>
      <c r="ND14" s="477"/>
      <c r="NE14" s="463"/>
      <c r="NF14" s="475"/>
      <c r="NG14" s="476"/>
      <c r="NH14" s="476"/>
      <c r="NI14" s="476"/>
      <c r="NJ14" s="476"/>
      <c r="NK14" s="476"/>
      <c r="NL14" s="476"/>
      <c r="NM14" s="476"/>
      <c r="NN14" s="476"/>
      <c r="NO14" s="476"/>
      <c r="NP14" s="476"/>
      <c r="NQ14" s="476"/>
      <c r="NR14" s="476"/>
      <c r="NS14" s="477"/>
      <c r="NT14" s="477"/>
      <c r="NU14" s="463"/>
      <c r="NV14" s="475"/>
      <c r="NW14" s="476"/>
      <c r="NX14" s="476"/>
      <c r="NY14" s="476"/>
      <c r="NZ14" s="476"/>
      <c r="OA14" s="476"/>
      <c r="OB14" s="476"/>
      <c r="OC14" s="476"/>
      <c r="OD14" s="476"/>
      <c r="OE14" s="476"/>
      <c r="OF14" s="476"/>
      <c r="OG14" s="476"/>
      <c r="OH14" s="476"/>
      <c r="OI14" s="477"/>
      <c r="OJ14" s="477"/>
      <c r="OK14" s="463"/>
      <c r="OL14" s="475"/>
      <c r="OM14" s="476"/>
      <c r="ON14" s="476"/>
      <c r="OO14" s="476"/>
      <c r="OP14" s="476"/>
      <c r="OQ14" s="476"/>
      <c r="OR14" s="476"/>
      <c r="OS14" s="476"/>
      <c r="OT14" s="476"/>
      <c r="OU14" s="476"/>
      <c r="OV14" s="476"/>
      <c r="OW14" s="476"/>
      <c r="OX14" s="476"/>
      <c r="OY14" s="477"/>
      <c r="OZ14" s="477"/>
      <c r="PA14" s="463"/>
      <c r="PB14" s="475"/>
      <c r="PC14" s="476"/>
      <c r="PD14" s="476"/>
      <c r="PE14" s="476"/>
      <c r="PF14" s="476"/>
      <c r="PG14" s="476"/>
      <c r="PH14" s="476"/>
      <c r="PI14" s="476"/>
      <c r="PJ14" s="476"/>
      <c r="PK14" s="476"/>
      <c r="PL14" s="476"/>
      <c r="PM14" s="476"/>
      <c r="PN14" s="476"/>
      <c r="PO14" s="477"/>
      <c r="PP14" s="477"/>
      <c r="PQ14" s="463"/>
      <c r="PR14" s="475"/>
      <c r="PS14" s="476"/>
      <c r="PT14" s="476"/>
      <c r="PU14" s="476"/>
      <c r="PV14" s="476"/>
      <c r="PW14" s="476"/>
      <c r="PX14" s="476"/>
      <c r="PY14" s="476"/>
      <c r="PZ14" s="476"/>
      <c r="QA14" s="476"/>
      <c r="QB14" s="476"/>
      <c r="QC14" s="476"/>
      <c r="QD14" s="476"/>
      <c r="QE14" s="477"/>
      <c r="QF14" s="477"/>
      <c r="QG14" s="463"/>
      <c r="QH14" s="475"/>
      <c r="QI14" s="476"/>
      <c r="QJ14" s="476"/>
      <c r="QK14" s="476"/>
      <c r="QL14" s="476"/>
      <c r="QM14" s="476"/>
      <c r="QN14" s="476"/>
      <c r="QO14" s="476"/>
      <c r="QP14" s="476"/>
      <c r="QQ14" s="476"/>
      <c r="QR14" s="476"/>
      <c r="QS14" s="476"/>
      <c r="QT14" s="476"/>
      <c r="QU14" s="477"/>
      <c r="QV14" s="477"/>
      <c r="QW14" s="463"/>
      <c r="QX14" s="475"/>
      <c r="QY14" s="476"/>
      <c r="QZ14" s="476"/>
      <c r="RA14" s="476"/>
      <c r="RB14" s="476"/>
      <c r="RC14" s="476"/>
      <c r="RD14" s="476"/>
      <c r="RE14" s="476"/>
      <c r="RF14" s="476"/>
      <c r="RG14" s="476"/>
      <c r="RH14" s="476"/>
      <c r="RI14" s="476"/>
      <c r="RJ14" s="476"/>
      <c r="RK14" s="477"/>
      <c r="RL14" s="477"/>
      <c r="RM14" s="463"/>
      <c r="RN14" s="475"/>
      <c r="RO14" s="476"/>
      <c r="RP14" s="476"/>
      <c r="RQ14" s="476"/>
      <c r="RR14" s="476"/>
      <c r="RS14" s="476"/>
      <c r="RT14" s="476"/>
      <c r="RU14" s="476"/>
      <c r="RV14" s="476"/>
      <c r="RW14" s="476"/>
      <c r="RX14" s="476"/>
      <c r="RY14" s="476"/>
      <c r="RZ14" s="476"/>
      <c r="SA14" s="477"/>
      <c r="SB14" s="477"/>
      <c r="SC14" s="463"/>
      <c r="SD14" s="475"/>
      <c r="SE14" s="476"/>
      <c r="SF14" s="476"/>
      <c r="SG14" s="476"/>
      <c r="SH14" s="476"/>
      <c r="SI14" s="476"/>
      <c r="SJ14" s="476"/>
      <c r="SK14" s="476"/>
      <c r="SL14" s="476"/>
      <c r="SM14" s="476"/>
      <c r="SN14" s="476"/>
      <c r="SO14" s="476"/>
      <c r="SP14" s="476"/>
      <c r="SQ14" s="477"/>
      <c r="SR14" s="477"/>
      <c r="SS14" s="463"/>
      <c r="ST14" s="475"/>
      <c r="SU14" s="476"/>
      <c r="SV14" s="476"/>
      <c r="SW14" s="476"/>
      <c r="SX14" s="476"/>
      <c r="SY14" s="476"/>
      <c r="SZ14" s="476"/>
      <c r="TA14" s="476"/>
      <c r="TB14" s="476"/>
      <c r="TC14" s="476"/>
      <c r="TD14" s="476"/>
      <c r="TE14" s="476"/>
      <c r="TF14" s="476"/>
      <c r="TG14" s="477"/>
      <c r="TH14" s="477"/>
      <c r="TI14" s="463"/>
      <c r="TJ14" s="475"/>
      <c r="TK14" s="476"/>
      <c r="TL14" s="476"/>
      <c r="TM14" s="476"/>
      <c r="TN14" s="476"/>
      <c r="TO14" s="476"/>
      <c r="TP14" s="476"/>
      <c r="TQ14" s="476"/>
      <c r="TR14" s="476"/>
      <c r="TS14" s="476"/>
      <c r="TT14" s="476"/>
      <c r="TU14" s="476"/>
      <c r="TV14" s="476"/>
      <c r="TW14" s="477"/>
      <c r="TX14" s="477"/>
      <c r="TY14" s="463"/>
      <c r="TZ14" s="475"/>
      <c r="UA14" s="476"/>
      <c r="UB14" s="476"/>
      <c r="UC14" s="476"/>
      <c r="UD14" s="476"/>
      <c r="UE14" s="476"/>
      <c r="UF14" s="476"/>
      <c r="UG14" s="476"/>
      <c r="UH14" s="476"/>
      <c r="UI14" s="476"/>
      <c r="UJ14" s="476"/>
      <c r="UK14" s="476"/>
      <c r="UL14" s="476"/>
      <c r="UM14" s="477"/>
      <c r="UN14" s="477"/>
      <c r="UO14" s="463"/>
      <c r="UP14" s="475"/>
      <c r="UQ14" s="476"/>
      <c r="UR14" s="476"/>
      <c r="US14" s="476"/>
      <c r="UT14" s="476"/>
      <c r="UU14" s="476"/>
      <c r="UV14" s="476"/>
      <c r="UW14" s="476"/>
      <c r="UX14" s="476"/>
      <c r="UY14" s="476"/>
      <c r="UZ14" s="476"/>
      <c r="VA14" s="476"/>
      <c r="VB14" s="476"/>
      <c r="VC14" s="477"/>
      <c r="VD14" s="477"/>
      <c r="VE14" s="463"/>
      <c r="VF14" s="475"/>
      <c r="VG14" s="476"/>
      <c r="VH14" s="476"/>
      <c r="VI14" s="476"/>
      <c r="VJ14" s="476"/>
      <c r="VK14" s="476"/>
      <c r="VL14" s="476"/>
      <c r="VM14" s="476"/>
      <c r="VN14" s="476"/>
      <c r="VO14" s="476"/>
      <c r="VP14" s="476"/>
      <c r="VQ14" s="476"/>
      <c r="VR14" s="476"/>
      <c r="VS14" s="477"/>
      <c r="VT14" s="477"/>
      <c r="VU14" s="463"/>
      <c r="VV14" s="475"/>
      <c r="VW14" s="476"/>
      <c r="VX14" s="476"/>
      <c r="VY14" s="476"/>
      <c r="VZ14" s="476"/>
      <c r="WA14" s="476"/>
      <c r="WB14" s="476"/>
      <c r="WC14" s="476"/>
      <c r="WD14" s="476"/>
      <c r="WE14" s="476"/>
      <c r="WF14" s="476"/>
      <c r="WG14" s="476"/>
      <c r="WH14" s="476"/>
      <c r="WI14" s="477"/>
      <c r="WJ14" s="477"/>
      <c r="WK14" s="463"/>
      <c r="WL14" s="475"/>
      <c r="WM14" s="476"/>
      <c r="WN14" s="476"/>
      <c r="WO14" s="476"/>
      <c r="WP14" s="476"/>
      <c r="WQ14" s="476"/>
      <c r="WR14" s="476"/>
      <c r="WS14" s="476"/>
      <c r="WT14" s="476"/>
      <c r="WU14" s="476"/>
      <c r="WV14" s="476"/>
      <c r="WW14" s="476"/>
      <c r="WX14" s="476"/>
      <c r="WY14" s="477"/>
      <c r="WZ14" s="477"/>
      <c r="XA14" s="463"/>
      <c r="XB14" s="475"/>
      <c r="XC14" s="476"/>
      <c r="XD14" s="476"/>
      <c r="XE14" s="476"/>
      <c r="XF14" s="476"/>
      <c r="XG14" s="476"/>
      <c r="XH14" s="476"/>
      <c r="XI14" s="476"/>
      <c r="XJ14" s="476"/>
      <c r="XK14" s="476"/>
      <c r="XL14" s="476"/>
      <c r="XM14" s="476"/>
      <c r="XN14" s="476"/>
      <c r="XO14" s="477"/>
      <c r="XP14" s="477"/>
      <c r="XQ14" s="463"/>
      <c r="XR14" s="475"/>
      <c r="XS14" s="476"/>
      <c r="XT14" s="476"/>
      <c r="XU14" s="476"/>
      <c r="XV14" s="476"/>
      <c r="XW14" s="476"/>
      <c r="XX14" s="476"/>
      <c r="XY14" s="476"/>
      <c r="XZ14" s="476"/>
      <c r="YA14" s="476"/>
      <c r="YB14" s="476"/>
      <c r="YC14" s="476"/>
      <c r="YD14" s="476"/>
      <c r="YE14" s="477"/>
      <c r="YF14" s="477"/>
      <c r="YG14" s="463"/>
      <c r="YH14" s="475"/>
      <c r="YI14" s="476"/>
      <c r="YJ14" s="476"/>
      <c r="YK14" s="476"/>
      <c r="YL14" s="476"/>
      <c r="YM14" s="476"/>
      <c r="YN14" s="476"/>
      <c r="YO14" s="476"/>
      <c r="YP14" s="476"/>
      <c r="YQ14" s="476"/>
      <c r="YR14" s="476"/>
      <c r="YS14" s="476"/>
      <c r="YT14" s="476"/>
      <c r="YU14" s="477"/>
      <c r="YV14" s="477"/>
      <c r="YW14" s="463"/>
      <c r="YX14" s="475"/>
      <c r="YY14" s="476"/>
      <c r="YZ14" s="476"/>
      <c r="ZA14" s="476"/>
      <c r="ZB14" s="476"/>
      <c r="ZC14" s="476"/>
      <c r="ZD14" s="476"/>
      <c r="ZE14" s="476"/>
      <c r="ZF14" s="476"/>
      <c r="ZG14" s="476"/>
      <c r="ZH14" s="476"/>
      <c r="ZI14" s="476"/>
      <c r="ZJ14" s="476"/>
      <c r="ZK14" s="477"/>
      <c r="ZL14" s="477"/>
      <c r="ZM14" s="463"/>
      <c r="ZN14" s="475"/>
      <c r="ZO14" s="476"/>
      <c r="ZP14" s="476"/>
      <c r="ZQ14" s="476"/>
      <c r="ZR14" s="476"/>
      <c r="ZS14" s="476"/>
      <c r="ZT14" s="476"/>
      <c r="ZU14" s="476"/>
      <c r="ZV14" s="476"/>
      <c r="ZW14" s="476"/>
      <c r="ZX14" s="476"/>
      <c r="ZY14" s="476"/>
      <c r="ZZ14" s="476"/>
      <c r="AAA14" s="477"/>
      <c r="AAB14" s="477"/>
      <c r="AAC14" s="463"/>
      <c r="AAD14" s="475"/>
      <c r="AAE14" s="476"/>
      <c r="AAF14" s="476"/>
      <c r="AAG14" s="476"/>
      <c r="AAH14" s="476"/>
      <c r="AAI14" s="476"/>
      <c r="AAJ14" s="476"/>
      <c r="AAK14" s="476"/>
      <c r="AAL14" s="476"/>
      <c r="AAM14" s="476"/>
      <c r="AAN14" s="476"/>
      <c r="AAO14" s="476"/>
      <c r="AAP14" s="476"/>
      <c r="AAQ14" s="477"/>
      <c r="AAR14" s="477"/>
      <c r="AAS14" s="463"/>
      <c r="AAT14" s="475"/>
      <c r="AAU14" s="476"/>
      <c r="AAV14" s="476"/>
      <c r="AAW14" s="476"/>
      <c r="AAX14" s="476"/>
      <c r="AAY14" s="476"/>
      <c r="AAZ14" s="476"/>
      <c r="ABA14" s="476"/>
      <c r="ABB14" s="476"/>
      <c r="ABC14" s="476"/>
      <c r="ABD14" s="476"/>
      <c r="ABE14" s="476"/>
      <c r="ABF14" s="476"/>
      <c r="ABG14" s="477"/>
      <c r="ABH14" s="477"/>
      <c r="ABI14" s="463"/>
      <c r="ABJ14" s="475"/>
      <c r="ABK14" s="476"/>
      <c r="ABL14" s="476"/>
      <c r="ABM14" s="476"/>
      <c r="ABN14" s="476"/>
      <c r="ABO14" s="476"/>
      <c r="ABP14" s="476"/>
      <c r="ABQ14" s="476"/>
      <c r="ABR14" s="476"/>
      <c r="ABS14" s="476"/>
      <c r="ABT14" s="476"/>
      <c r="ABU14" s="476"/>
      <c r="ABV14" s="476"/>
      <c r="ABW14" s="477"/>
      <c r="ABX14" s="477"/>
      <c r="ABY14" s="463"/>
      <c r="ABZ14" s="475"/>
      <c r="ACA14" s="476"/>
      <c r="ACB14" s="476"/>
      <c r="ACC14" s="476"/>
      <c r="ACD14" s="476"/>
      <c r="ACE14" s="476"/>
      <c r="ACF14" s="476"/>
      <c r="ACG14" s="476"/>
      <c r="ACH14" s="476"/>
      <c r="ACI14" s="476"/>
      <c r="ACJ14" s="476"/>
      <c r="ACK14" s="476"/>
      <c r="ACL14" s="476"/>
      <c r="ACM14" s="477"/>
      <c r="ACN14" s="477"/>
      <c r="ACO14" s="463"/>
      <c r="ACP14" s="475"/>
      <c r="ACQ14" s="476"/>
      <c r="ACR14" s="476"/>
      <c r="ACS14" s="476"/>
      <c r="ACT14" s="476"/>
      <c r="ACU14" s="476"/>
      <c r="ACV14" s="476"/>
      <c r="ACW14" s="476"/>
      <c r="ACX14" s="476"/>
      <c r="ACY14" s="476"/>
      <c r="ACZ14" s="476"/>
      <c r="ADA14" s="476"/>
      <c r="ADB14" s="476"/>
      <c r="ADC14" s="477"/>
      <c r="ADD14" s="477"/>
      <c r="ADE14" s="463"/>
      <c r="ADF14" s="475"/>
      <c r="ADG14" s="476"/>
      <c r="ADH14" s="476"/>
      <c r="ADI14" s="476"/>
      <c r="ADJ14" s="476"/>
      <c r="ADK14" s="476"/>
      <c r="ADL14" s="476"/>
      <c r="ADM14" s="476"/>
      <c r="ADN14" s="476"/>
      <c r="ADO14" s="476"/>
      <c r="ADP14" s="476"/>
      <c r="ADQ14" s="476"/>
      <c r="ADR14" s="476"/>
      <c r="ADS14" s="477"/>
      <c r="ADT14" s="477"/>
      <c r="ADU14" s="463"/>
      <c r="ADV14" s="475"/>
      <c r="ADW14" s="476"/>
      <c r="ADX14" s="476"/>
      <c r="ADY14" s="476"/>
      <c r="ADZ14" s="476"/>
      <c r="AEA14" s="476"/>
      <c r="AEB14" s="476"/>
      <c r="AEC14" s="476"/>
      <c r="AED14" s="476"/>
      <c r="AEE14" s="476"/>
      <c r="AEF14" s="476"/>
      <c r="AEG14" s="476"/>
      <c r="AEH14" s="476"/>
      <c r="AEI14" s="477"/>
      <c r="AEJ14" s="477"/>
      <c r="AEK14" s="463"/>
      <c r="AEL14" s="475"/>
      <c r="AEM14" s="476"/>
      <c r="AEN14" s="476"/>
      <c r="AEO14" s="476"/>
      <c r="AEP14" s="476"/>
      <c r="AEQ14" s="476"/>
      <c r="AER14" s="476"/>
      <c r="AES14" s="476"/>
      <c r="AET14" s="476"/>
      <c r="AEU14" s="476"/>
      <c r="AEV14" s="476"/>
      <c r="AEW14" s="476"/>
      <c r="AEX14" s="476"/>
      <c r="AEY14" s="477"/>
      <c r="AEZ14" s="477"/>
      <c r="AFA14" s="463"/>
      <c r="AFB14" s="475"/>
      <c r="AFC14" s="476"/>
      <c r="AFD14" s="476"/>
      <c r="AFE14" s="476"/>
      <c r="AFF14" s="476"/>
      <c r="AFG14" s="476"/>
      <c r="AFH14" s="476"/>
      <c r="AFI14" s="476"/>
      <c r="AFJ14" s="476"/>
      <c r="AFK14" s="476"/>
      <c r="AFL14" s="476"/>
      <c r="AFM14" s="476"/>
      <c r="AFN14" s="476"/>
      <c r="AFO14" s="477"/>
      <c r="AFP14" s="477"/>
      <c r="AFQ14" s="463"/>
      <c r="AFR14" s="475"/>
      <c r="AFS14" s="476"/>
      <c r="AFT14" s="476"/>
      <c r="AFU14" s="476"/>
      <c r="AFV14" s="476"/>
      <c r="AFW14" s="476"/>
      <c r="AFX14" s="476"/>
      <c r="AFY14" s="476"/>
      <c r="AFZ14" s="476"/>
      <c r="AGA14" s="476"/>
      <c r="AGB14" s="476"/>
      <c r="AGC14" s="476"/>
      <c r="AGD14" s="476"/>
      <c r="AGE14" s="477"/>
      <c r="AGF14" s="477"/>
      <c r="AGG14" s="463"/>
      <c r="AGH14" s="475"/>
      <c r="AGI14" s="476"/>
      <c r="AGJ14" s="476"/>
      <c r="AGK14" s="476"/>
      <c r="AGL14" s="476"/>
      <c r="AGM14" s="476"/>
      <c r="AGN14" s="476"/>
      <c r="AGO14" s="476"/>
      <c r="AGP14" s="476"/>
      <c r="AGQ14" s="476"/>
      <c r="AGR14" s="476"/>
      <c r="AGS14" s="476"/>
      <c r="AGT14" s="476"/>
      <c r="AGU14" s="477"/>
      <c r="AGV14" s="477"/>
      <c r="AGW14" s="463"/>
      <c r="AGX14" s="475"/>
      <c r="AGY14" s="476"/>
      <c r="AGZ14" s="476"/>
      <c r="AHA14" s="476"/>
      <c r="AHB14" s="476"/>
      <c r="AHC14" s="476"/>
      <c r="AHD14" s="476"/>
      <c r="AHE14" s="476"/>
      <c r="AHF14" s="476"/>
      <c r="AHG14" s="476"/>
      <c r="AHH14" s="476"/>
      <c r="AHI14" s="476"/>
      <c r="AHJ14" s="476"/>
      <c r="AHK14" s="477"/>
      <c r="AHL14" s="477"/>
      <c r="AHM14" s="463"/>
      <c r="AHN14" s="475"/>
      <c r="AHO14" s="476"/>
      <c r="AHP14" s="476"/>
      <c r="AHQ14" s="476"/>
      <c r="AHR14" s="476"/>
      <c r="AHS14" s="476"/>
      <c r="AHT14" s="476"/>
      <c r="AHU14" s="476"/>
      <c r="AHV14" s="476"/>
      <c r="AHW14" s="476"/>
      <c r="AHX14" s="476"/>
      <c r="AHY14" s="476"/>
      <c r="AHZ14" s="476"/>
      <c r="AIA14" s="477"/>
      <c r="AIB14" s="477"/>
      <c r="AIC14" s="463"/>
      <c r="AID14" s="475"/>
      <c r="AIE14" s="476"/>
      <c r="AIF14" s="476"/>
      <c r="AIG14" s="476"/>
      <c r="AIH14" s="476"/>
      <c r="AII14" s="476"/>
      <c r="AIJ14" s="476"/>
      <c r="AIK14" s="476"/>
      <c r="AIL14" s="476"/>
      <c r="AIM14" s="476"/>
      <c r="AIN14" s="476"/>
      <c r="AIO14" s="476"/>
      <c r="AIP14" s="476"/>
      <c r="AIQ14" s="477"/>
      <c r="AIR14" s="477"/>
      <c r="AIS14" s="463"/>
      <c r="AIT14" s="475"/>
      <c r="AIU14" s="476"/>
      <c r="AIV14" s="476"/>
      <c r="AIW14" s="476"/>
      <c r="AIX14" s="476"/>
      <c r="AIY14" s="476"/>
      <c r="AIZ14" s="476"/>
      <c r="AJA14" s="476"/>
      <c r="AJB14" s="476"/>
      <c r="AJC14" s="476"/>
      <c r="AJD14" s="476"/>
      <c r="AJE14" s="476"/>
      <c r="AJF14" s="476"/>
      <c r="AJG14" s="477"/>
      <c r="AJH14" s="477"/>
      <c r="AJI14" s="463"/>
      <c r="AJJ14" s="475"/>
      <c r="AJK14" s="476"/>
      <c r="AJL14" s="476"/>
      <c r="AJM14" s="476"/>
      <c r="AJN14" s="476"/>
      <c r="AJO14" s="476"/>
      <c r="AJP14" s="476"/>
      <c r="AJQ14" s="476"/>
      <c r="AJR14" s="476"/>
      <c r="AJS14" s="476"/>
      <c r="AJT14" s="476"/>
      <c r="AJU14" s="476"/>
      <c r="AJV14" s="476"/>
      <c r="AJW14" s="477"/>
      <c r="AJX14" s="477"/>
      <c r="AJY14" s="463"/>
      <c r="AJZ14" s="475"/>
      <c r="AKA14" s="476"/>
      <c r="AKB14" s="476"/>
      <c r="AKC14" s="476"/>
      <c r="AKD14" s="476"/>
      <c r="AKE14" s="476"/>
      <c r="AKF14" s="476"/>
      <c r="AKG14" s="476"/>
      <c r="AKH14" s="476"/>
      <c r="AKI14" s="476"/>
      <c r="AKJ14" s="476"/>
      <c r="AKK14" s="476"/>
      <c r="AKL14" s="476"/>
      <c r="AKM14" s="477"/>
      <c r="AKN14" s="477"/>
      <c r="AKO14" s="463"/>
      <c r="AKP14" s="475"/>
      <c r="AKQ14" s="476"/>
      <c r="AKR14" s="476"/>
      <c r="AKS14" s="476"/>
      <c r="AKT14" s="476"/>
      <c r="AKU14" s="476"/>
      <c r="AKV14" s="476"/>
      <c r="AKW14" s="476"/>
      <c r="AKX14" s="476"/>
      <c r="AKY14" s="476"/>
      <c r="AKZ14" s="476"/>
      <c r="ALA14" s="476"/>
      <c r="ALB14" s="476"/>
      <c r="ALC14" s="477"/>
      <c r="ALD14" s="477"/>
      <c r="ALE14" s="463"/>
      <c r="ALF14" s="475"/>
      <c r="ALG14" s="476"/>
      <c r="ALH14" s="476"/>
      <c r="ALI14" s="476"/>
      <c r="ALJ14" s="476"/>
      <c r="ALK14" s="476"/>
      <c r="ALL14" s="476"/>
      <c r="ALM14" s="476"/>
      <c r="ALN14" s="476"/>
      <c r="ALO14" s="476"/>
      <c r="ALP14" s="476"/>
      <c r="ALQ14" s="476"/>
      <c r="ALR14" s="476"/>
      <c r="ALS14" s="477"/>
      <c r="ALT14" s="477"/>
      <c r="ALU14" s="463"/>
      <c r="ALV14" s="475"/>
      <c r="ALW14" s="476"/>
      <c r="ALX14" s="476"/>
      <c r="ALY14" s="476"/>
      <c r="ALZ14" s="476"/>
      <c r="AMA14" s="476"/>
      <c r="AMB14" s="476"/>
      <c r="AMC14" s="476"/>
      <c r="AMD14" s="476"/>
      <c r="AME14" s="476"/>
      <c r="AMF14" s="476"/>
      <c r="AMG14" s="476"/>
      <c r="AMH14" s="476"/>
      <c r="AMI14" s="477"/>
      <c r="AMJ14" s="477"/>
      <c r="AMK14" s="463"/>
      <c r="AML14" s="475"/>
      <c r="AMM14" s="476"/>
      <c r="AMN14" s="476"/>
      <c r="AMO14" s="476"/>
      <c r="AMP14" s="476"/>
      <c r="AMQ14" s="476"/>
      <c r="AMR14" s="476"/>
      <c r="AMS14" s="476"/>
      <c r="AMT14" s="476"/>
      <c r="AMU14" s="476"/>
      <c r="AMV14" s="476"/>
      <c r="AMW14" s="476"/>
      <c r="AMX14" s="476"/>
      <c r="AMY14" s="477"/>
      <c r="AMZ14" s="477"/>
      <c r="ANA14" s="463"/>
      <c r="ANB14" s="475"/>
      <c r="ANC14" s="476"/>
      <c r="AND14" s="476"/>
      <c r="ANE14" s="476"/>
      <c r="ANF14" s="476"/>
      <c r="ANG14" s="476"/>
      <c r="ANH14" s="476"/>
      <c r="ANI14" s="476"/>
      <c r="ANJ14" s="476"/>
      <c r="ANK14" s="476"/>
      <c r="ANL14" s="476"/>
      <c r="ANM14" s="476"/>
      <c r="ANN14" s="476"/>
      <c r="ANO14" s="477"/>
      <c r="ANP14" s="477"/>
      <c r="ANQ14" s="463"/>
      <c r="ANR14" s="475"/>
      <c r="ANS14" s="476"/>
      <c r="ANT14" s="476"/>
      <c r="ANU14" s="476"/>
      <c r="ANV14" s="476"/>
      <c r="ANW14" s="476"/>
      <c r="ANX14" s="476"/>
      <c r="ANY14" s="476"/>
      <c r="ANZ14" s="476"/>
      <c r="AOA14" s="476"/>
      <c r="AOB14" s="476"/>
      <c r="AOC14" s="476"/>
      <c r="AOD14" s="476"/>
      <c r="AOE14" s="477"/>
      <c r="AOF14" s="477"/>
      <c r="AOG14" s="463"/>
      <c r="AOH14" s="475"/>
      <c r="AOI14" s="476"/>
      <c r="AOJ14" s="476"/>
      <c r="AOK14" s="476"/>
      <c r="AOL14" s="476"/>
      <c r="AOM14" s="476"/>
      <c r="AON14" s="476"/>
      <c r="AOO14" s="476"/>
      <c r="AOP14" s="476"/>
      <c r="AOQ14" s="476"/>
      <c r="AOR14" s="476"/>
      <c r="AOS14" s="476"/>
      <c r="AOT14" s="476"/>
      <c r="AOU14" s="477"/>
      <c r="AOV14" s="477"/>
      <c r="AOW14" s="463"/>
      <c r="AOX14" s="475"/>
      <c r="AOY14" s="476"/>
      <c r="AOZ14" s="476"/>
      <c r="APA14" s="476"/>
      <c r="APB14" s="476"/>
      <c r="APC14" s="476"/>
      <c r="APD14" s="476"/>
      <c r="APE14" s="476"/>
      <c r="APF14" s="476"/>
      <c r="APG14" s="476"/>
      <c r="APH14" s="476"/>
      <c r="API14" s="476"/>
      <c r="APJ14" s="476"/>
      <c r="APK14" s="477"/>
      <c r="APL14" s="477"/>
      <c r="APM14" s="463"/>
      <c r="APN14" s="475"/>
      <c r="APO14" s="476"/>
      <c r="APP14" s="476"/>
      <c r="APQ14" s="476"/>
      <c r="APR14" s="476"/>
      <c r="APS14" s="476"/>
      <c r="APT14" s="476"/>
      <c r="APU14" s="476"/>
      <c r="APV14" s="476"/>
      <c r="APW14" s="476"/>
      <c r="APX14" s="476"/>
      <c r="APY14" s="476"/>
      <c r="APZ14" s="476"/>
      <c r="AQA14" s="477"/>
      <c r="AQB14" s="477"/>
      <c r="AQC14" s="463"/>
      <c r="AQD14" s="475"/>
      <c r="AQE14" s="476"/>
      <c r="AQF14" s="476"/>
      <c r="AQG14" s="476"/>
      <c r="AQH14" s="476"/>
      <c r="AQI14" s="476"/>
      <c r="AQJ14" s="476"/>
      <c r="AQK14" s="476"/>
      <c r="AQL14" s="476"/>
      <c r="AQM14" s="476"/>
      <c r="AQN14" s="476"/>
      <c r="AQO14" s="476"/>
      <c r="AQP14" s="476"/>
      <c r="AQQ14" s="477"/>
      <c r="AQR14" s="477"/>
      <c r="AQS14" s="463"/>
      <c r="AQT14" s="475"/>
      <c r="AQU14" s="476"/>
      <c r="AQV14" s="476"/>
      <c r="AQW14" s="476"/>
      <c r="AQX14" s="476"/>
      <c r="AQY14" s="476"/>
      <c r="AQZ14" s="476"/>
      <c r="ARA14" s="476"/>
      <c r="ARB14" s="476"/>
      <c r="ARC14" s="476"/>
      <c r="ARD14" s="476"/>
      <c r="ARE14" s="476"/>
      <c r="ARF14" s="476"/>
      <c r="ARG14" s="477"/>
      <c r="ARH14" s="477"/>
      <c r="ARI14" s="463"/>
      <c r="ARJ14" s="475"/>
      <c r="ARK14" s="476"/>
      <c r="ARL14" s="476"/>
      <c r="ARM14" s="476"/>
      <c r="ARN14" s="476"/>
      <c r="ARO14" s="476"/>
      <c r="ARP14" s="476"/>
      <c r="ARQ14" s="476"/>
      <c r="ARR14" s="476"/>
      <c r="ARS14" s="476"/>
      <c r="ART14" s="476"/>
      <c r="ARU14" s="476"/>
      <c r="ARV14" s="476"/>
      <c r="ARW14" s="477"/>
      <c r="ARX14" s="477"/>
      <c r="ARY14" s="463"/>
      <c r="ARZ14" s="475"/>
      <c r="ASA14" s="476"/>
      <c r="ASB14" s="476"/>
      <c r="ASC14" s="476"/>
      <c r="ASD14" s="476"/>
      <c r="ASE14" s="476"/>
      <c r="ASF14" s="476"/>
      <c r="ASG14" s="476"/>
      <c r="ASH14" s="476"/>
      <c r="ASI14" s="476"/>
      <c r="ASJ14" s="476"/>
      <c r="ASK14" s="476"/>
      <c r="ASL14" s="476"/>
      <c r="ASM14" s="477"/>
      <c r="ASN14" s="477"/>
      <c r="ASO14" s="463"/>
      <c r="ASP14" s="475"/>
      <c r="ASQ14" s="476"/>
      <c r="ASR14" s="476"/>
      <c r="ASS14" s="476"/>
      <c r="AST14" s="476"/>
      <c r="ASU14" s="476"/>
      <c r="ASV14" s="476"/>
      <c r="ASW14" s="476"/>
      <c r="ASX14" s="476"/>
      <c r="ASY14" s="476"/>
      <c r="ASZ14" s="476"/>
      <c r="ATA14" s="476"/>
      <c r="ATB14" s="476"/>
      <c r="ATC14" s="477"/>
      <c r="ATD14" s="477"/>
      <c r="ATE14" s="463"/>
      <c r="ATF14" s="475"/>
      <c r="ATG14" s="476"/>
      <c r="ATH14" s="476"/>
      <c r="ATI14" s="476"/>
      <c r="ATJ14" s="476"/>
      <c r="ATK14" s="476"/>
      <c r="ATL14" s="476"/>
      <c r="ATM14" s="476"/>
      <c r="ATN14" s="476"/>
      <c r="ATO14" s="476"/>
      <c r="ATP14" s="476"/>
      <c r="ATQ14" s="476"/>
      <c r="ATR14" s="476"/>
      <c r="ATS14" s="477"/>
      <c r="ATT14" s="477"/>
      <c r="ATU14" s="463"/>
      <c r="ATV14" s="475"/>
      <c r="ATW14" s="476"/>
      <c r="ATX14" s="476"/>
      <c r="ATY14" s="476"/>
      <c r="ATZ14" s="476"/>
      <c r="AUA14" s="476"/>
      <c r="AUB14" s="476"/>
      <c r="AUC14" s="476"/>
      <c r="AUD14" s="476"/>
      <c r="AUE14" s="476"/>
      <c r="AUF14" s="476"/>
      <c r="AUG14" s="476"/>
      <c r="AUH14" s="476"/>
      <c r="AUI14" s="477"/>
      <c r="AUJ14" s="477"/>
      <c r="AUK14" s="463"/>
      <c r="AUL14" s="475"/>
      <c r="AUM14" s="476"/>
      <c r="AUN14" s="476"/>
      <c r="AUO14" s="476"/>
      <c r="AUP14" s="476"/>
      <c r="AUQ14" s="476"/>
      <c r="AUR14" s="476"/>
      <c r="AUS14" s="476"/>
      <c r="AUT14" s="476"/>
      <c r="AUU14" s="476"/>
      <c r="AUV14" s="476"/>
      <c r="AUW14" s="476"/>
      <c r="AUX14" s="476"/>
      <c r="AUY14" s="477"/>
      <c r="AUZ14" s="477"/>
      <c r="AVA14" s="463"/>
      <c r="AVB14" s="475"/>
      <c r="AVC14" s="476"/>
      <c r="AVD14" s="476"/>
      <c r="AVE14" s="476"/>
      <c r="AVF14" s="476"/>
      <c r="AVG14" s="476"/>
      <c r="AVH14" s="476"/>
      <c r="AVI14" s="476"/>
      <c r="AVJ14" s="476"/>
      <c r="AVK14" s="476"/>
      <c r="AVL14" s="476"/>
      <c r="AVM14" s="476"/>
      <c r="AVN14" s="476"/>
      <c r="AVO14" s="477"/>
      <c r="AVP14" s="477"/>
      <c r="AVQ14" s="463"/>
      <c r="AVR14" s="475"/>
      <c r="AVS14" s="476"/>
      <c r="AVT14" s="476"/>
      <c r="AVU14" s="476"/>
      <c r="AVV14" s="476"/>
      <c r="AVW14" s="476"/>
      <c r="AVX14" s="476"/>
      <c r="AVY14" s="476"/>
      <c r="AVZ14" s="476"/>
      <c r="AWA14" s="476"/>
      <c r="AWB14" s="476"/>
      <c r="AWC14" s="476"/>
      <c r="AWD14" s="476"/>
      <c r="AWE14" s="477"/>
      <c r="AWF14" s="477"/>
      <c r="AWG14" s="463"/>
      <c r="AWH14" s="475"/>
      <c r="AWI14" s="476"/>
      <c r="AWJ14" s="476"/>
      <c r="AWK14" s="476"/>
      <c r="AWL14" s="476"/>
      <c r="AWM14" s="476"/>
      <c r="AWN14" s="476"/>
      <c r="AWO14" s="476"/>
      <c r="AWP14" s="476"/>
      <c r="AWQ14" s="476"/>
      <c r="AWR14" s="476"/>
      <c r="AWS14" s="476"/>
      <c r="AWT14" s="476"/>
      <c r="AWU14" s="477"/>
      <c r="AWV14" s="477"/>
      <c r="AWW14" s="463"/>
      <c r="AWX14" s="475"/>
      <c r="AWY14" s="476"/>
      <c r="AWZ14" s="476"/>
      <c r="AXA14" s="476"/>
      <c r="AXB14" s="476"/>
      <c r="AXC14" s="476"/>
      <c r="AXD14" s="476"/>
      <c r="AXE14" s="476"/>
      <c r="AXF14" s="476"/>
      <c r="AXG14" s="476"/>
      <c r="AXH14" s="476"/>
      <c r="AXI14" s="476"/>
      <c r="AXJ14" s="476"/>
      <c r="AXK14" s="477"/>
      <c r="AXL14" s="477"/>
      <c r="AXM14" s="463"/>
      <c r="AXN14" s="475"/>
      <c r="AXO14" s="476"/>
      <c r="AXP14" s="476"/>
      <c r="AXQ14" s="476"/>
      <c r="AXR14" s="476"/>
      <c r="AXS14" s="476"/>
      <c r="AXT14" s="476"/>
      <c r="AXU14" s="476"/>
      <c r="AXV14" s="476"/>
      <c r="AXW14" s="476"/>
      <c r="AXX14" s="476"/>
      <c r="AXY14" s="476"/>
      <c r="AXZ14" s="476"/>
      <c r="AYA14" s="477"/>
      <c r="AYB14" s="477"/>
      <c r="AYC14" s="463"/>
      <c r="AYD14" s="475"/>
      <c r="AYE14" s="476"/>
      <c r="AYF14" s="476"/>
      <c r="AYG14" s="476"/>
      <c r="AYH14" s="476"/>
      <c r="AYI14" s="476"/>
      <c r="AYJ14" s="476"/>
      <c r="AYK14" s="476"/>
      <c r="AYL14" s="476"/>
      <c r="AYM14" s="476"/>
      <c r="AYN14" s="476"/>
      <c r="AYO14" s="476"/>
      <c r="AYP14" s="476"/>
      <c r="AYQ14" s="477"/>
      <c r="AYR14" s="477"/>
      <c r="AYS14" s="463"/>
      <c r="AYT14" s="475"/>
      <c r="AYU14" s="476"/>
      <c r="AYV14" s="476"/>
      <c r="AYW14" s="476"/>
      <c r="AYX14" s="476"/>
      <c r="AYY14" s="476"/>
      <c r="AYZ14" s="476"/>
      <c r="AZA14" s="476"/>
      <c r="AZB14" s="476"/>
      <c r="AZC14" s="476"/>
      <c r="AZD14" s="476"/>
      <c r="AZE14" s="476"/>
      <c r="AZF14" s="476"/>
      <c r="AZG14" s="477"/>
      <c r="AZH14" s="477"/>
      <c r="AZI14" s="463"/>
      <c r="AZJ14" s="475"/>
      <c r="AZK14" s="476"/>
      <c r="AZL14" s="476"/>
      <c r="AZM14" s="476"/>
      <c r="AZN14" s="476"/>
      <c r="AZO14" s="476"/>
      <c r="AZP14" s="476"/>
      <c r="AZQ14" s="476"/>
      <c r="AZR14" s="476"/>
      <c r="AZS14" s="476"/>
      <c r="AZT14" s="476"/>
      <c r="AZU14" s="476"/>
      <c r="AZV14" s="476"/>
      <c r="AZW14" s="477"/>
      <c r="AZX14" s="477"/>
      <c r="AZY14" s="463"/>
      <c r="AZZ14" s="475"/>
      <c r="BAA14" s="476"/>
      <c r="BAB14" s="476"/>
      <c r="BAC14" s="476"/>
      <c r="BAD14" s="476"/>
      <c r="BAE14" s="476"/>
      <c r="BAF14" s="476"/>
      <c r="BAG14" s="476"/>
      <c r="BAH14" s="476"/>
      <c r="BAI14" s="476"/>
      <c r="BAJ14" s="476"/>
      <c r="BAK14" s="476"/>
      <c r="BAL14" s="476"/>
      <c r="BAM14" s="477"/>
      <c r="BAN14" s="477"/>
      <c r="BAO14" s="463"/>
      <c r="BAP14" s="475"/>
      <c r="BAQ14" s="476"/>
      <c r="BAR14" s="476"/>
      <c r="BAS14" s="476"/>
      <c r="BAT14" s="476"/>
      <c r="BAU14" s="476"/>
      <c r="BAV14" s="476"/>
      <c r="BAW14" s="476"/>
      <c r="BAX14" s="476"/>
      <c r="BAY14" s="476"/>
      <c r="BAZ14" s="476"/>
      <c r="BBA14" s="476"/>
      <c r="BBB14" s="476"/>
      <c r="BBC14" s="477"/>
      <c r="BBD14" s="477"/>
      <c r="BBE14" s="463"/>
      <c r="BBF14" s="475"/>
      <c r="BBG14" s="476"/>
      <c r="BBH14" s="476"/>
      <c r="BBI14" s="476"/>
      <c r="BBJ14" s="476"/>
      <c r="BBK14" s="476"/>
      <c r="BBL14" s="476"/>
      <c r="BBM14" s="476"/>
      <c r="BBN14" s="476"/>
      <c r="BBO14" s="476"/>
      <c r="BBP14" s="476"/>
      <c r="BBQ14" s="476"/>
      <c r="BBR14" s="476"/>
      <c r="BBS14" s="477"/>
      <c r="BBT14" s="477"/>
      <c r="BBU14" s="463"/>
      <c r="BBV14" s="475"/>
      <c r="BBW14" s="476"/>
      <c r="BBX14" s="476"/>
      <c r="BBY14" s="476"/>
      <c r="BBZ14" s="476"/>
      <c r="BCA14" s="476"/>
      <c r="BCB14" s="476"/>
      <c r="BCC14" s="476"/>
      <c r="BCD14" s="476"/>
      <c r="BCE14" s="476"/>
      <c r="BCF14" s="476"/>
      <c r="BCG14" s="476"/>
      <c r="BCH14" s="476"/>
      <c r="BCI14" s="477"/>
      <c r="BCJ14" s="477"/>
      <c r="BCK14" s="463"/>
      <c r="BCL14" s="475"/>
      <c r="BCM14" s="476"/>
      <c r="BCN14" s="476"/>
      <c r="BCO14" s="476"/>
      <c r="BCP14" s="476"/>
      <c r="BCQ14" s="476"/>
      <c r="BCR14" s="476"/>
      <c r="BCS14" s="476"/>
      <c r="BCT14" s="476"/>
      <c r="BCU14" s="476"/>
      <c r="BCV14" s="476"/>
      <c r="BCW14" s="476"/>
      <c r="BCX14" s="476"/>
      <c r="BCY14" s="477"/>
      <c r="BCZ14" s="477"/>
      <c r="BDA14" s="463"/>
      <c r="BDB14" s="475"/>
      <c r="BDC14" s="476"/>
      <c r="BDD14" s="476"/>
      <c r="BDE14" s="476"/>
      <c r="BDF14" s="476"/>
      <c r="BDG14" s="476"/>
      <c r="BDH14" s="476"/>
      <c r="BDI14" s="476"/>
      <c r="BDJ14" s="476"/>
      <c r="BDK14" s="476"/>
      <c r="BDL14" s="476"/>
      <c r="BDM14" s="476"/>
      <c r="BDN14" s="476"/>
      <c r="BDO14" s="477"/>
      <c r="BDP14" s="477"/>
      <c r="BDQ14" s="463"/>
      <c r="BDR14" s="475"/>
      <c r="BDS14" s="476"/>
      <c r="BDT14" s="476"/>
      <c r="BDU14" s="476"/>
      <c r="BDV14" s="476"/>
      <c r="BDW14" s="476"/>
      <c r="BDX14" s="476"/>
      <c r="BDY14" s="476"/>
      <c r="BDZ14" s="476"/>
      <c r="BEA14" s="476"/>
      <c r="BEB14" s="476"/>
      <c r="BEC14" s="476"/>
      <c r="BED14" s="476"/>
      <c r="BEE14" s="477"/>
      <c r="BEF14" s="477"/>
      <c r="BEG14" s="463"/>
      <c r="BEH14" s="475"/>
      <c r="BEI14" s="476"/>
      <c r="BEJ14" s="476"/>
      <c r="BEK14" s="476"/>
      <c r="BEL14" s="476"/>
      <c r="BEM14" s="476"/>
      <c r="BEN14" s="476"/>
      <c r="BEO14" s="476"/>
      <c r="BEP14" s="476"/>
      <c r="BEQ14" s="476"/>
      <c r="BER14" s="476"/>
      <c r="BES14" s="476"/>
      <c r="BET14" s="476"/>
      <c r="BEU14" s="477"/>
      <c r="BEV14" s="477"/>
      <c r="BEW14" s="463"/>
      <c r="BEX14" s="475"/>
      <c r="BEY14" s="476"/>
      <c r="BEZ14" s="476"/>
      <c r="BFA14" s="476"/>
      <c r="BFB14" s="476"/>
      <c r="BFC14" s="476"/>
      <c r="BFD14" s="476"/>
      <c r="BFE14" s="476"/>
      <c r="BFF14" s="476"/>
      <c r="BFG14" s="476"/>
      <c r="BFH14" s="476"/>
      <c r="BFI14" s="476"/>
      <c r="BFJ14" s="476"/>
      <c r="BFK14" s="477"/>
      <c r="BFL14" s="477"/>
      <c r="BFM14" s="463"/>
      <c r="BFN14" s="475"/>
      <c r="BFO14" s="476"/>
      <c r="BFP14" s="476"/>
      <c r="BFQ14" s="476"/>
      <c r="BFR14" s="476"/>
      <c r="BFS14" s="476"/>
      <c r="BFT14" s="476"/>
      <c r="BFU14" s="476"/>
      <c r="BFV14" s="476"/>
      <c r="BFW14" s="476"/>
      <c r="BFX14" s="476"/>
      <c r="BFY14" s="476"/>
      <c r="BFZ14" s="476"/>
      <c r="BGA14" s="477"/>
      <c r="BGB14" s="477"/>
      <c r="BGC14" s="463"/>
      <c r="BGD14" s="475"/>
      <c r="BGE14" s="476"/>
      <c r="BGF14" s="476"/>
      <c r="BGG14" s="476"/>
      <c r="BGH14" s="476"/>
      <c r="BGI14" s="476"/>
      <c r="BGJ14" s="476"/>
      <c r="BGK14" s="476"/>
      <c r="BGL14" s="476"/>
      <c r="BGM14" s="476"/>
      <c r="BGN14" s="476"/>
      <c r="BGO14" s="476"/>
      <c r="BGP14" s="476"/>
      <c r="BGQ14" s="477"/>
      <c r="BGR14" s="477"/>
      <c r="BGS14" s="463"/>
      <c r="BGT14" s="475"/>
      <c r="BGU14" s="476"/>
      <c r="BGV14" s="476"/>
      <c r="BGW14" s="476"/>
      <c r="BGX14" s="476"/>
      <c r="BGY14" s="476"/>
      <c r="BGZ14" s="476"/>
      <c r="BHA14" s="476"/>
      <c r="BHB14" s="476"/>
      <c r="BHC14" s="476"/>
      <c r="BHD14" s="476"/>
      <c r="BHE14" s="476"/>
      <c r="BHF14" s="476"/>
      <c r="BHG14" s="477"/>
      <c r="BHH14" s="477"/>
      <c r="BHI14" s="463"/>
      <c r="BHJ14" s="475"/>
      <c r="BHK14" s="476"/>
      <c r="BHL14" s="476"/>
      <c r="BHM14" s="476"/>
      <c r="BHN14" s="476"/>
      <c r="BHO14" s="476"/>
      <c r="BHP14" s="476"/>
      <c r="BHQ14" s="476"/>
      <c r="BHR14" s="476"/>
      <c r="BHS14" s="476"/>
      <c r="BHT14" s="476"/>
      <c r="BHU14" s="476"/>
      <c r="BHV14" s="476"/>
      <c r="BHW14" s="477"/>
      <c r="BHX14" s="477"/>
      <c r="BHY14" s="463"/>
      <c r="BHZ14" s="475"/>
      <c r="BIA14" s="476"/>
      <c r="BIB14" s="476"/>
      <c r="BIC14" s="476"/>
      <c r="BID14" s="476"/>
      <c r="BIE14" s="476"/>
      <c r="BIF14" s="476"/>
      <c r="BIG14" s="476"/>
      <c r="BIH14" s="476"/>
      <c r="BII14" s="476"/>
      <c r="BIJ14" s="476"/>
      <c r="BIK14" s="476"/>
      <c r="BIL14" s="476"/>
      <c r="BIM14" s="477"/>
      <c r="BIN14" s="477"/>
      <c r="BIO14" s="463"/>
      <c r="BIP14" s="475"/>
      <c r="BIQ14" s="476"/>
      <c r="BIR14" s="476"/>
      <c r="BIS14" s="476"/>
      <c r="BIT14" s="476"/>
      <c r="BIU14" s="476"/>
      <c r="BIV14" s="476"/>
      <c r="BIW14" s="476"/>
      <c r="BIX14" s="476"/>
      <c r="BIY14" s="476"/>
      <c r="BIZ14" s="476"/>
      <c r="BJA14" s="476"/>
      <c r="BJB14" s="476"/>
      <c r="BJC14" s="477"/>
      <c r="BJD14" s="477"/>
      <c r="BJE14" s="463"/>
      <c r="BJF14" s="475"/>
      <c r="BJG14" s="476"/>
      <c r="BJH14" s="476"/>
      <c r="BJI14" s="476"/>
      <c r="BJJ14" s="476"/>
      <c r="BJK14" s="476"/>
      <c r="BJL14" s="476"/>
      <c r="BJM14" s="476"/>
      <c r="BJN14" s="476"/>
      <c r="BJO14" s="476"/>
      <c r="BJP14" s="476"/>
      <c r="BJQ14" s="476"/>
      <c r="BJR14" s="476"/>
      <c r="BJS14" s="477"/>
      <c r="BJT14" s="477"/>
      <c r="BJU14" s="463"/>
      <c r="BJV14" s="475"/>
      <c r="BJW14" s="476"/>
      <c r="BJX14" s="476"/>
      <c r="BJY14" s="476"/>
      <c r="BJZ14" s="476"/>
      <c r="BKA14" s="476"/>
      <c r="BKB14" s="476"/>
      <c r="BKC14" s="476"/>
      <c r="BKD14" s="476"/>
      <c r="BKE14" s="476"/>
      <c r="BKF14" s="476"/>
      <c r="BKG14" s="476"/>
      <c r="BKH14" s="476"/>
      <c r="BKI14" s="477"/>
      <c r="BKJ14" s="477"/>
      <c r="BKK14" s="463"/>
      <c r="BKL14" s="475"/>
      <c r="BKM14" s="476"/>
      <c r="BKN14" s="476"/>
      <c r="BKO14" s="476"/>
      <c r="BKP14" s="476"/>
      <c r="BKQ14" s="476"/>
      <c r="BKR14" s="476"/>
      <c r="BKS14" s="476"/>
      <c r="BKT14" s="476"/>
      <c r="BKU14" s="476"/>
      <c r="BKV14" s="476"/>
      <c r="BKW14" s="476"/>
      <c r="BKX14" s="476"/>
      <c r="BKY14" s="477"/>
      <c r="BKZ14" s="477"/>
      <c r="BLA14" s="463"/>
      <c r="BLB14" s="475"/>
      <c r="BLC14" s="476"/>
      <c r="BLD14" s="476"/>
      <c r="BLE14" s="476"/>
      <c r="BLF14" s="476"/>
      <c r="BLG14" s="476"/>
      <c r="BLH14" s="476"/>
      <c r="BLI14" s="476"/>
      <c r="BLJ14" s="476"/>
      <c r="BLK14" s="476"/>
      <c r="BLL14" s="476"/>
      <c r="BLM14" s="476"/>
      <c r="BLN14" s="476"/>
      <c r="BLO14" s="477"/>
      <c r="BLP14" s="477"/>
      <c r="BLQ14" s="463"/>
      <c r="BLR14" s="475"/>
      <c r="BLS14" s="476"/>
      <c r="BLT14" s="476"/>
      <c r="BLU14" s="476"/>
      <c r="BLV14" s="476"/>
      <c r="BLW14" s="476"/>
      <c r="BLX14" s="476"/>
      <c r="BLY14" s="476"/>
      <c r="BLZ14" s="476"/>
      <c r="BMA14" s="476"/>
      <c r="BMB14" s="476"/>
      <c r="BMC14" s="476"/>
      <c r="BMD14" s="476"/>
      <c r="BME14" s="477"/>
      <c r="BMF14" s="477"/>
      <c r="BMG14" s="463"/>
      <c r="BMH14" s="475"/>
      <c r="BMI14" s="476"/>
      <c r="BMJ14" s="476"/>
      <c r="BMK14" s="476"/>
      <c r="BML14" s="476"/>
      <c r="BMM14" s="476"/>
      <c r="BMN14" s="476"/>
      <c r="BMO14" s="476"/>
      <c r="BMP14" s="476"/>
      <c r="BMQ14" s="476"/>
      <c r="BMR14" s="476"/>
      <c r="BMS14" s="476"/>
      <c r="BMT14" s="476"/>
      <c r="BMU14" s="477"/>
      <c r="BMV14" s="477"/>
      <c r="BMW14" s="463"/>
      <c r="BMX14" s="475"/>
      <c r="BMY14" s="476"/>
      <c r="BMZ14" s="476"/>
      <c r="BNA14" s="476"/>
      <c r="BNB14" s="476"/>
      <c r="BNC14" s="476"/>
      <c r="BND14" s="476"/>
      <c r="BNE14" s="476"/>
      <c r="BNF14" s="476"/>
      <c r="BNG14" s="476"/>
      <c r="BNH14" s="476"/>
      <c r="BNI14" s="476"/>
      <c r="BNJ14" s="476"/>
      <c r="BNK14" s="477"/>
      <c r="BNL14" s="477"/>
      <c r="BNM14" s="463"/>
      <c r="BNN14" s="475"/>
      <c r="BNO14" s="476"/>
      <c r="BNP14" s="476"/>
      <c r="BNQ14" s="476"/>
      <c r="BNR14" s="476"/>
      <c r="BNS14" s="476"/>
      <c r="BNT14" s="476"/>
      <c r="BNU14" s="476"/>
      <c r="BNV14" s="476"/>
      <c r="BNW14" s="476"/>
      <c r="BNX14" s="476"/>
      <c r="BNY14" s="476"/>
      <c r="BNZ14" s="476"/>
      <c r="BOA14" s="477"/>
      <c r="BOB14" s="477"/>
      <c r="BOC14" s="463"/>
      <c r="BOD14" s="475"/>
      <c r="BOE14" s="476"/>
      <c r="BOF14" s="476"/>
      <c r="BOG14" s="476"/>
      <c r="BOH14" s="476"/>
      <c r="BOI14" s="476"/>
      <c r="BOJ14" s="476"/>
      <c r="BOK14" s="476"/>
      <c r="BOL14" s="476"/>
      <c r="BOM14" s="476"/>
      <c r="BON14" s="476"/>
      <c r="BOO14" s="476"/>
      <c r="BOP14" s="476"/>
      <c r="BOQ14" s="477"/>
      <c r="BOR14" s="477"/>
      <c r="BOS14" s="463"/>
      <c r="BOT14" s="475"/>
      <c r="BOU14" s="476"/>
      <c r="BOV14" s="476"/>
      <c r="BOW14" s="476"/>
      <c r="BOX14" s="476"/>
      <c r="BOY14" s="476"/>
      <c r="BOZ14" s="476"/>
      <c r="BPA14" s="476"/>
      <c r="BPB14" s="476"/>
      <c r="BPC14" s="476"/>
      <c r="BPD14" s="476"/>
      <c r="BPE14" s="476"/>
      <c r="BPF14" s="476"/>
      <c r="BPG14" s="477"/>
      <c r="BPH14" s="477"/>
      <c r="BPI14" s="463"/>
      <c r="BPJ14" s="475"/>
      <c r="BPK14" s="476"/>
      <c r="BPL14" s="476"/>
      <c r="BPM14" s="476"/>
      <c r="BPN14" s="476"/>
      <c r="BPO14" s="476"/>
      <c r="BPP14" s="476"/>
      <c r="BPQ14" s="476"/>
      <c r="BPR14" s="476"/>
      <c r="BPS14" s="476"/>
      <c r="BPT14" s="476"/>
      <c r="BPU14" s="476"/>
      <c r="BPV14" s="476"/>
      <c r="BPW14" s="477"/>
      <c r="BPX14" s="477"/>
      <c r="BPY14" s="463"/>
      <c r="BPZ14" s="475"/>
      <c r="BQA14" s="476"/>
      <c r="BQB14" s="476"/>
      <c r="BQC14" s="476"/>
      <c r="BQD14" s="476"/>
      <c r="BQE14" s="476"/>
      <c r="BQF14" s="476"/>
      <c r="BQG14" s="476"/>
      <c r="BQH14" s="476"/>
      <c r="BQI14" s="476"/>
      <c r="BQJ14" s="476"/>
      <c r="BQK14" s="476"/>
      <c r="BQL14" s="476"/>
      <c r="BQM14" s="477"/>
      <c r="BQN14" s="477"/>
      <c r="BQO14" s="463"/>
      <c r="BQP14" s="475"/>
      <c r="BQQ14" s="476"/>
      <c r="BQR14" s="476"/>
      <c r="BQS14" s="476"/>
      <c r="BQT14" s="476"/>
      <c r="BQU14" s="476"/>
      <c r="BQV14" s="476"/>
      <c r="BQW14" s="476"/>
      <c r="BQX14" s="476"/>
      <c r="BQY14" s="476"/>
      <c r="BQZ14" s="476"/>
      <c r="BRA14" s="476"/>
      <c r="BRB14" s="476"/>
      <c r="BRC14" s="477"/>
      <c r="BRD14" s="477"/>
      <c r="BRE14" s="463"/>
      <c r="BRF14" s="475"/>
      <c r="BRG14" s="476"/>
      <c r="BRH14" s="476"/>
      <c r="BRI14" s="476"/>
      <c r="BRJ14" s="476"/>
      <c r="BRK14" s="476"/>
      <c r="BRL14" s="476"/>
      <c r="BRM14" s="476"/>
      <c r="BRN14" s="476"/>
      <c r="BRO14" s="476"/>
      <c r="BRP14" s="476"/>
      <c r="BRQ14" s="476"/>
      <c r="BRR14" s="476"/>
      <c r="BRS14" s="477"/>
      <c r="BRT14" s="477"/>
      <c r="BRU14" s="463"/>
      <c r="BRV14" s="475"/>
      <c r="BRW14" s="476"/>
      <c r="BRX14" s="476"/>
      <c r="BRY14" s="476"/>
      <c r="BRZ14" s="476"/>
      <c r="BSA14" s="476"/>
      <c r="BSB14" s="476"/>
      <c r="BSC14" s="476"/>
      <c r="BSD14" s="476"/>
      <c r="BSE14" s="476"/>
      <c r="BSF14" s="476"/>
      <c r="BSG14" s="476"/>
      <c r="BSH14" s="476"/>
      <c r="BSI14" s="477"/>
      <c r="BSJ14" s="477"/>
      <c r="BSK14" s="463"/>
      <c r="BSL14" s="475"/>
      <c r="BSM14" s="476"/>
      <c r="BSN14" s="476"/>
      <c r="BSO14" s="476"/>
      <c r="BSP14" s="476"/>
      <c r="BSQ14" s="476"/>
      <c r="BSR14" s="476"/>
      <c r="BSS14" s="476"/>
      <c r="BST14" s="476"/>
      <c r="BSU14" s="476"/>
      <c r="BSV14" s="476"/>
      <c r="BSW14" s="476"/>
      <c r="BSX14" s="476"/>
      <c r="BSY14" s="477"/>
      <c r="BSZ14" s="477"/>
      <c r="BTA14" s="463"/>
      <c r="BTB14" s="475"/>
      <c r="BTC14" s="476"/>
      <c r="BTD14" s="476"/>
      <c r="BTE14" s="476"/>
      <c r="BTF14" s="476"/>
      <c r="BTG14" s="476"/>
      <c r="BTH14" s="476"/>
      <c r="BTI14" s="476"/>
      <c r="BTJ14" s="476"/>
      <c r="BTK14" s="476"/>
      <c r="BTL14" s="476"/>
      <c r="BTM14" s="476"/>
      <c r="BTN14" s="476"/>
      <c r="BTO14" s="477"/>
      <c r="BTP14" s="477"/>
      <c r="BTQ14" s="463"/>
      <c r="BTR14" s="475"/>
      <c r="BTS14" s="476"/>
      <c r="BTT14" s="476"/>
      <c r="BTU14" s="476"/>
      <c r="BTV14" s="476"/>
      <c r="BTW14" s="476"/>
      <c r="BTX14" s="476"/>
      <c r="BTY14" s="476"/>
      <c r="BTZ14" s="476"/>
      <c r="BUA14" s="476"/>
      <c r="BUB14" s="476"/>
      <c r="BUC14" s="476"/>
      <c r="BUD14" s="476"/>
      <c r="BUE14" s="477"/>
      <c r="BUF14" s="477"/>
      <c r="BUG14" s="463"/>
      <c r="BUH14" s="475"/>
      <c r="BUI14" s="476"/>
      <c r="BUJ14" s="476"/>
      <c r="BUK14" s="476"/>
      <c r="BUL14" s="476"/>
      <c r="BUM14" s="476"/>
      <c r="BUN14" s="476"/>
      <c r="BUO14" s="476"/>
      <c r="BUP14" s="476"/>
      <c r="BUQ14" s="476"/>
      <c r="BUR14" s="476"/>
      <c r="BUS14" s="476"/>
      <c r="BUT14" s="476"/>
      <c r="BUU14" s="477"/>
      <c r="BUV14" s="477"/>
      <c r="BUW14" s="463"/>
      <c r="BUX14" s="475"/>
      <c r="BUY14" s="476"/>
      <c r="BUZ14" s="476"/>
      <c r="BVA14" s="476"/>
      <c r="BVB14" s="476"/>
      <c r="BVC14" s="476"/>
      <c r="BVD14" s="476"/>
      <c r="BVE14" s="476"/>
      <c r="BVF14" s="476"/>
      <c r="BVG14" s="476"/>
      <c r="BVH14" s="476"/>
      <c r="BVI14" s="476"/>
      <c r="BVJ14" s="476"/>
      <c r="BVK14" s="477"/>
      <c r="BVL14" s="477"/>
      <c r="BVM14" s="463"/>
      <c r="BVN14" s="475"/>
      <c r="BVO14" s="476"/>
      <c r="BVP14" s="476"/>
      <c r="BVQ14" s="476"/>
      <c r="BVR14" s="476"/>
      <c r="BVS14" s="476"/>
      <c r="BVT14" s="476"/>
      <c r="BVU14" s="476"/>
      <c r="BVV14" s="476"/>
      <c r="BVW14" s="476"/>
      <c r="BVX14" s="476"/>
      <c r="BVY14" s="476"/>
      <c r="BVZ14" s="476"/>
      <c r="BWA14" s="477"/>
      <c r="BWB14" s="477"/>
      <c r="BWC14" s="463"/>
      <c r="BWD14" s="475"/>
      <c r="BWE14" s="476"/>
      <c r="BWF14" s="476"/>
      <c r="BWG14" s="476"/>
      <c r="BWH14" s="476"/>
      <c r="BWI14" s="476"/>
      <c r="BWJ14" s="476"/>
      <c r="BWK14" s="476"/>
      <c r="BWL14" s="476"/>
      <c r="BWM14" s="476"/>
      <c r="BWN14" s="476"/>
      <c r="BWO14" s="476"/>
      <c r="BWP14" s="476"/>
      <c r="BWQ14" s="477"/>
      <c r="BWR14" s="477"/>
      <c r="BWS14" s="463"/>
      <c r="BWT14" s="475"/>
      <c r="BWU14" s="476"/>
      <c r="BWV14" s="476"/>
      <c r="BWW14" s="476"/>
      <c r="BWX14" s="476"/>
      <c r="BWY14" s="476"/>
      <c r="BWZ14" s="476"/>
      <c r="BXA14" s="476"/>
      <c r="BXB14" s="476"/>
      <c r="BXC14" s="476"/>
      <c r="BXD14" s="476"/>
      <c r="BXE14" s="476"/>
      <c r="BXF14" s="476"/>
      <c r="BXG14" s="477"/>
      <c r="BXH14" s="477"/>
      <c r="BXI14" s="463"/>
      <c r="BXJ14" s="475"/>
      <c r="BXK14" s="476"/>
      <c r="BXL14" s="476"/>
      <c r="BXM14" s="476"/>
      <c r="BXN14" s="476"/>
      <c r="BXO14" s="476"/>
      <c r="BXP14" s="476"/>
      <c r="BXQ14" s="476"/>
      <c r="BXR14" s="476"/>
      <c r="BXS14" s="476"/>
      <c r="BXT14" s="476"/>
      <c r="BXU14" s="476"/>
      <c r="BXV14" s="476"/>
      <c r="BXW14" s="477"/>
      <c r="BXX14" s="477"/>
      <c r="BXY14" s="463"/>
      <c r="BXZ14" s="475"/>
      <c r="BYA14" s="476"/>
      <c r="BYB14" s="476"/>
      <c r="BYC14" s="476"/>
      <c r="BYD14" s="476"/>
      <c r="BYE14" s="476"/>
      <c r="BYF14" s="476"/>
      <c r="BYG14" s="476"/>
      <c r="BYH14" s="476"/>
      <c r="BYI14" s="476"/>
      <c r="BYJ14" s="476"/>
      <c r="BYK14" s="476"/>
      <c r="BYL14" s="476"/>
      <c r="BYM14" s="477"/>
      <c r="BYN14" s="477"/>
      <c r="BYO14" s="463"/>
      <c r="BYP14" s="475"/>
      <c r="BYQ14" s="476"/>
      <c r="BYR14" s="476"/>
      <c r="BYS14" s="476"/>
      <c r="BYT14" s="476"/>
      <c r="BYU14" s="476"/>
      <c r="BYV14" s="476"/>
      <c r="BYW14" s="476"/>
      <c r="BYX14" s="476"/>
      <c r="BYY14" s="476"/>
      <c r="BYZ14" s="476"/>
      <c r="BZA14" s="476"/>
      <c r="BZB14" s="476"/>
      <c r="BZC14" s="477"/>
      <c r="BZD14" s="477"/>
      <c r="BZE14" s="463"/>
      <c r="BZF14" s="475"/>
      <c r="BZG14" s="476"/>
      <c r="BZH14" s="476"/>
      <c r="BZI14" s="476"/>
      <c r="BZJ14" s="476"/>
      <c r="BZK14" s="476"/>
      <c r="BZL14" s="476"/>
      <c r="BZM14" s="476"/>
      <c r="BZN14" s="476"/>
      <c r="BZO14" s="476"/>
      <c r="BZP14" s="476"/>
      <c r="BZQ14" s="476"/>
      <c r="BZR14" s="476"/>
      <c r="BZS14" s="477"/>
      <c r="BZT14" s="477"/>
      <c r="BZU14" s="463"/>
      <c r="BZV14" s="475"/>
      <c r="BZW14" s="476"/>
      <c r="BZX14" s="476"/>
      <c r="BZY14" s="476"/>
      <c r="BZZ14" s="476"/>
      <c r="CAA14" s="476"/>
      <c r="CAB14" s="476"/>
      <c r="CAC14" s="476"/>
      <c r="CAD14" s="476"/>
      <c r="CAE14" s="476"/>
      <c r="CAF14" s="476"/>
      <c r="CAG14" s="476"/>
      <c r="CAH14" s="476"/>
      <c r="CAI14" s="477"/>
      <c r="CAJ14" s="477"/>
      <c r="CAK14" s="463"/>
      <c r="CAL14" s="475"/>
      <c r="CAM14" s="476"/>
      <c r="CAN14" s="476"/>
      <c r="CAO14" s="476"/>
      <c r="CAP14" s="476"/>
      <c r="CAQ14" s="476"/>
      <c r="CAR14" s="476"/>
      <c r="CAS14" s="476"/>
      <c r="CAT14" s="476"/>
      <c r="CAU14" s="476"/>
      <c r="CAV14" s="476"/>
      <c r="CAW14" s="476"/>
      <c r="CAX14" s="476"/>
      <c r="CAY14" s="477"/>
      <c r="CAZ14" s="477"/>
      <c r="CBA14" s="463"/>
      <c r="CBB14" s="475"/>
      <c r="CBC14" s="476"/>
      <c r="CBD14" s="476"/>
      <c r="CBE14" s="476"/>
      <c r="CBF14" s="476"/>
      <c r="CBG14" s="476"/>
      <c r="CBH14" s="476"/>
      <c r="CBI14" s="476"/>
      <c r="CBJ14" s="476"/>
      <c r="CBK14" s="476"/>
      <c r="CBL14" s="476"/>
      <c r="CBM14" s="476"/>
      <c r="CBN14" s="476"/>
      <c r="CBO14" s="477"/>
      <c r="CBP14" s="477"/>
      <c r="CBQ14" s="463"/>
      <c r="CBR14" s="475"/>
      <c r="CBS14" s="476"/>
      <c r="CBT14" s="476"/>
      <c r="CBU14" s="476"/>
      <c r="CBV14" s="476"/>
      <c r="CBW14" s="476"/>
      <c r="CBX14" s="476"/>
      <c r="CBY14" s="476"/>
      <c r="CBZ14" s="476"/>
      <c r="CCA14" s="476"/>
      <c r="CCB14" s="476"/>
      <c r="CCC14" s="476"/>
      <c r="CCD14" s="476"/>
      <c r="CCE14" s="477"/>
      <c r="CCF14" s="477"/>
      <c r="CCG14" s="463"/>
      <c r="CCH14" s="475"/>
      <c r="CCI14" s="476"/>
      <c r="CCJ14" s="476"/>
      <c r="CCK14" s="476"/>
      <c r="CCL14" s="476"/>
      <c r="CCM14" s="476"/>
      <c r="CCN14" s="476"/>
      <c r="CCO14" s="476"/>
      <c r="CCP14" s="476"/>
      <c r="CCQ14" s="476"/>
      <c r="CCR14" s="476"/>
      <c r="CCS14" s="476"/>
      <c r="CCT14" s="476"/>
      <c r="CCU14" s="477"/>
      <c r="CCV14" s="477"/>
      <c r="CCW14" s="463"/>
      <c r="CCX14" s="475"/>
      <c r="CCY14" s="476"/>
      <c r="CCZ14" s="476"/>
      <c r="CDA14" s="476"/>
      <c r="CDB14" s="476"/>
      <c r="CDC14" s="476"/>
      <c r="CDD14" s="476"/>
      <c r="CDE14" s="476"/>
      <c r="CDF14" s="476"/>
      <c r="CDG14" s="476"/>
      <c r="CDH14" s="476"/>
      <c r="CDI14" s="476"/>
      <c r="CDJ14" s="476"/>
      <c r="CDK14" s="477"/>
      <c r="CDL14" s="477"/>
      <c r="CDM14" s="463"/>
      <c r="CDN14" s="475"/>
      <c r="CDO14" s="476"/>
      <c r="CDP14" s="476"/>
      <c r="CDQ14" s="476"/>
      <c r="CDR14" s="476"/>
      <c r="CDS14" s="476"/>
      <c r="CDT14" s="476"/>
      <c r="CDU14" s="476"/>
      <c r="CDV14" s="476"/>
      <c r="CDW14" s="476"/>
      <c r="CDX14" s="476"/>
      <c r="CDY14" s="476"/>
      <c r="CDZ14" s="476"/>
      <c r="CEA14" s="477"/>
      <c r="CEB14" s="477"/>
      <c r="CEC14" s="463"/>
      <c r="CED14" s="475"/>
      <c r="CEE14" s="476"/>
      <c r="CEF14" s="476"/>
      <c r="CEG14" s="476"/>
      <c r="CEH14" s="476"/>
      <c r="CEI14" s="476"/>
      <c r="CEJ14" s="476"/>
      <c r="CEK14" s="476"/>
      <c r="CEL14" s="476"/>
      <c r="CEM14" s="476"/>
      <c r="CEN14" s="476"/>
      <c r="CEO14" s="476"/>
      <c r="CEP14" s="476"/>
      <c r="CEQ14" s="477"/>
      <c r="CER14" s="477"/>
      <c r="CES14" s="463"/>
      <c r="CET14" s="475"/>
      <c r="CEU14" s="476"/>
      <c r="CEV14" s="476"/>
      <c r="CEW14" s="476"/>
      <c r="CEX14" s="476"/>
      <c r="CEY14" s="476"/>
      <c r="CEZ14" s="476"/>
      <c r="CFA14" s="476"/>
      <c r="CFB14" s="476"/>
      <c r="CFC14" s="476"/>
      <c r="CFD14" s="476"/>
      <c r="CFE14" s="476"/>
      <c r="CFF14" s="476"/>
      <c r="CFG14" s="477"/>
      <c r="CFH14" s="477"/>
      <c r="CFI14" s="463"/>
      <c r="CFJ14" s="475"/>
      <c r="CFK14" s="476"/>
      <c r="CFL14" s="476"/>
      <c r="CFM14" s="476"/>
      <c r="CFN14" s="476"/>
      <c r="CFO14" s="476"/>
      <c r="CFP14" s="476"/>
      <c r="CFQ14" s="476"/>
      <c r="CFR14" s="476"/>
      <c r="CFS14" s="476"/>
      <c r="CFT14" s="476"/>
      <c r="CFU14" s="476"/>
      <c r="CFV14" s="476"/>
      <c r="CFW14" s="477"/>
      <c r="CFX14" s="477"/>
      <c r="CFY14" s="463"/>
      <c r="CFZ14" s="475"/>
      <c r="CGA14" s="476"/>
      <c r="CGB14" s="476"/>
      <c r="CGC14" s="476"/>
      <c r="CGD14" s="476"/>
      <c r="CGE14" s="476"/>
      <c r="CGF14" s="476"/>
      <c r="CGG14" s="476"/>
      <c r="CGH14" s="476"/>
      <c r="CGI14" s="476"/>
      <c r="CGJ14" s="476"/>
      <c r="CGK14" s="476"/>
      <c r="CGL14" s="476"/>
      <c r="CGM14" s="477"/>
      <c r="CGN14" s="477"/>
      <c r="CGO14" s="463"/>
      <c r="CGP14" s="475"/>
      <c r="CGQ14" s="476"/>
      <c r="CGR14" s="476"/>
      <c r="CGS14" s="476"/>
      <c r="CGT14" s="476"/>
      <c r="CGU14" s="476"/>
      <c r="CGV14" s="476"/>
      <c r="CGW14" s="476"/>
      <c r="CGX14" s="476"/>
      <c r="CGY14" s="476"/>
      <c r="CGZ14" s="476"/>
      <c r="CHA14" s="476"/>
      <c r="CHB14" s="476"/>
      <c r="CHC14" s="477"/>
      <c r="CHD14" s="477"/>
      <c r="CHE14" s="463"/>
      <c r="CHF14" s="475"/>
      <c r="CHG14" s="476"/>
      <c r="CHH14" s="476"/>
      <c r="CHI14" s="476"/>
      <c r="CHJ14" s="476"/>
      <c r="CHK14" s="476"/>
      <c r="CHL14" s="476"/>
      <c r="CHM14" s="476"/>
      <c r="CHN14" s="476"/>
      <c r="CHO14" s="476"/>
      <c r="CHP14" s="476"/>
      <c r="CHQ14" s="476"/>
      <c r="CHR14" s="476"/>
      <c r="CHS14" s="477"/>
      <c r="CHT14" s="477"/>
      <c r="CHU14" s="463"/>
      <c r="CHV14" s="475"/>
      <c r="CHW14" s="476"/>
      <c r="CHX14" s="476"/>
      <c r="CHY14" s="476"/>
      <c r="CHZ14" s="476"/>
      <c r="CIA14" s="476"/>
      <c r="CIB14" s="476"/>
      <c r="CIC14" s="476"/>
      <c r="CID14" s="476"/>
      <c r="CIE14" s="476"/>
      <c r="CIF14" s="476"/>
      <c r="CIG14" s="476"/>
      <c r="CIH14" s="476"/>
      <c r="CII14" s="477"/>
      <c r="CIJ14" s="477"/>
      <c r="CIK14" s="463"/>
      <c r="CIL14" s="475"/>
      <c r="CIM14" s="476"/>
      <c r="CIN14" s="476"/>
      <c r="CIO14" s="476"/>
      <c r="CIP14" s="476"/>
      <c r="CIQ14" s="476"/>
      <c r="CIR14" s="476"/>
      <c r="CIS14" s="476"/>
      <c r="CIT14" s="476"/>
      <c r="CIU14" s="476"/>
      <c r="CIV14" s="476"/>
      <c r="CIW14" s="476"/>
      <c r="CIX14" s="476"/>
      <c r="CIY14" s="477"/>
      <c r="CIZ14" s="477"/>
      <c r="CJA14" s="463"/>
      <c r="CJB14" s="475"/>
      <c r="CJC14" s="476"/>
      <c r="CJD14" s="476"/>
      <c r="CJE14" s="476"/>
      <c r="CJF14" s="476"/>
      <c r="CJG14" s="476"/>
      <c r="CJH14" s="476"/>
      <c r="CJI14" s="476"/>
      <c r="CJJ14" s="476"/>
      <c r="CJK14" s="476"/>
      <c r="CJL14" s="476"/>
      <c r="CJM14" s="476"/>
      <c r="CJN14" s="476"/>
      <c r="CJO14" s="477"/>
      <c r="CJP14" s="477"/>
      <c r="CJQ14" s="463"/>
      <c r="CJR14" s="475"/>
      <c r="CJS14" s="476"/>
      <c r="CJT14" s="476"/>
      <c r="CJU14" s="476"/>
      <c r="CJV14" s="476"/>
      <c r="CJW14" s="476"/>
      <c r="CJX14" s="476"/>
      <c r="CJY14" s="476"/>
      <c r="CJZ14" s="476"/>
      <c r="CKA14" s="476"/>
      <c r="CKB14" s="476"/>
      <c r="CKC14" s="476"/>
      <c r="CKD14" s="476"/>
      <c r="CKE14" s="477"/>
      <c r="CKF14" s="477"/>
      <c r="CKG14" s="463"/>
      <c r="CKH14" s="475"/>
      <c r="CKI14" s="476"/>
      <c r="CKJ14" s="476"/>
      <c r="CKK14" s="476"/>
      <c r="CKL14" s="476"/>
      <c r="CKM14" s="476"/>
      <c r="CKN14" s="476"/>
      <c r="CKO14" s="476"/>
      <c r="CKP14" s="476"/>
      <c r="CKQ14" s="476"/>
      <c r="CKR14" s="476"/>
      <c r="CKS14" s="476"/>
      <c r="CKT14" s="476"/>
      <c r="CKU14" s="477"/>
      <c r="CKV14" s="477"/>
      <c r="CKW14" s="463"/>
      <c r="CKX14" s="475"/>
      <c r="CKY14" s="476"/>
      <c r="CKZ14" s="476"/>
      <c r="CLA14" s="476"/>
      <c r="CLB14" s="476"/>
      <c r="CLC14" s="476"/>
      <c r="CLD14" s="476"/>
      <c r="CLE14" s="476"/>
      <c r="CLF14" s="476"/>
      <c r="CLG14" s="476"/>
      <c r="CLH14" s="476"/>
      <c r="CLI14" s="476"/>
      <c r="CLJ14" s="476"/>
      <c r="CLK14" s="477"/>
      <c r="CLL14" s="477"/>
      <c r="CLM14" s="463"/>
      <c r="CLN14" s="475"/>
      <c r="CLO14" s="476"/>
      <c r="CLP14" s="476"/>
      <c r="CLQ14" s="476"/>
      <c r="CLR14" s="476"/>
      <c r="CLS14" s="476"/>
      <c r="CLT14" s="476"/>
      <c r="CLU14" s="476"/>
      <c r="CLV14" s="476"/>
      <c r="CLW14" s="476"/>
      <c r="CLX14" s="476"/>
      <c r="CLY14" s="476"/>
      <c r="CLZ14" s="476"/>
      <c r="CMA14" s="477"/>
      <c r="CMB14" s="477"/>
      <c r="CMC14" s="463"/>
      <c r="CMD14" s="475"/>
      <c r="CME14" s="476"/>
      <c r="CMF14" s="476"/>
      <c r="CMG14" s="476"/>
      <c r="CMH14" s="476"/>
      <c r="CMI14" s="476"/>
      <c r="CMJ14" s="476"/>
      <c r="CMK14" s="476"/>
      <c r="CML14" s="476"/>
      <c r="CMM14" s="476"/>
      <c r="CMN14" s="476"/>
      <c r="CMO14" s="476"/>
      <c r="CMP14" s="476"/>
      <c r="CMQ14" s="477"/>
      <c r="CMR14" s="477"/>
      <c r="CMS14" s="463"/>
      <c r="CMT14" s="475"/>
      <c r="CMU14" s="476"/>
      <c r="CMV14" s="476"/>
      <c r="CMW14" s="476"/>
      <c r="CMX14" s="476"/>
      <c r="CMY14" s="476"/>
      <c r="CMZ14" s="476"/>
      <c r="CNA14" s="476"/>
      <c r="CNB14" s="476"/>
      <c r="CNC14" s="476"/>
      <c r="CND14" s="476"/>
      <c r="CNE14" s="476"/>
      <c r="CNF14" s="476"/>
      <c r="CNG14" s="477"/>
      <c r="CNH14" s="477"/>
      <c r="CNI14" s="463"/>
      <c r="CNJ14" s="475"/>
      <c r="CNK14" s="476"/>
      <c r="CNL14" s="476"/>
      <c r="CNM14" s="476"/>
      <c r="CNN14" s="476"/>
      <c r="CNO14" s="476"/>
      <c r="CNP14" s="476"/>
      <c r="CNQ14" s="476"/>
      <c r="CNR14" s="476"/>
      <c r="CNS14" s="476"/>
      <c r="CNT14" s="476"/>
      <c r="CNU14" s="476"/>
      <c r="CNV14" s="476"/>
      <c r="CNW14" s="477"/>
      <c r="CNX14" s="477"/>
      <c r="CNY14" s="463"/>
      <c r="CNZ14" s="475"/>
      <c r="COA14" s="476"/>
      <c r="COB14" s="476"/>
      <c r="COC14" s="476"/>
      <c r="COD14" s="476"/>
      <c r="COE14" s="476"/>
      <c r="COF14" s="476"/>
      <c r="COG14" s="476"/>
      <c r="COH14" s="476"/>
      <c r="COI14" s="476"/>
      <c r="COJ14" s="476"/>
      <c r="COK14" s="476"/>
      <c r="COL14" s="476"/>
      <c r="COM14" s="477"/>
      <c r="CON14" s="477"/>
      <c r="COO14" s="463"/>
      <c r="COP14" s="475"/>
      <c r="COQ14" s="476"/>
      <c r="COR14" s="476"/>
      <c r="COS14" s="476"/>
      <c r="COT14" s="476"/>
      <c r="COU14" s="476"/>
      <c r="COV14" s="476"/>
      <c r="COW14" s="476"/>
      <c r="COX14" s="476"/>
      <c r="COY14" s="476"/>
      <c r="COZ14" s="476"/>
      <c r="CPA14" s="476"/>
      <c r="CPB14" s="476"/>
      <c r="CPC14" s="477"/>
      <c r="CPD14" s="477"/>
      <c r="CPE14" s="463"/>
      <c r="CPF14" s="475"/>
      <c r="CPG14" s="476"/>
      <c r="CPH14" s="476"/>
      <c r="CPI14" s="476"/>
      <c r="CPJ14" s="476"/>
      <c r="CPK14" s="476"/>
      <c r="CPL14" s="476"/>
      <c r="CPM14" s="476"/>
      <c r="CPN14" s="476"/>
      <c r="CPO14" s="476"/>
      <c r="CPP14" s="476"/>
      <c r="CPQ14" s="476"/>
      <c r="CPR14" s="476"/>
      <c r="CPS14" s="477"/>
      <c r="CPT14" s="477"/>
      <c r="CPU14" s="463"/>
      <c r="CPV14" s="475"/>
      <c r="CPW14" s="476"/>
      <c r="CPX14" s="476"/>
      <c r="CPY14" s="476"/>
      <c r="CPZ14" s="476"/>
      <c r="CQA14" s="476"/>
      <c r="CQB14" s="476"/>
      <c r="CQC14" s="476"/>
      <c r="CQD14" s="476"/>
      <c r="CQE14" s="476"/>
      <c r="CQF14" s="476"/>
      <c r="CQG14" s="476"/>
      <c r="CQH14" s="476"/>
      <c r="CQI14" s="477"/>
      <c r="CQJ14" s="477"/>
      <c r="CQK14" s="463"/>
      <c r="CQL14" s="475"/>
      <c r="CQM14" s="476"/>
      <c r="CQN14" s="476"/>
      <c r="CQO14" s="476"/>
      <c r="CQP14" s="476"/>
      <c r="CQQ14" s="476"/>
      <c r="CQR14" s="476"/>
      <c r="CQS14" s="476"/>
      <c r="CQT14" s="476"/>
      <c r="CQU14" s="476"/>
      <c r="CQV14" s="476"/>
      <c r="CQW14" s="476"/>
      <c r="CQX14" s="476"/>
      <c r="CQY14" s="477"/>
      <c r="CQZ14" s="477"/>
      <c r="CRA14" s="463"/>
      <c r="CRB14" s="475"/>
      <c r="CRC14" s="476"/>
      <c r="CRD14" s="476"/>
      <c r="CRE14" s="476"/>
      <c r="CRF14" s="476"/>
      <c r="CRG14" s="476"/>
      <c r="CRH14" s="476"/>
      <c r="CRI14" s="476"/>
      <c r="CRJ14" s="476"/>
      <c r="CRK14" s="476"/>
      <c r="CRL14" s="476"/>
      <c r="CRM14" s="476"/>
      <c r="CRN14" s="476"/>
      <c r="CRO14" s="477"/>
      <c r="CRP14" s="477"/>
      <c r="CRQ14" s="463"/>
      <c r="CRR14" s="475"/>
      <c r="CRS14" s="476"/>
      <c r="CRT14" s="476"/>
      <c r="CRU14" s="476"/>
      <c r="CRV14" s="476"/>
      <c r="CRW14" s="476"/>
      <c r="CRX14" s="476"/>
      <c r="CRY14" s="476"/>
      <c r="CRZ14" s="476"/>
      <c r="CSA14" s="476"/>
      <c r="CSB14" s="476"/>
      <c r="CSC14" s="476"/>
      <c r="CSD14" s="476"/>
      <c r="CSE14" s="477"/>
      <c r="CSF14" s="477"/>
      <c r="CSG14" s="463"/>
      <c r="CSH14" s="475"/>
      <c r="CSI14" s="476"/>
      <c r="CSJ14" s="476"/>
      <c r="CSK14" s="476"/>
      <c r="CSL14" s="476"/>
      <c r="CSM14" s="476"/>
      <c r="CSN14" s="476"/>
      <c r="CSO14" s="476"/>
      <c r="CSP14" s="476"/>
      <c r="CSQ14" s="476"/>
      <c r="CSR14" s="476"/>
      <c r="CSS14" s="476"/>
      <c r="CST14" s="476"/>
      <c r="CSU14" s="477"/>
      <c r="CSV14" s="477"/>
      <c r="CSW14" s="463"/>
      <c r="CSX14" s="475"/>
      <c r="CSY14" s="476"/>
      <c r="CSZ14" s="476"/>
      <c r="CTA14" s="476"/>
      <c r="CTB14" s="476"/>
      <c r="CTC14" s="476"/>
      <c r="CTD14" s="476"/>
      <c r="CTE14" s="476"/>
      <c r="CTF14" s="476"/>
      <c r="CTG14" s="476"/>
      <c r="CTH14" s="476"/>
      <c r="CTI14" s="476"/>
      <c r="CTJ14" s="476"/>
      <c r="CTK14" s="477"/>
      <c r="CTL14" s="477"/>
      <c r="CTM14" s="463"/>
      <c r="CTN14" s="475"/>
      <c r="CTO14" s="476"/>
      <c r="CTP14" s="476"/>
      <c r="CTQ14" s="476"/>
      <c r="CTR14" s="476"/>
      <c r="CTS14" s="476"/>
      <c r="CTT14" s="476"/>
      <c r="CTU14" s="476"/>
      <c r="CTV14" s="476"/>
      <c r="CTW14" s="476"/>
      <c r="CTX14" s="476"/>
      <c r="CTY14" s="476"/>
      <c r="CTZ14" s="476"/>
      <c r="CUA14" s="477"/>
      <c r="CUB14" s="477"/>
      <c r="CUC14" s="463"/>
      <c r="CUD14" s="475"/>
      <c r="CUE14" s="476"/>
      <c r="CUF14" s="476"/>
      <c r="CUG14" s="476"/>
      <c r="CUH14" s="476"/>
      <c r="CUI14" s="476"/>
      <c r="CUJ14" s="476"/>
      <c r="CUK14" s="476"/>
      <c r="CUL14" s="476"/>
      <c r="CUM14" s="476"/>
      <c r="CUN14" s="476"/>
      <c r="CUO14" s="476"/>
      <c r="CUP14" s="476"/>
      <c r="CUQ14" s="477"/>
      <c r="CUR14" s="477"/>
      <c r="CUS14" s="463"/>
      <c r="CUT14" s="475"/>
      <c r="CUU14" s="476"/>
      <c r="CUV14" s="476"/>
      <c r="CUW14" s="476"/>
      <c r="CUX14" s="476"/>
      <c r="CUY14" s="476"/>
      <c r="CUZ14" s="476"/>
      <c r="CVA14" s="476"/>
      <c r="CVB14" s="476"/>
      <c r="CVC14" s="476"/>
      <c r="CVD14" s="476"/>
      <c r="CVE14" s="476"/>
      <c r="CVF14" s="476"/>
      <c r="CVG14" s="477"/>
      <c r="CVH14" s="477"/>
      <c r="CVI14" s="463"/>
      <c r="CVJ14" s="475"/>
      <c r="CVK14" s="476"/>
      <c r="CVL14" s="476"/>
      <c r="CVM14" s="476"/>
      <c r="CVN14" s="476"/>
      <c r="CVO14" s="476"/>
      <c r="CVP14" s="476"/>
      <c r="CVQ14" s="476"/>
      <c r="CVR14" s="476"/>
      <c r="CVS14" s="476"/>
      <c r="CVT14" s="476"/>
      <c r="CVU14" s="476"/>
      <c r="CVV14" s="476"/>
      <c r="CVW14" s="477"/>
      <c r="CVX14" s="477"/>
      <c r="CVY14" s="463"/>
      <c r="CVZ14" s="475"/>
      <c r="CWA14" s="476"/>
      <c r="CWB14" s="476"/>
      <c r="CWC14" s="476"/>
      <c r="CWD14" s="476"/>
      <c r="CWE14" s="476"/>
      <c r="CWF14" s="476"/>
      <c r="CWG14" s="476"/>
      <c r="CWH14" s="476"/>
      <c r="CWI14" s="476"/>
      <c r="CWJ14" s="476"/>
      <c r="CWK14" s="476"/>
      <c r="CWL14" s="476"/>
      <c r="CWM14" s="477"/>
      <c r="CWN14" s="477"/>
      <c r="CWO14" s="463"/>
      <c r="CWP14" s="475"/>
      <c r="CWQ14" s="476"/>
      <c r="CWR14" s="476"/>
      <c r="CWS14" s="476"/>
      <c r="CWT14" s="476"/>
      <c r="CWU14" s="476"/>
      <c r="CWV14" s="476"/>
      <c r="CWW14" s="476"/>
      <c r="CWX14" s="476"/>
      <c r="CWY14" s="476"/>
      <c r="CWZ14" s="476"/>
      <c r="CXA14" s="476"/>
      <c r="CXB14" s="476"/>
      <c r="CXC14" s="477"/>
      <c r="CXD14" s="477"/>
      <c r="CXE14" s="463"/>
      <c r="CXF14" s="475"/>
      <c r="CXG14" s="476"/>
      <c r="CXH14" s="476"/>
      <c r="CXI14" s="476"/>
      <c r="CXJ14" s="476"/>
      <c r="CXK14" s="476"/>
      <c r="CXL14" s="476"/>
      <c r="CXM14" s="476"/>
      <c r="CXN14" s="476"/>
      <c r="CXO14" s="476"/>
      <c r="CXP14" s="476"/>
      <c r="CXQ14" s="476"/>
      <c r="CXR14" s="476"/>
      <c r="CXS14" s="477"/>
      <c r="CXT14" s="477"/>
      <c r="CXU14" s="463"/>
      <c r="CXV14" s="475"/>
      <c r="CXW14" s="476"/>
      <c r="CXX14" s="476"/>
      <c r="CXY14" s="476"/>
      <c r="CXZ14" s="476"/>
      <c r="CYA14" s="476"/>
      <c r="CYB14" s="476"/>
      <c r="CYC14" s="476"/>
      <c r="CYD14" s="476"/>
      <c r="CYE14" s="476"/>
      <c r="CYF14" s="476"/>
      <c r="CYG14" s="476"/>
      <c r="CYH14" s="476"/>
      <c r="CYI14" s="477"/>
      <c r="CYJ14" s="477"/>
      <c r="CYK14" s="463"/>
      <c r="CYL14" s="475"/>
      <c r="CYM14" s="476"/>
      <c r="CYN14" s="476"/>
      <c r="CYO14" s="476"/>
      <c r="CYP14" s="476"/>
      <c r="CYQ14" s="476"/>
      <c r="CYR14" s="476"/>
      <c r="CYS14" s="476"/>
      <c r="CYT14" s="476"/>
      <c r="CYU14" s="476"/>
      <c r="CYV14" s="476"/>
      <c r="CYW14" s="476"/>
      <c r="CYX14" s="476"/>
      <c r="CYY14" s="477"/>
      <c r="CYZ14" s="477"/>
      <c r="CZA14" s="463"/>
      <c r="CZB14" s="475"/>
      <c r="CZC14" s="476"/>
      <c r="CZD14" s="476"/>
      <c r="CZE14" s="476"/>
      <c r="CZF14" s="476"/>
      <c r="CZG14" s="476"/>
      <c r="CZH14" s="476"/>
      <c r="CZI14" s="476"/>
      <c r="CZJ14" s="476"/>
      <c r="CZK14" s="476"/>
      <c r="CZL14" s="476"/>
      <c r="CZM14" s="476"/>
      <c r="CZN14" s="476"/>
      <c r="CZO14" s="477"/>
      <c r="CZP14" s="477"/>
      <c r="CZQ14" s="463"/>
      <c r="CZR14" s="475"/>
      <c r="CZS14" s="476"/>
      <c r="CZT14" s="476"/>
      <c r="CZU14" s="476"/>
      <c r="CZV14" s="476"/>
      <c r="CZW14" s="476"/>
      <c r="CZX14" s="476"/>
      <c r="CZY14" s="476"/>
      <c r="CZZ14" s="476"/>
      <c r="DAA14" s="476"/>
      <c r="DAB14" s="476"/>
      <c r="DAC14" s="476"/>
      <c r="DAD14" s="476"/>
      <c r="DAE14" s="477"/>
      <c r="DAF14" s="477"/>
      <c r="DAG14" s="463"/>
      <c r="DAH14" s="475"/>
      <c r="DAI14" s="476"/>
      <c r="DAJ14" s="476"/>
      <c r="DAK14" s="476"/>
      <c r="DAL14" s="476"/>
      <c r="DAM14" s="476"/>
      <c r="DAN14" s="476"/>
      <c r="DAO14" s="476"/>
      <c r="DAP14" s="476"/>
      <c r="DAQ14" s="476"/>
      <c r="DAR14" s="476"/>
      <c r="DAS14" s="476"/>
      <c r="DAT14" s="476"/>
      <c r="DAU14" s="477"/>
      <c r="DAV14" s="477"/>
      <c r="DAW14" s="463"/>
      <c r="DAX14" s="475"/>
      <c r="DAY14" s="476"/>
      <c r="DAZ14" s="476"/>
      <c r="DBA14" s="476"/>
      <c r="DBB14" s="476"/>
      <c r="DBC14" s="476"/>
      <c r="DBD14" s="476"/>
      <c r="DBE14" s="476"/>
      <c r="DBF14" s="476"/>
      <c r="DBG14" s="476"/>
      <c r="DBH14" s="476"/>
      <c r="DBI14" s="476"/>
      <c r="DBJ14" s="476"/>
      <c r="DBK14" s="477"/>
      <c r="DBL14" s="477"/>
      <c r="DBM14" s="463"/>
      <c r="DBN14" s="475"/>
      <c r="DBO14" s="476"/>
      <c r="DBP14" s="476"/>
      <c r="DBQ14" s="476"/>
      <c r="DBR14" s="476"/>
      <c r="DBS14" s="476"/>
      <c r="DBT14" s="476"/>
      <c r="DBU14" s="476"/>
      <c r="DBV14" s="476"/>
      <c r="DBW14" s="476"/>
      <c r="DBX14" s="476"/>
      <c r="DBY14" s="476"/>
      <c r="DBZ14" s="476"/>
      <c r="DCA14" s="477"/>
      <c r="DCB14" s="477"/>
      <c r="DCC14" s="463"/>
      <c r="DCD14" s="475"/>
      <c r="DCE14" s="476"/>
      <c r="DCF14" s="476"/>
      <c r="DCG14" s="476"/>
      <c r="DCH14" s="476"/>
      <c r="DCI14" s="476"/>
      <c r="DCJ14" s="476"/>
      <c r="DCK14" s="476"/>
      <c r="DCL14" s="476"/>
      <c r="DCM14" s="476"/>
      <c r="DCN14" s="476"/>
      <c r="DCO14" s="476"/>
      <c r="DCP14" s="476"/>
      <c r="DCQ14" s="477"/>
      <c r="DCR14" s="477"/>
      <c r="DCS14" s="463"/>
      <c r="DCT14" s="475"/>
      <c r="DCU14" s="476"/>
      <c r="DCV14" s="476"/>
      <c r="DCW14" s="476"/>
      <c r="DCX14" s="476"/>
      <c r="DCY14" s="476"/>
      <c r="DCZ14" s="476"/>
      <c r="DDA14" s="476"/>
      <c r="DDB14" s="476"/>
      <c r="DDC14" s="476"/>
      <c r="DDD14" s="476"/>
      <c r="DDE14" s="476"/>
      <c r="DDF14" s="476"/>
      <c r="DDG14" s="477"/>
      <c r="DDH14" s="477"/>
      <c r="DDI14" s="463"/>
      <c r="DDJ14" s="475"/>
      <c r="DDK14" s="476"/>
      <c r="DDL14" s="476"/>
      <c r="DDM14" s="476"/>
      <c r="DDN14" s="476"/>
      <c r="DDO14" s="476"/>
      <c r="DDP14" s="476"/>
      <c r="DDQ14" s="476"/>
      <c r="DDR14" s="476"/>
      <c r="DDS14" s="476"/>
      <c r="DDT14" s="476"/>
      <c r="DDU14" s="476"/>
      <c r="DDV14" s="476"/>
      <c r="DDW14" s="477"/>
      <c r="DDX14" s="477"/>
      <c r="DDY14" s="463"/>
      <c r="DDZ14" s="475"/>
      <c r="DEA14" s="476"/>
      <c r="DEB14" s="476"/>
      <c r="DEC14" s="476"/>
      <c r="DED14" s="476"/>
      <c r="DEE14" s="476"/>
      <c r="DEF14" s="476"/>
      <c r="DEG14" s="476"/>
      <c r="DEH14" s="476"/>
      <c r="DEI14" s="476"/>
      <c r="DEJ14" s="476"/>
      <c r="DEK14" s="476"/>
      <c r="DEL14" s="476"/>
      <c r="DEM14" s="477"/>
      <c r="DEN14" s="477"/>
      <c r="DEO14" s="463"/>
      <c r="DEP14" s="475"/>
      <c r="DEQ14" s="476"/>
      <c r="DER14" s="476"/>
      <c r="DES14" s="476"/>
      <c r="DET14" s="476"/>
      <c r="DEU14" s="476"/>
      <c r="DEV14" s="476"/>
      <c r="DEW14" s="476"/>
      <c r="DEX14" s="476"/>
      <c r="DEY14" s="476"/>
      <c r="DEZ14" s="476"/>
      <c r="DFA14" s="476"/>
      <c r="DFB14" s="476"/>
      <c r="DFC14" s="477"/>
      <c r="DFD14" s="477"/>
      <c r="DFE14" s="463"/>
      <c r="DFF14" s="475"/>
      <c r="DFG14" s="476"/>
      <c r="DFH14" s="476"/>
      <c r="DFI14" s="476"/>
      <c r="DFJ14" s="476"/>
      <c r="DFK14" s="476"/>
      <c r="DFL14" s="476"/>
      <c r="DFM14" s="476"/>
      <c r="DFN14" s="476"/>
      <c r="DFO14" s="476"/>
      <c r="DFP14" s="476"/>
      <c r="DFQ14" s="476"/>
      <c r="DFR14" s="476"/>
      <c r="DFS14" s="477"/>
      <c r="DFT14" s="477"/>
      <c r="DFU14" s="463"/>
      <c r="DFV14" s="475"/>
      <c r="DFW14" s="476"/>
      <c r="DFX14" s="476"/>
      <c r="DFY14" s="476"/>
      <c r="DFZ14" s="476"/>
      <c r="DGA14" s="476"/>
      <c r="DGB14" s="476"/>
      <c r="DGC14" s="476"/>
      <c r="DGD14" s="476"/>
      <c r="DGE14" s="476"/>
      <c r="DGF14" s="476"/>
      <c r="DGG14" s="476"/>
      <c r="DGH14" s="476"/>
      <c r="DGI14" s="477"/>
      <c r="DGJ14" s="477"/>
      <c r="DGK14" s="463"/>
      <c r="DGL14" s="475"/>
      <c r="DGM14" s="476"/>
      <c r="DGN14" s="476"/>
      <c r="DGO14" s="476"/>
      <c r="DGP14" s="476"/>
      <c r="DGQ14" s="476"/>
      <c r="DGR14" s="476"/>
      <c r="DGS14" s="476"/>
      <c r="DGT14" s="476"/>
      <c r="DGU14" s="476"/>
      <c r="DGV14" s="476"/>
      <c r="DGW14" s="476"/>
      <c r="DGX14" s="476"/>
      <c r="DGY14" s="477"/>
      <c r="DGZ14" s="477"/>
      <c r="DHA14" s="463"/>
      <c r="DHB14" s="475"/>
      <c r="DHC14" s="476"/>
      <c r="DHD14" s="476"/>
      <c r="DHE14" s="476"/>
      <c r="DHF14" s="476"/>
      <c r="DHG14" s="476"/>
      <c r="DHH14" s="476"/>
      <c r="DHI14" s="476"/>
      <c r="DHJ14" s="476"/>
      <c r="DHK14" s="476"/>
      <c r="DHL14" s="476"/>
      <c r="DHM14" s="476"/>
      <c r="DHN14" s="476"/>
      <c r="DHO14" s="477"/>
      <c r="DHP14" s="477"/>
      <c r="DHQ14" s="463"/>
      <c r="DHR14" s="475"/>
      <c r="DHS14" s="476"/>
      <c r="DHT14" s="476"/>
      <c r="DHU14" s="476"/>
      <c r="DHV14" s="476"/>
      <c r="DHW14" s="476"/>
      <c r="DHX14" s="476"/>
      <c r="DHY14" s="476"/>
      <c r="DHZ14" s="476"/>
      <c r="DIA14" s="476"/>
      <c r="DIB14" s="476"/>
      <c r="DIC14" s="476"/>
      <c r="DID14" s="476"/>
      <c r="DIE14" s="477"/>
      <c r="DIF14" s="477"/>
      <c r="DIG14" s="463"/>
      <c r="DIH14" s="475"/>
      <c r="DII14" s="476"/>
      <c r="DIJ14" s="476"/>
      <c r="DIK14" s="476"/>
      <c r="DIL14" s="476"/>
      <c r="DIM14" s="476"/>
      <c r="DIN14" s="476"/>
      <c r="DIO14" s="476"/>
      <c r="DIP14" s="476"/>
      <c r="DIQ14" s="476"/>
      <c r="DIR14" s="476"/>
      <c r="DIS14" s="476"/>
      <c r="DIT14" s="476"/>
      <c r="DIU14" s="477"/>
      <c r="DIV14" s="477"/>
      <c r="DIW14" s="463"/>
      <c r="DIX14" s="475"/>
      <c r="DIY14" s="476"/>
      <c r="DIZ14" s="476"/>
      <c r="DJA14" s="476"/>
      <c r="DJB14" s="476"/>
      <c r="DJC14" s="476"/>
      <c r="DJD14" s="476"/>
      <c r="DJE14" s="476"/>
      <c r="DJF14" s="476"/>
      <c r="DJG14" s="476"/>
      <c r="DJH14" s="476"/>
      <c r="DJI14" s="476"/>
      <c r="DJJ14" s="476"/>
      <c r="DJK14" s="477"/>
      <c r="DJL14" s="477"/>
      <c r="DJM14" s="463"/>
      <c r="DJN14" s="475"/>
      <c r="DJO14" s="476"/>
      <c r="DJP14" s="476"/>
      <c r="DJQ14" s="476"/>
      <c r="DJR14" s="476"/>
      <c r="DJS14" s="476"/>
      <c r="DJT14" s="476"/>
      <c r="DJU14" s="476"/>
      <c r="DJV14" s="476"/>
      <c r="DJW14" s="476"/>
      <c r="DJX14" s="476"/>
      <c r="DJY14" s="476"/>
      <c r="DJZ14" s="476"/>
      <c r="DKA14" s="477"/>
      <c r="DKB14" s="477"/>
      <c r="DKC14" s="463"/>
      <c r="DKD14" s="475"/>
      <c r="DKE14" s="476"/>
      <c r="DKF14" s="476"/>
      <c r="DKG14" s="476"/>
      <c r="DKH14" s="476"/>
      <c r="DKI14" s="476"/>
      <c r="DKJ14" s="476"/>
      <c r="DKK14" s="476"/>
      <c r="DKL14" s="476"/>
      <c r="DKM14" s="476"/>
      <c r="DKN14" s="476"/>
      <c r="DKO14" s="476"/>
      <c r="DKP14" s="476"/>
      <c r="DKQ14" s="477"/>
      <c r="DKR14" s="477"/>
      <c r="DKS14" s="463"/>
      <c r="DKT14" s="475"/>
      <c r="DKU14" s="476"/>
      <c r="DKV14" s="476"/>
      <c r="DKW14" s="476"/>
      <c r="DKX14" s="476"/>
      <c r="DKY14" s="476"/>
      <c r="DKZ14" s="476"/>
      <c r="DLA14" s="476"/>
      <c r="DLB14" s="476"/>
      <c r="DLC14" s="476"/>
      <c r="DLD14" s="476"/>
      <c r="DLE14" s="476"/>
      <c r="DLF14" s="476"/>
      <c r="DLG14" s="477"/>
      <c r="DLH14" s="477"/>
      <c r="DLI14" s="463"/>
      <c r="DLJ14" s="475"/>
      <c r="DLK14" s="476"/>
      <c r="DLL14" s="476"/>
      <c r="DLM14" s="476"/>
      <c r="DLN14" s="476"/>
      <c r="DLO14" s="476"/>
      <c r="DLP14" s="476"/>
      <c r="DLQ14" s="476"/>
      <c r="DLR14" s="476"/>
      <c r="DLS14" s="476"/>
      <c r="DLT14" s="476"/>
      <c r="DLU14" s="476"/>
      <c r="DLV14" s="476"/>
      <c r="DLW14" s="477"/>
      <c r="DLX14" s="477"/>
      <c r="DLY14" s="463"/>
      <c r="DLZ14" s="475"/>
      <c r="DMA14" s="476"/>
      <c r="DMB14" s="476"/>
      <c r="DMC14" s="476"/>
      <c r="DMD14" s="476"/>
      <c r="DME14" s="476"/>
      <c r="DMF14" s="476"/>
      <c r="DMG14" s="476"/>
      <c r="DMH14" s="476"/>
      <c r="DMI14" s="476"/>
      <c r="DMJ14" s="476"/>
      <c r="DMK14" s="476"/>
      <c r="DML14" s="476"/>
      <c r="DMM14" s="477"/>
      <c r="DMN14" s="477"/>
      <c r="DMO14" s="463"/>
      <c r="DMP14" s="475"/>
      <c r="DMQ14" s="476"/>
      <c r="DMR14" s="476"/>
      <c r="DMS14" s="476"/>
      <c r="DMT14" s="476"/>
      <c r="DMU14" s="476"/>
      <c r="DMV14" s="476"/>
      <c r="DMW14" s="476"/>
      <c r="DMX14" s="476"/>
      <c r="DMY14" s="476"/>
      <c r="DMZ14" s="476"/>
      <c r="DNA14" s="476"/>
      <c r="DNB14" s="476"/>
      <c r="DNC14" s="477"/>
      <c r="DND14" s="477"/>
      <c r="DNE14" s="463"/>
      <c r="DNF14" s="475"/>
      <c r="DNG14" s="476"/>
      <c r="DNH14" s="476"/>
      <c r="DNI14" s="476"/>
      <c r="DNJ14" s="476"/>
      <c r="DNK14" s="476"/>
      <c r="DNL14" s="476"/>
      <c r="DNM14" s="476"/>
      <c r="DNN14" s="476"/>
      <c r="DNO14" s="476"/>
      <c r="DNP14" s="476"/>
      <c r="DNQ14" s="476"/>
      <c r="DNR14" s="476"/>
      <c r="DNS14" s="477"/>
      <c r="DNT14" s="477"/>
      <c r="DNU14" s="463"/>
      <c r="DNV14" s="475"/>
      <c r="DNW14" s="476"/>
      <c r="DNX14" s="476"/>
      <c r="DNY14" s="476"/>
      <c r="DNZ14" s="476"/>
      <c r="DOA14" s="476"/>
      <c r="DOB14" s="476"/>
      <c r="DOC14" s="476"/>
      <c r="DOD14" s="476"/>
      <c r="DOE14" s="476"/>
      <c r="DOF14" s="476"/>
      <c r="DOG14" s="476"/>
      <c r="DOH14" s="476"/>
      <c r="DOI14" s="477"/>
      <c r="DOJ14" s="477"/>
      <c r="DOK14" s="463"/>
      <c r="DOL14" s="475"/>
      <c r="DOM14" s="476"/>
      <c r="DON14" s="476"/>
      <c r="DOO14" s="476"/>
      <c r="DOP14" s="476"/>
      <c r="DOQ14" s="476"/>
      <c r="DOR14" s="476"/>
      <c r="DOS14" s="476"/>
      <c r="DOT14" s="476"/>
      <c r="DOU14" s="476"/>
      <c r="DOV14" s="476"/>
      <c r="DOW14" s="476"/>
      <c r="DOX14" s="476"/>
      <c r="DOY14" s="477"/>
      <c r="DOZ14" s="477"/>
      <c r="DPA14" s="463"/>
      <c r="DPB14" s="475"/>
      <c r="DPC14" s="476"/>
      <c r="DPD14" s="476"/>
      <c r="DPE14" s="476"/>
      <c r="DPF14" s="476"/>
      <c r="DPG14" s="476"/>
      <c r="DPH14" s="476"/>
      <c r="DPI14" s="476"/>
      <c r="DPJ14" s="476"/>
      <c r="DPK14" s="476"/>
      <c r="DPL14" s="476"/>
      <c r="DPM14" s="476"/>
      <c r="DPN14" s="476"/>
      <c r="DPO14" s="477"/>
      <c r="DPP14" s="477"/>
      <c r="DPQ14" s="463"/>
      <c r="DPR14" s="475"/>
      <c r="DPS14" s="476"/>
      <c r="DPT14" s="476"/>
      <c r="DPU14" s="476"/>
      <c r="DPV14" s="476"/>
      <c r="DPW14" s="476"/>
      <c r="DPX14" s="476"/>
      <c r="DPY14" s="476"/>
      <c r="DPZ14" s="476"/>
      <c r="DQA14" s="476"/>
      <c r="DQB14" s="476"/>
      <c r="DQC14" s="476"/>
      <c r="DQD14" s="476"/>
      <c r="DQE14" s="477"/>
      <c r="DQF14" s="477"/>
      <c r="DQG14" s="463"/>
      <c r="DQH14" s="475"/>
      <c r="DQI14" s="476"/>
      <c r="DQJ14" s="476"/>
      <c r="DQK14" s="476"/>
      <c r="DQL14" s="476"/>
      <c r="DQM14" s="476"/>
      <c r="DQN14" s="476"/>
      <c r="DQO14" s="476"/>
      <c r="DQP14" s="476"/>
      <c r="DQQ14" s="476"/>
      <c r="DQR14" s="476"/>
      <c r="DQS14" s="476"/>
      <c r="DQT14" s="476"/>
      <c r="DQU14" s="477"/>
      <c r="DQV14" s="477"/>
      <c r="DQW14" s="463"/>
      <c r="DQX14" s="475"/>
      <c r="DQY14" s="476"/>
      <c r="DQZ14" s="476"/>
      <c r="DRA14" s="476"/>
      <c r="DRB14" s="476"/>
      <c r="DRC14" s="476"/>
      <c r="DRD14" s="476"/>
      <c r="DRE14" s="476"/>
      <c r="DRF14" s="476"/>
      <c r="DRG14" s="476"/>
      <c r="DRH14" s="476"/>
      <c r="DRI14" s="476"/>
      <c r="DRJ14" s="476"/>
      <c r="DRK14" s="477"/>
      <c r="DRL14" s="477"/>
      <c r="DRM14" s="463"/>
      <c r="DRN14" s="475"/>
      <c r="DRO14" s="476"/>
      <c r="DRP14" s="476"/>
      <c r="DRQ14" s="476"/>
      <c r="DRR14" s="476"/>
      <c r="DRS14" s="476"/>
      <c r="DRT14" s="476"/>
      <c r="DRU14" s="476"/>
      <c r="DRV14" s="476"/>
      <c r="DRW14" s="476"/>
      <c r="DRX14" s="476"/>
      <c r="DRY14" s="476"/>
      <c r="DRZ14" s="476"/>
      <c r="DSA14" s="477"/>
      <c r="DSB14" s="477"/>
      <c r="DSC14" s="463"/>
      <c r="DSD14" s="475"/>
      <c r="DSE14" s="476"/>
      <c r="DSF14" s="476"/>
      <c r="DSG14" s="476"/>
      <c r="DSH14" s="476"/>
      <c r="DSI14" s="476"/>
      <c r="DSJ14" s="476"/>
      <c r="DSK14" s="476"/>
      <c r="DSL14" s="476"/>
      <c r="DSM14" s="476"/>
      <c r="DSN14" s="476"/>
      <c r="DSO14" s="476"/>
      <c r="DSP14" s="476"/>
      <c r="DSQ14" s="477"/>
      <c r="DSR14" s="477"/>
      <c r="DSS14" s="463"/>
      <c r="DST14" s="475"/>
      <c r="DSU14" s="476"/>
      <c r="DSV14" s="476"/>
      <c r="DSW14" s="476"/>
      <c r="DSX14" s="476"/>
      <c r="DSY14" s="476"/>
      <c r="DSZ14" s="476"/>
      <c r="DTA14" s="476"/>
      <c r="DTB14" s="476"/>
      <c r="DTC14" s="476"/>
      <c r="DTD14" s="476"/>
      <c r="DTE14" s="476"/>
      <c r="DTF14" s="476"/>
      <c r="DTG14" s="477"/>
      <c r="DTH14" s="477"/>
      <c r="DTI14" s="463"/>
      <c r="DTJ14" s="475"/>
      <c r="DTK14" s="476"/>
      <c r="DTL14" s="476"/>
      <c r="DTM14" s="476"/>
      <c r="DTN14" s="476"/>
      <c r="DTO14" s="476"/>
      <c r="DTP14" s="476"/>
      <c r="DTQ14" s="476"/>
      <c r="DTR14" s="476"/>
      <c r="DTS14" s="476"/>
      <c r="DTT14" s="476"/>
      <c r="DTU14" s="476"/>
      <c r="DTV14" s="476"/>
      <c r="DTW14" s="477"/>
      <c r="DTX14" s="477"/>
      <c r="DTY14" s="463"/>
      <c r="DTZ14" s="475"/>
      <c r="DUA14" s="476"/>
      <c r="DUB14" s="476"/>
      <c r="DUC14" s="476"/>
      <c r="DUD14" s="476"/>
      <c r="DUE14" s="476"/>
      <c r="DUF14" s="476"/>
      <c r="DUG14" s="476"/>
      <c r="DUH14" s="476"/>
      <c r="DUI14" s="476"/>
      <c r="DUJ14" s="476"/>
      <c r="DUK14" s="476"/>
      <c r="DUL14" s="476"/>
      <c r="DUM14" s="477"/>
      <c r="DUN14" s="477"/>
      <c r="DUO14" s="463"/>
      <c r="DUP14" s="475"/>
      <c r="DUQ14" s="476"/>
      <c r="DUR14" s="476"/>
      <c r="DUS14" s="476"/>
      <c r="DUT14" s="476"/>
      <c r="DUU14" s="476"/>
      <c r="DUV14" s="476"/>
      <c r="DUW14" s="476"/>
      <c r="DUX14" s="476"/>
      <c r="DUY14" s="476"/>
      <c r="DUZ14" s="476"/>
      <c r="DVA14" s="476"/>
      <c r="DVB14" s="476"/>
      <c r="DVC14" s="477"/>
      <c r="DVD14" s="477"/>
      <c r="DVE14" s="463"/>
      <c r="DVF14" s="475"/>
      <c r="DVG14" s="476"/>
      <c r="DVH14" s="476"/>
      <c r="DVI14" s="476"/>
      <c r="DVJ14" s="476"/>
      <c r="DVK14" s="476"/>
      <c r="DVL14" s="476"/>
      <c r="DVM14" s="476"/>
      <c r="DVN14" s="476"/>
      <c r="DVO14" s="476"/>
      <c r="DVP14" s="476"/>
      <c r="DVQ14" s="476"/>
      <c r="DVR14" s="476"/>
      <c r="DVS14" s="477"/>
      <c r="DVT14" s="477"/>
      <c r="DVU14" s="463"/>
      <c r="DVV14" s="475"/>
      <c r="DVW14" s="476"/>
      <c r="DVX14" s="476"/>
      <c r="DVY14" s="476"/>
      <c r="DVZ14" s="476"/>
      <c r="DWA14" s="476"/>
      <c r="DWB14" s="476"/>
      <c r="DWC14" s="476"/>
      <c r="DWD14" s="476"/>
      <c r="DWE14" s="476"/>
      <c r="DWF14" s="476"/>
      <c r="DWG14" s="476"/>
      <c r="DWH14" s="476"/>
      <c r="DWI14" s="477"/>
      <c r="DWJ14" s="477"/>
      <c r="DWK14" s="463"/>
      <c r="DWL14" s="475"/>
      <c r="DWM14" s="476"/>
      <c r="DWN14" s="476"/>
      <c r="DWO14" s="476"/>
      <c r="DWP14" s="476"/>
      <c r="DWQ14" s="476"/>
      <c r="DWR14" s="476"/>
      <c r="DWS14" s="476"/>
      <c r="DWT14" s="476"/>
      <c r="DWU14" s="476"/>
      <c r="DWV14" s="476"/>
      <c r="DWW14" s="476"/>
      <c r="DWX14" s="476"/>
      <c r="DWY14" s="477"/>
      <c r="DWZ14" s="477"/>
      <c r="DXA14" s="463"/>
      <c r="DXB14" s="475"/>
      <c r="DXC14" s="476"/>
      <c r="DXD14" s="476"/>
      <c r="DXE14" s="476"/>
      <c r="DXF14" s="476"/>
      <c r="DXG14" s="476"/>
      <c r="DXH14" s="476"/>
      <c r="DXI14" s="476"/>
      <c r="DXJ14" s="476"/>
      <c r="DXK14" s="476"/>
      <c r="DXL14" s="476"/>
      <c r="DXM14" s="476"/>
      <c r="DXN14" s="476"/>
      <c r="DXO14" s="477"/>
      <c r="DXP14" s="477"/>
      <c r="DXQ14" s="463"/>
      <c r="DXR14" s="475"/>
      <c r="DXS14" s="476"/>
      <c r="DXT14" s="476"/>
      <c r="DXU14" s="476"/>
      <c r="DXV14" s="476"/>
      <c r="DXW14" s="476"/>
      <c r="DXX14" s="476"/>
      <c r="DXY14" s="476"/>
      <c r="DXZ14" s="476"/>
      <c r="DYA14" s="476"/>
      <c r="DYB14" s="476"/>
      <c r="DYC14" s="476"/>
      <c r="DYD14" s="476"/>
      <c r="DYE14" s="477"/>
      <c r="DYF14" s="477"/>
      <c r="DYG14" s="463"/>
      <c r="DYH14" s="475"/>
      <c r="DYI14" s="476"/>
      <c r="DYJ14" s="476"/>
      <c r="DYK14" s="476"/>
      <c r="DYL14" s="476"/>
      <c r="DYM14" s="476"/>
      <c r="DYN14" s="476"/>
      <c r="DYO14" s="476"/>
      <c r="DYP14" s="476"/>
      <c r="DYQ14" s="476"/>
      <c r="DYR14" s="476"/>
      <c r="DYS14" s="476"/>
      <c r="DYT14" s="476"/>
      <c r="DYU14" s="477"/>
      <c r="DYV14" s="477"/>
      <c r="DYW14" s="463"/>
      <c r="DYX14" s="475"/>
      <c r="DYY14" s="476"/>
      <c r="DYZ14" s="476"/>
      <c r="DZA14" s="476"/>
      <c r="DZB14" s="476"/>
      <c r="DZC14" s="476"/>
      <c r="DZD14" s="476"/>
      <c r="DZE14" s="476"/>
      <c r="DZF14" s="476"/>
      <c r="DZG14" s="476"/>
      <c r="DZH14" s="476"/>
      <c r="DZI14" s="476"/>
      <c r="DZJ14" s="476"/>
      <c r="DZK14" s="477"/>
      <c r="DZL14" s="477"/>
      <c r="DZM14" s="463"/>
      <c r="DZN14" s="475"/>
      <c r="DZO14" s="476"/>
      <c r="DZP14" s="476"/>
      <c r="DZQ14" s="476"/>
      <c r="DZR14" s="476"/>
      <c r="DZS14" s="476"/>
      <c r="DZT14" s="476"/>
      <c r="DZU14" s="476"/>
      <c r="DZV14" s="476"/>
      <c r="DZW14" s="476"/>
      <c r="DZX14" s="476"/>
      <c r="DZY14" s="476"/>
      <c r="DZZ14" s="476"/>
      <c r="EAA14" s="477"/>
      <c r="EAB14" s="477"/>
      <c r="EAC14" s="463"/>
      <c r="EAD14" s="475"/>
      <c r="EAE14" s="476"/>
      <c r="EAF14" s="476"/>
      <c r="EAG14" s="476"/>
      <c r="EAH14" s="476"/>
      <c r="EAI14" s="476"/>
      <c r="EAJ14" s="476"/>
      <c r="EAK14" s="476"/>
      <c r="EAL14" s="476"/>
      <c r="EAM14" s="476"/>
      <c r="EAN14" s="476"/>
      <c r="EAO14" s="476"/>
      <c r="EAP14" s="476"/>
      <c r="EAQ14" s="477"/>
      <c r="EAR14" s="477"/>
      <c r="EAS14" s="463"/>
      <c r="EAT14" s="475"/>
      <c r="EAU14" s="476"/>
      <c r="EAV14" s="476"/>
      <c r="EAW14" s="476"/>
      <c r="EAX14" s="476"/>
      <c r="EAY14" s="476"/>
      <c r="EAZ14" s="476"/>
      <c r="EBA14" s="476"/>
      <c r="EBB14" s="476"/>
      <c r="EBC14" s="476"/>
      <c r="EBD14" s="476"/>
      <c r="EBE14" s="476"/>
      <c r="EBF14" s="476"/>
      <c r="EBG14" s="477"/>
      <c r="EBH14" s="477"/>
      <c r="EBI14" s="463"/>
      <c r="EBJ14" s="475"/>
      <c r="EBK14" s="476"/>
      <c r="EBL14" s="476"/>
      <c r="EBM14" s="476"/>
      <c r="EBN14" s="476"/>
      <c r="EBO14" s="476"/>
      <c r="EBP14" s="476"/>
      <c r="EBQ14" s="476"/>
      <c r="EBR14" s="476"/>
      <c r="EBS14" s="476"/>
      <c r="EBT14" s="476"/>
      <c r="EBU14" s="476"/>
      <c r="EBV14" s="476"/>
      <c r="EBW14" s="477"/>
      <c r="EBX14" s="477"/>
      <c r="EBY14" s="463"/>
      <c r="EBZ14" s="475"/>
      <c r="ECA14" s="476"/>
      <c r="ECB14" s="476"/>
      <c r="ECC14" s="476"/>
      <c r="ECD14" s="476"/>
      <c r="ECE14" s="476"/>
      <c r="ECF14" s="476"/>
      <c r="ECG14" s="476"/>
      <c r="ECH14" s="476"/>
      <c r="ECI14" s="476"/>
      <c r="ECJ14" s="476"/>
      <c r="ECK14" s="476"/>
      <c r="ECL14" s="476"/>
      <c r="ECM14" s="477"/>
      <c r="ECN14" s="477"/>
      <c r="ECO14" s="463"/>
      <c r="ECP14" s="475"/>
      <c r="ECQ14" s="476"/>
      <c r="ECR14" s="476"/>
      <c r="ECS14" s="476"/>
      <c r="ECT14" s="476"/>
      <c r="ECU14" s="476"/>
      <c r="ECV14" s="476"/>
      <c r="ECW14" s="476"/>
      <c r="ECX14" s="476"/>
      <c r="ECY14" s="476"/>
      <c r="ECZ14" s="476"/>
      <c r="EDA14" s="476"/>
      <c r="EDB14" s="476"/>
      <c r="EDC14" s="477"/>
      <c r="EDD14" s="477"/>
      <c r="EDE14" s="463"/>
      <c r="EDF14" s="475"/>
      <c r="EDG14" s="476"/>
      <c r="EDH14" s="476"/>
      <c r="EDI14" s="476"/>
      <c r="EDJ14" s="476"/>
      <c r="EDK14" s="476"/>
      <c r="EDL14" s="476"/>
      <c r="EDM14" s="476"/>
      <c r="EDN14" s="476"/>
      <c r="EDO14" s="476"/>
      <c r="EDP14" s="476"/>
      <c r="EDQ14" s="476"/>
      <c r="EDR14" s="476"/>
      <c r="EDS14" s="477"/>
      <c r="EDT14" s="477"/>
      <c r="EDU14" s="463"/>
      <c r="EDV14" s="475"/>
      <c r="EDW14" s="476"/>
      <c r="EDX14" s="476"/>
      <c r="EDY14" s="476"/>
      <c r="EDZ14" s="476"/>
      <c r="EEA14" s="476"/>
      <c r="EEB14" s="476"/>
      <c r="EEC14" s="476"/>
      <c r="EED14" s="476"/>
      <c r="EEE14" s="476"/>
      <c r="EEF14" s="476"/>
      <c r="EEG14" s="476"/>
      <c r="EEH14" s="476"/>
      <c r="EEI14" s="477"/>
      <c r="EEJ14" s="477"/>
      <c r="EEK14" s="463"/>
      <c r="EEL14" s="475"/>
      <c r="EEM14" s="476"/>
      <c r="EEN14" s="476"/>
      <c r="EEO14" s="476"/>
      <c r="EEP14" s="476"/>
      <c r="EEQ14" s="476"/>
      <c r="EER14" s="476"/>
      <c r="EES14" s="476"/>
      <c r="EET14" s="476"/>
      <c r="EEU14" s="476"/>
      <c r="EEV14" s="476"/>
      <c r="EEW14" s="476"/>
      <c r="EEX14" s="476"/>
      <c r="EEY14" s="477"/>
      <c r="EEZ14" s="477"/>
      <c r="EFA14" s="463"/>
      <c r="EFB14" s="475"/>
      <c r="EFC14" s="476"/>
      <c r="EFD14" s="476"/>
      <c r="EFE14" s="476"/>
      <c r="EFF14" s="476"/>
      <c r="EFG14" s="476"/>
      <c r="EFH14" s="476"/>
      <c r="EFI14" s="476"/>
      <c r="EFJ14" s="476"/>
      <c r="EFK14" s="476"/>
      <c r="EFL14" s="476"/>
      <c r="EFM14" s="476"/>
      <c r="EFN14" s="476"/>
      <c r="EFO14" s="477"/>
      <c r="EFP14" s="477"/>
      <c r="EFQ14" s="463"/>
      <c r="EFR14" s="475"/>
      <c r="EFS14" s="476"/>
      <c r="EFT14" s="476"/>
      <c r="EFU14" s="476"/>
      <c r="EFV14" s="476"/>
      <c r="EFW14" s="476"/>
      <c r="EFX14" s="476"/>
      <c r="EFY14" s="476"/>
      <c r="EFZ14" s="476"/>
      <c r="EGA14" s="476"/>
      <c r="EGB14" s="476"/>
      <c r="EGC14" s="476"/>
      <c r="EGD14" s="476"/>
      <c r="EGE14" s="477"/>
      <c r="EGF14" s="477"/>
      <c r="EGG14" s="463"/>
      <c r="EGH14" s="475"/>
      <c r="EGI14" s="476"/>
      <c r="EGJ14" s="476"/>
      <c r="EGK14" s="476"/>
      <c r="EGL14" s="476"/>
      <c r="EGM14" s="476"/>
      <c r="EGN14" s="476"/>
      <c r="EGO14" s="476"/>
      <c r="EGP14" s="476"/>
      <c r="EGQ14" s="476"/>
      <c r="EGR14" s="476"/>
      <c r="EGS14" s="476"/>
      <c r="EGT14" s="476"/>
      <c r="EGU14" s="477"/>
      <c r="EGV14" s="477"/>
      <c r="EGW14" s="463"/>
      <c r="EGX14" s="475"/>
      <c r="EGY14" s="476"/>
      <c r="EGZ14" s="476"/>
      <c r="EHA14" s="476"/>
      <c r="EHB14" s="476"/>
      <c r="EHC14" s="476"/>
      <c r="EHD14" s="476"/>
      <c r="EHE14" s="476"/>
      <c r="EHF14" s="476"/>
      <c r="EHG14" s="476"/>
      <c r="EHH14" s="476"/>
      <c r="EHI14" s="476"/>
      <c r="EHJ14" s="476"/>
      <c r="EHK14" s="477"/>
      <c r="EHL14" s="477"/>
      <c r="EHM14" s="463"/>
      <c r="EHN14" s="475"/>
      <c r="EHO14" s="476"/>
      <c r="EHP14" s="476"/>
      <c r="EHQ14" s="476"/>
      <c r="EHR14" s="476"/>
      <c r="EHS14" s="476"/>
      <c r="EHT14" s="476"/>
      <c r="EHU14" s="476"/>
      <c r="EHV14" s="476"/>
      <c r="EHW14" s="476"/>
      <c r="EHX14" s="476"/>
      <c r="EHY14" s="476"/>
      <c r="EHZ14" s="476"/>
      <c r="EIA14" s="477"/>
      <c r="EIB14" s="477"/>
      <c r="EIC14" s="463"/>
      <c r="EID14" s="475"/>
      <c r="EIE14" s="476"/>
      <c r="EIF14" s="476"/>
      <c r="EIG14" s="476"/>
      <c r="EIH14" s="476"/>
      <c r="EII14" s="476"/>
      <c r="EIJ14" s="476"/>
      <c r="EIK14" s="476"/>
      <c r="EIL14" s="476"/>
      <c r="EIM14" s="476"/>
      <c r="EIN14" s="476"/>
      <c r="EIO14" s="476"/>
      <c r="EIP14" s="476"/>
      <c r="EIQ14" s="477"/>
      <c r="EIR14" s="477"/>
      <c r="EIS14" s="463"/>
      <c r="EIT14" s="475"/>
      <c r="EIU14" s="476"/>
      <c r="EIV14" s="476"/>
      <c r="EIW14" s="476"/>
      <c r="EIX14" s="476"/>
      <c r="EIY14" s="476"/>
      <c r="EIZ14" s="476"/>
      <c r="EJA14" s="476"/>
      <c r="EJB14" s="476"/>
      <c r="EJC14" s="476"/>
      <c r="EJD14" s="476"/>
      <c r="EJE14" s="476"/>
      <c r="EJF14" s="476"/>
      <c r="EJG14" s="477"/>
      <c r="EJH14" s="477"/>
      <c r="EJI14" s="463"/>
      <c r="EJJ14" s="475"/>
      <c r="EJK14" s="476"/>
      <c r="EJL14" s="476"/>
      <c r="EJM14" s="476"/>
      <c r="EJN14" s="476"/>
      <c r="EJO14" s="476"/>
      <c r="EJP14" s="476"/>
      <c r="EJQ14" s="476"/>
      <c r="EJR14" s="476"/>
      <c r="EJS14" s="476"/>
      <c r="EJT14" s="476"/>
      <c r="EJU14" s="476"/>
      <c r="EJV14" s="476"/>
      <c r="EJW14" s="477"/>
      <c r="EJX14" s="477"/>
      <c r="EJY14" s="463"/>
      <c r="EJZ14" s="475"/>
      <c r="EKA14" s="476"/>
      <c r="EKB14" s="476"/>
      <c r="EKC14" s="476"/>
      <c r="EKD14" s="476"/>
      <c r="EKE14" s="476"/>
      <c r="EKF14" s="476"/>
      <c r="EKG14" s="476"/>
      <c r="EKH14" s="476"/>
      <c r="EKI14" s="476"/>
      <c r="EKJ14" s="476"/>
      <c r="EKK14" s="476"/>
      <c r="EKL14" s="476"/>
      <c r="EKM14" s="477"/>
      <c r="EKN14" s="477"/>
      <c r="EKO14" s="463"/>
      <c r="EKP14" s="475"/>
      <c r="EKQ14" s="476"/>
      <c r="EKR14" s="476"/>
      <c r="EKS14" s="476"/>
      <c r="EKT14" s="476"/>
      <c r="EKU14" s="476"/>
      <c r="EKV14" s="476"/>
      <c r="EKW14" s="476"/>
      <c r="EKX14" s="476"/>
      <c r="EKY14" s="476"/>
      <c r="EKZ14" s="476"/>
      <c r="ELA14" s="476"/>
      <c r="ELB14" s="476"/>
      <c r="ELC14" s="477"/>
      <c r="ELD14" s="477"/>
      <c r="ELE14" s="463"/>
      <c r="ELF14" s="475"/>
      <c r="ELG14" s="476"/>
      <c r="ELH14" s="476"/>
      <c r="ELI14" s="476"/>
      <c r="ELJ14" s="476"/>
      <c r="ELK14" s="476"/>
      <c r="ELL14" s="476"/>
      <c r="ELM14" s="476"/>
      <c r="ELN14" s="476"/>
      <c r="ELO14" s="476"/>
      <c r="ELP14" s="476"/>
      <c r="ELQ14" s="476"/>
      <c r="ELR14" s="476"/>
      <c r="ELS14" s="477"/>
      <c r="ELT14" s="477"/>
      <c r="ELU14" s="463"/>
      <c r="ELV14" s="475"/>
      <c r="ELW14" s="476"/>
      <c r="ELX14" s="476"/>
      <c r="ELY14" s="476"/>
      <c r="ELZ14" s="476"/>
      <c r="EMA14" s="476"/>
      <c r="EMB14" s="476"/>
      <c r="EMC14" s="476"/>
      <c r="EMD14" s="476"/>
      <c r="EME14" s="476"/>
      <c r="EMF14" s="476"/>
      <c r="EMG14" s="476"/>
      <c r="EMH14" s="476"/>
      <c r="EMI14" s="477"/>
      <c r="EMJ14" s="477"/>
      <c r="EMK14" s="463"/>
      <c r="EML14" s="475"/>
      <c r="EMM14" s="476"/>
      <c r="EMN14" s="476"/>
      <c r="EMO14" s="476"/>
      <c r="EMP14" s="476"/>
      <c r="EMQ14" s="476"/>
      <c r="EMR14" s="476"/>
      <c r="EMS14" s="476"/>
      <c r="EMT14" s="476"/>
      <c r="EMU14" s="476"/>
      <c r="EMV14" s="476"/>
      <c r="EMW14" s="476"/>
      <c r="EMX14" s="476"/>
      <c r="EMY14" s="477"/>
      <c r="EMZ14" s="477"/>
      <c r="ENA14" s="463"/>
      <c r="ENB14" s="475"/>
      <c r="ENC14" s="476"/>
      <c r="END14" s="476"/>
      <c r="ENE14" s="476"/>
      <c r="ENF14" s="476"/>
      <c r="ENG14" s="476"/>
      <c r="ENH14" s="476"/>
      <c r="ENI14" s="476"/>
      <c r="ENJ14" s="476"/>
      <c r="ENK14" s="476"/>
      <c r="ENL14" s="476"/>
      <c r="ENM14" s="476"/>
      <c r="ENN14" s="476"/>
      <c r="ENO14" s="477"/>
      <c r="ENP14" s="477"/>
      <c r="ENQ14" s="463"/>
      <c r="ENR14" s="475"/>
      <c r="ENS14" s="476"/>
      <c r="ENT14" s="476"/>
      <c r="ENU14" s="476"/>
      <c r="ENV14" s="476"/>
      <c r="ENW14" s="476"/>
      <c r="ENX14" s="476"/>
      <c r="ENY14" s="476"/>
      <c r="ENZ14" s="476"/>
      <c r="EOA14" s="476"/>
      <c r="EOB14" s="476"/>
      <c r="EOC14" s="476"/>
      <c r="EOD14" s="476"/>
      <c r="EOE14" s="477"/>
      <c r="EOF14" s="477"/>
      <c r="EOG14" s="463"/>
      <c r="EOH14" s="475"/>
      <c r="EOI14" s="476"/>
      <c r="EOJ14" s="476"/>
      <c r="EOK14" s="476"/>
      <c r="EOL14" s="476"/>
      <c r="EOM14" s="476"/>
      <c r="EON14" s="476"/>
      <c r="EOO14" s="476"/>
      <c r="EOP14" s="476"/>
      <c r="EOQ14" s="476"/>
      <c r="EOR14" s="476"/>
      <c r="EOS14" s="476"/>
      <c r="EOT14" s="476"/>
      <c r="EOU14" s="477"/>
      <c r="EOV14" s="477"/>
      <c r="EOW14" s="463"/>
      <c r="EOX14" s="475"/>
      <c r="EOY14" s="476"/>
      <c r="EOZ14" s="476"/>
      <c r="EPA14" s="476"/>
      <c r="EPB14" s="476"/>
      <c r="EPC14" s="476"/>
      <c r="EPD14" s="476"/>
      <c r="EPE14" s="476"/>
      <c r="EPF14" s="476"/>
      <c r="EPG14" s="476"/>
      <c r="EPH14" s="476"/>
      <c r="EPI14" s="476"/>
      <c r="EPJ14" s="476"/>
      <c r="EPK14" s="477"/>
      <c r="EPL14" s="477"/>
      <c r="EPM14" s="463"/>
      <c r="EPN14" s="475"/>
      <c r="EPO14" s="476"/>
      <c r="EPP14" s="476"/>
      <c r="EPQ14" s="476"/>
      <c r="EPR14" s="476"/>
      <c r="EPS14" s="476"/>
      <c r="EPT14" s="476"/>
      <c r="EPU14" s="476"/>
      <c r="EPV14" s="476"/>
      <c r="EPW14" s="476"/>
      <c r="EPX14" s="476"/>
      <c r="EPY14" s="476"/>
      <c r="EPZ14" s="476"/>
      <c r="EQA14" s="477"/>
      <c r="EQB14" s="477"/>
      <c r="EQC14" s="463"/>
      <c r="EQD14" s="475"/>
      <c r="EQE14" s="476"/>
      <c r="EQF14" s="476"/>
      <c r="EQG14" s="476"/>
      <c r="EQH14" s="476"/>
      <c r="EQI14" s="476"/>
      <c r="EQJ14" s="476"/>
      <c r="EQK14" s="476"/>
      <c r="EQL14" s="476"/>
      <c r="EQM14" s="476"/>
      <c r="EQN14" s="476"/>
      <c r="EQO14" s="476"/>
      <c r="EQP14" s="476"/>
      <c r="EQQ14" s="477"/>
      <c r="EQR14" s="477"/>
      <c r="EQS14" s="463"/>
      <c r="EQT14" s="475"/>
      <c r="EQU14" s="476"/>
      <c r="EQV14" s="476"/>
      <c r="EQW14" s="476"/>
      <c r="EQX14" s="476"/>
      <c r="EQY14" s="476"/>
      <c r="EQZ14" s="476"/>
      <c r="ERA14" s="476"/>
      <c r="ERB14" s="476"/>
      <c r="ERC14" s="476"/>
      <c r="ERD14" s="476"/>
      <c r="ERE14" s="476"/>
      <c r="ERF14" s="476"/>
      <c r="ERG14" s="477"/>
      <c r="ERH14" s="477"/>
      <c r="ERI14" s="463"/>
      <c r="ERJ14" s="475"/>
      <c r="ERK14" s="476"/>
      <c r="ERL14" s="476"/>
      <c r="ERM14" s="476"/>
      <c r="ERN14" s="476"/>
      <c r="ERO14" s="476"/>
      <c r="ERP14" s="476"/>
      <c r="ERQ14" s="476"/>
      <c r="ERR14" s="476"/>
      <c r="ERS14" s="476"/>
      <c r="ERT14" s="476"/>
      <c r="ERU14" s="476"/>
      <c r="ERV14" s="476"/>
      <c r="ERW14" s="477"/>
      <c r="ERX14" s="477"/>
      <c r="ERY14" s="463"/>
      <c r="ERZ14" s="475"/>
      <c r="ESA14" s="476"/>
      <c r="ESB14" s="476"/>
      <c r="ESC14" s="476"/>
      <c r="ESD14" s="476"/>
      <c r="ESE14" s="476"/>
      <c r="ESF14" s="476"/>
      <c r="ESG14" s="476"/>
      <c r="ESH14" s="476"/>
      <c r="ESI14" s="476"/>
      <c r="ESJ14" s="476"/>
      <c r="ESK14" s="476"/>
      <c r="ESL14" s="476"/>
      <c r="ESM14" s="477"/>
      <c r="ESN14" s="477"/>
      <c r="ESO14" s="463"/>
      <c r="ESP14" s="475"/>
      <c r="ESQ14" s="476"/>
      <c r="ESR14" s="476"/>
      <c r="ESS14" s="476"/>
      <c r="EST14" s="476"/>
      <c r="ESU14" s="476"/>
      <c r="ESV14" s="476"/>
      <c r="ESW14" s="476"/>
      <c r="ESX14" s="476"/>
      <c r="ESY14" s="476"/>
      <c r="ESZ14" s="476"/>
      <c r="ETA14" s="476"/>
      <c r="ETB14" s="476"/>
      <c r="ETC14" s="477"/>
      <c r="ETD14" s="477"/>
      <c r="ETE14" s="463"/>
      <c r="ETF14" s="475"/>
      <c r="ETG14" s="476"/>
      <c r="ETH14" s="476"/>
      <c r="ETI14" s="476"/>
      <c r="ETJ14" s="476"/>
      <c r="ETK14" s="476"/>
      <c r="ETL14" s="476"/>
      <c r="ETM14" s="476"/>
      <c r="ETN14" s="476"/>
      <c r="ETO14" s="476"/>
      <c r="ETP14" s="476"/>
      <c r="ETQ14" s="476"/>
      <c r="ETR14" s="476"/>
      <c r="ETS14" s="477"/>
      <c r="ETT14" s="477"/>
      <c r="ETU14" s="463"/>
      <c r="ETV14" s="475"/>
      <c r="ETW14" s="476"/>
      <c r="ETX14" s="476"/>
      <c r="ETY14" s="476"/>
      <c r="ETZ14" s="476"/>
      <c r="EUA14" s="476"/>
      <c r="EUB14" s="476"/>
      <c r="EUC14" s="476"/>
      <c r="EUD14" s="476"/>
      <c r="EUE14" s="476"/>
      <c r="EUF14" s="476"/>
      <c r="EUG14" s="476"/>
      <c r="EUH14" s="476"/>
      <c r="EUI14" s="477"/>
      <c r="EUJ14" s="477"/>
      <c r="EUK14" s="463"/>
      <c r="EUL14" s="475"/>
      <c r="EUM14" s="476"/>
      <c r="EUN14" s="476"/>
      <c r="EUO14" s="476"/>
      <c r="EUP14" s="476"/>
      <c r="EUQ14" s="476"/>
      <c r="EUR14" s="476"/>
      <c r="EUS14" s="476"/>
      <c r="EUT14" s="476"/>
      <c r="EUU14" s="476"/>
      <c r="EUV14" s="476"/>
      <c r="EUW14" s="476"/>
      <c r="EUX14" s="476"/>
      <c r="EUY14" s="477"/>
      <c r="EUZ14" s="477"/>
      <c r="EVA14" s="463"/>
      <c r="EVB14" s="475"/>
      <c r="EVC14" s="476"/>
      <c r="EVD14" s="476"/>
      <c r="EVE14" s="476"/>
      <c r="EVF14" s="476"/>
      <c r="EVG14" s="476"/>
      <c r="EVH14" s="476"/>
      <c r="EVI14" s="476"/>
      <c r="EVJ14" s="476"/>
      <c r="EVK14" s="476"/>
      <c r="EVL14" s="476"/>
      <c r="EVM14" s="476"/>
      <c r="EVN14" s="476"/>
      <c r="EVO14" s="477"/>
      <c r="EVP14" s="477"/>
      <c r="EVQ14" s="463"/>
      <c r="EVR14" s="475"/>
      <c r="EVS14" s="476"/>
      <c r="EVT14" s="476"/>
      <c r="EVU14" s="476"/>
      <c r="EVV14" s="476"/>
      <c r="EVW14" s="476"/>
      <c r="EVX14" s="476"/>
      <c r="EVY14" s="476"/>
      <c r="EVZ14" s="476"/>
      <c r="EWA14" s="476"/>
      <c r="EWB14" s="476"/>
      <c r="EWC14" s="476"/>
      <c r="EWD14" s="476"/>
      <c r="EWE14" s="477"/>
      <c r="EWF14" s="477"/>
      <c r="EWG14" s="463"/>
      <c r="EWH14" s="475"/>
      <c r="EWI14" s="476"/>
      <c r="EWJ14" s="476"/>
      <c r="EWK14" s="476"/>
      <c r="EWL14" s="476"/>
      <c r="EWM14" s="476"/>
      <c r="EWN14" s="476"/>
      <c r="EWO14" s="476"/>
      <c r="EWP14" s="476"/>
      <c r="EWQ14" s="476"/>
      <c r="EWR14" s="476"/>
      <c r="EWS14" s="476"/>
      <c r="EWT14" s="476"/>
      <c r="EWU14" s="477"/>
      <c r="EWV14" s="477"/>
      <c r="EWW14" s="463"/>
      <c r="EWX14" s="475"/>
      <c r="EWY14" s="476"/>
      <c r="EWZ14" s="476"/>
      <c r="EXA14" s="476"/>
      <c r="EXB14" s="476"/>
      <c r="EXC14" s="476"/>
      <c r="EXD14" s="476"/>
      <c r="EXE14" s="476"/>
      <c r="EXF14" s="476"/>
      <c r="EXG14" s="476"/>
      <c r="EXH14" s="476"/>
      <c r="EXI14" s="476"/>
      <c r="EXJ14" s="476"/>
      <c r="EXK14" s="477"/>
      <c r="EXL14" s="477"/>
      <c r="EXM14" s="463"/>
      <c r="EXN14" s="475"/>
      <c r="EXO14" s="476"/>
      <c r="EXP14" s="476"/>
      <c r="EXQ14" s="476"/>
      <c r="EXR14" s="476"/>
      <c r="EXS14" s="476"/>
      <c r="EXT14" s="476"/>
      <c r="EXU14" s="476"/>
      <c r="EXV14" s="476"/>
      <c r="EXW14" s="476"/>
      <c r="EXX14" s="476"/>
      <c r="EXY14" s="476"/>
      <c r="EXZ14" s="476"/>
      <c r="EYA14" s="477"/>
      <c r="EYB14" s="477"/>
      <c r="EYC14" s="463"/>
      <c r="EYD14" s="475"/>
      <c r="EYE14" s="476"/>
      <c r="EYF14" s="476"/>
      <c r="EYG14" s="476"/>
      <c r="EYH14" s="476"/>
      <c r="EYI14" s="476"/>
      <c r="EYJ14" s="476"/>
      <c r="EYK14" s="476"/>
      <c r="EYL14" s="476"/>
      <c r="EYM14" s="476"/>
      <c r="EYN14" s="476"/>
      <c r="EYO14" s="476"/>
      <c r="EYP14" s="476"/>
      <c r="EYQ14" s="477"/>
      <c r="EYR14" s="477"/>
      <c r="EYS14" s="463"/>
      <c r="EYT14" s="475"/>
      <c r="EYU14" s="476"/>
      <c r="EYV14" s="476"/>
      <c r="EYW14" s="476"/>
      <c r="EYX14" s="476"/>
      <c r="EYY14" s="476"/>
      <c r="EYZ14" s="476"/>
      <c r="EZA14" s="476"/>
      <c r="EZB14" s="476"/>
      <c r="EZC14" s="476"/>
      <c r="EZD14" s="476"/>
      <c r="EZE14" s="476"/>
      <c r="EZF14" s="476"/>
      <c r="EZG14" s="477"/>
      <c r="EZH14" s="477"/>
      <c r="EZI14" s="463"/>
      <c r="EZJ14" s="475"/>
      <c r="EZK14" s="476"/>
      <c r="EZL14" s="476"/>
      <c r="EZM14" s="476"/>
      <c r="EZN14" s="476"/>
      <c r="EZO14" s="476"/>
      <c r="EZP14" s="476"/>
      <c r="EZQ14" s="476"/>
      <c r="EZR14" s="476"/>
      <c r="EZS14" s="476"/>
      <c r="EZT14" s="476"/>
      <c r="EZU14" s="476"/>
      <c r="EZV14" s="476"/>
      <c r="EZW14" s="477"/>
      <c r="EZX14" s="477"/>
      <c r="EZY14" s="463"/>
      <c r="EZZ14" s="475"/>
      <c r="FAA14" s="476"/>
      <c r="FAB14" s="476"/>
      <c r="FAC14" s="476"/>
      <c r="FAD14" s="476"/>
      <c r="FAE14" s="476"/>
      <c r="FAF14" s="476"/>
      <c r="FAG14" s="476"/>
      <c r="FAH14" s="476"/>
      <c r="FAI14" s="476"/>
      <c r="FAJ14" s="476"/>
      <c r="FAK14" s="476"/>
      <c r="FAL14" s="476"/>
      <c r="FAM14" s="477"/>
      <c r="FAN14" s="477"/>
      <c r="FAO14" s="463"/>
      <c r="FAP14" s="475"/>
      <c r="FAQ14" s="476"/>
      <c r="FAR14" s="476"/>
      <c r="FAS14" s="476"/>
      <c r="FAT14" s="476"/>
      <c r="FAU14" s="476"/>
      <c r="FAV14" s="476"/>
      <c r="FAW14" s="476"/>
      <c r="FAX14" s="476"/>
      <c r="FAY14" s="476"/>
      <c r="FAZ14" s="476"/>
      <c r="FBA14" s="476"/>
      <c r="FBB14" s="476"/>
      <c r="FBC14" s="477"/>
      <c r="FBD14" s="477"/>
      <c r="FBE14" s="463"/>
      <c r="FBF14" s="475"/>
      <c r="FBG14" s="476"/>
      <c r="FBH14" s="476"/>
      <c r="FBI14" s="476"/>
      <c r="FBJ14" s="476"/>
      <c r="FBK14" s="476"/>
      <c r="FBL14" s="476"/>
      <c r="FBM14" s="476"/>
      <c r="FBN14" s="476"/>
      <c r="FBO14" s="476"/>
      <c r="FBP14" s="476"/>
      <c r="FBQ14" s="476"/>
      <c r="FBR14" s="476"/>
      <c r="FBS14" s="477"/>
      <c r="FBT14" s="477"/>
      <c r="FBU14" s="463"/>
      <c r="FBV14" s="475"/>
      <c r="FBW14" s="476"/>
      <c r="FBX14" s="476"/>
      <c r="FBY14" s="476"/>
      <c r="FBZ14" s="476"/>
      <c r="FCA14" s="476"/>
      <c r="FCB14" s="476"/>
      <c r="FCC14" s="476"/>
      <c r="FCD14" s="476"/>
      <c r="FCE14" s="476"/>
      <c r="FCF14" s="476"/>
      <c r="FCG14" s="476"/>
      <c r="FCH14" s="476"/>
      <c r="FCI14" s="477"/>
      <c r="FCJ14" s="477"/>
      <c r="FCK14" s="463"/>
      <c r="FCL14" s="475"/>
      <c r="FCM14" s="476"/>
      <c r="FCN14" s="476"/>
      <c r="FCO14" s="476"/>
      <c r="FCP14" s="476"/>
      <c r="FCQ14" s="476"/>
      <c r="FCR14" s="476"/>
      <c r="FCS14" s="476"/>
      <c r="FCT14" s="476"/>
      <c r="FCU14" s="476"/>
      <c r="FCV14" s="476"/>
      <c r="FCW14" s="476"/>
      <c r="FCX14" s="476"/>
      <c r="FCY14" s="477"/>
      <c r="FCZ14" s="477"/>
      <c r="FDA14" s="463"/>
      <c r="FDB14" s="475"/>
      <c r="FDC14" s="476"/>
      <c r="FDD14" s="476"/>
      <c r="FDE14" s="476"/>
      <c r="FDF14" s="476"/>
      <c r="FDG14" s="476"/>
      <c r="FDH14" s="476"/>
      <c r="FDI14" s="476"/>
      <c r="FDJ14" s="476"/>
      <c r="FDK14" s="476"/>
      <c r="FDL14" s="476"/>
      <c r="FDM14" s="476"/>
      <c r="FDN14" s="476"/>
      <c r="FDO14" s="477"/>
      <c r="FDP14" s="477"/>
      <c r="FDQ14" s="463"/>
      <c r="FDR14" s="475"/>
      <c r="FDS14" s="476"/>
      <c r="FDT14" s="476"/>
      <c r="FDU14" s="476"/>
      <c r="FDV14" s="476"/>
      <c r="FDW14" s="476"/>
      <c r="FDX14" s="476"/>
      <c r="FDY14" s="476"/>
      <c r="FDZ14" s="476"/>
      <c r="FEA14" s="476"/>
      <c r="FEB14" s="476"/>
      <c r="FEC14" s="476"/>
      <c r="FED14" s="476"/>
      <c r="FEE14" s="477"/>
      <c r="FEF14" s="477"/>
      <c r="FEG14" s="463"/>
      <c r="FEH14" s="475"/>
      <c r="FEI14" s="476"/>
      <c r="FEJ14" s="476"/>
      <c r="FEK14" s="476"/>
      <c r="FEL14" s="476"/>
      <c r="FEM14" s="476"/>
      <c r="FEN14" s="476"/>
      <c r="FEO14" s="476"/>
      <c r="FEP14" s="476"/>
      <c r="FEQ14" s="476"/>
      <c r="FER14" s="476"/>
      <c r="FES14" s="476"/>
      <c r="FET14" s="476"/>
      <c r="FEU14" s="477"/>
      <c r="FEV14" s="477"/>
      <c r="FEW14" s="463"/>
      <c r="FEX14" s="475"/>
      <c r="FEY14" s="476"/>
      <c r="FEZ14" s="476"/>
      <c r="FFA14" s="476"/>
      <c r="FFB14" s="476"/>
      <c r="FFC14" s="476"/>
      <c r="FFD14" s="476"/>
      <c r="FFE14" s="476"/>
      <c r="FFF14" s="476"/>
      <c r="FFG14" s="476"/>
      <c r="FFH14" s="476"/>
      <c r="FFI14" s="476"/>
      <c r="FFJ14" s="476"/>
      <c r="FFK14" s="477"/>
      <c r="FFL14" s="477"/>
      <c r="FFM14" s="463"/>
      <c r="FFN14" s="475"/>
      <c r="FFO14" s="476"/>
      <c r="FFP14" s="476"/>
      <c r="FFQ14" s="476"/>
      <c r="FFR14" s="476"/>
      <c r="FFS14" s="476"/>
      <c r="FFT14" s="476"/>
      <c r="FFU14" s="476"/>
      <c r="FFV14" s="476"/>
      <c r="FFW14" s="476"/>
      <c r="FFX14" s="476"/>
      <c r="FFY14" s="476"/>
      <c r="FFZ14" s="476"/>
      <c r="FGA14" s="477"/>
      <c r="FGB14" s="477"/>
      <c r="FGC14" s="463"/>
      <c r="FGD14" s="475"/>
      <c r="FGE14" s="476"/>
      <c r="FGF14" s="476"/>
      <c r="FGG14" s="476"/>
      <c r="FGH14" s="476"/>
      <c r="FGI14" s="476"/>
      <c r="FGJ14" s="476"/>
      <c r="FGK14" s="476"/>
      <c r="FGL14" s="476"/>
      <c r="FGM14" s="476"/>
      <c r="FGN14" s="476"/>
      <c r="FGO14" s="476"/>
      <c r="FGP14" s="476"/>
      <c r="FGQ14" s="477"/>
      <c r="FGR14" s="477"/>
      <c r="FGS14" s="463"/>
      <c r="FGT14" s="475"/>
      <c r="FGU14" s="476"/>
      <c r="FGV14" s="476"/>
      <c r="FGW14" s="476"/>
      <c r="FGX14" s="476"/>
      <c r="FGY14" s="476"/>
      <c r="FGZ14" s="476"/>
      <c r="FHA14" s="476"/>
      <c r="FHB14" s="476"/>
      <c r="FHC14" s="476"/>
      <c r="FHD14" s="476"/>
      <c r="FHE14" s="476"/>
      <c r="FHF14" s="476"/>
      <c r="FHG14" s="477"/>
      <c r="FHH14" s="477"/>
      <c r="FHI14" s="463"/>
      <c r="FHJ14" s="475"/>
      <c r="FHK14" s="476"/>
      <c r="FHL14" s="476"/>
      <c r="FHM14" s="476"/>
      <c r="FHN14" s="476"/>
      <c r="FHO14" s="476"/>
      <c r="FHP14" s="476"/>
      <c r="FHQ14" s="476"/>
      <c r="FHR14" s="476"/>
      <c r="FHS14" s="476"/>
      <c r="FHT14" s="476"/>
      <c r="FHU14" s="476"/>
      <c r="FHV14" s="476"/>
      <c r="FHW14" s="477"/>
      <c r="FHX14" s="477"/>
      <c r="FHY14" s="463"/>
      <c r="FHZ14" s="475"/>
      <c r="FIA14" s="476"/>
      <c r="FIB14" s="476"/>
      <c r="FIC14" s="476"/>
      <c r="FID14" s="476"/>
      <c r="FIE14" s="476"/>
      <c r="FIF14" s="476"/>
      <c r="FIG14" s="476"/>
      <c r="FIH14" s="476"/>
      <c r="FII14" s="476"/>
      <c r="FIJ14" s="476"/>
      <c r="FIK14" s="476"/>
      <c r="FIL14" s="476"/>
      <c r="FIM14" s="477"/>
      <c r="FIN14" s="477"/>
      <c r="FIO14" s="463"/>
      <c r="FIP14" s="475"/>
      <c r="FIQ14" s="476"/>
      <c r="FIR14" s="476"/>
      <c r="FIS14" s="476"/>
      <c r="FIT14" s="476"/>
      <c r="FIU14" s="476"/>
      <c r="FIV14" s="476"/>
      <c r="FIW14" s="476"/>
      <c r="FIX14" s="476"/>
      <c r="FIY14" s="476"/>
      <c r="FIZ14" s="476"/>
      <c r="FJA14" s="476"/>
      <c r="FJB14" s="476"/>
      <c r="FJC14" s="477"/>
      <c r="FJD14" s="477"/>
      <c r="FJE14" s="463"/>
      <c r="FJF14" s="475"/>
      <c r="FJG14" s="476"/>
      <c r="FJH14" s="476"/>
      <c r="FJI14" s="476"/>
      <c r="FJJ14" s="476"/>
      <c r="FJK14" s="476"/>
      <c r="FJL14" s="476"/>
      <c r="FJM14" s="476"/>
      <c r="FJN14" s="476"/>
      <c r="FJO14" s="476"/>
      <c r="FJP14" s="476"/>
      <c r="FJQ14" s="476"/>
      <c r="FJR14" s="476"/>
      <c r="FJS14" s="477"/>
      <c r="FJT14" s="477"/>
      <c r="FJU14" s="463"/>
      <c r="FJV14" s="475"/>
      <c r="FJW14" s="476"/>
      <c r="FJX14" s="476"/>
      <c r="FJY14" s="476"/>
      <c r="FJZ14" s="476"/>
      <c r="FKA14" s="476"/>
      <c r="FKB14" s="476"/>
      <c r="FKC14" s="476"/>
      <c r="FKD14" s="476"/>
      <c r="FKE14" s="476"/>
      <c r="FKF14" s="476"/>
      <c r="FKG14" s="476"/>
      <c r="FKH14" s="476"/>
      <c r="FKI14" s="477"/>
      <c r="FKJ14" s="477"/>
      <c r="FKK14" s="463"/>
      <c r="FKL14" s="475"/>
      <c r="FKM14" s="476"/>
      <c r="FKN14" s="476"/>
      <c r="FKO14" s="476"/>
      <c r="FKP14" s="476"/>
      <c r="FKQ14" s="476"/>
      <c r="FKR14" s="476"/>
      <c r="FKS14" s="476"/>
      <c r="FKT14" s="476"/>
      <c r="FKU14" s="476"/>
      <c r="FKV14" s="476"/>
      <c r="FKW14" s="476"/>
      <c r="FKX14" s="476"/>
      <c r="FKY14" s="477"/>
      <c r="FKZ14" s="477"/>
      <c r="FLA14" s="463"/>
      <c r="FLB14" s="475"/>
      <c r="FLC14" s="476"/>
      <c r="FLD14" s="476"/>
      <c r="FLE14" s="476"/>
      <c r="FLF14" s="476"/>
      <c r="FLG14" s="476"/>
      <c r="FLH14" s="476"/>
      <c r="FLI14" s="476"/>
      <c r="FLJ14" s="476"/>
      <c r="FLK14" s="476"/>
      <c r="FLL14" s="476"/>
      <c r="FLM14" s="476"/>
      <c r="FLN14" s="476"/>
      <c r="FLO14" s="477"/>
      <c r="FLP14" s="477"/>
      <c r="FLQ14" s="463"/>
      <c r="FLR14" s="475"/>
      <c r="FLS14" s="476"/>
      <c r="FLT14" s="476"/>
      <c r="FLU14" s="476"/>
      <c r="FLV14" s="476"/>
      <c r="FLW14" s="476"/>
      <c r="FLX14" s="476"/>
      <c r="FLY14" s="476"/>
      <c r="FLZ14" s="476"/>
      <c r="FMA14" s="476"/>
      <c r="FMB14" s="476"/>
      <c r="FMC14" s="476"/>
      <c r="FMD14" s="476"/>
      <c r="FME14" s="477"/>
      <c r="FMF14" s="477"/>
      <c r="FMG14" s="463"/>
      <c r="FMH14" s="475"/>
      <c r="FMI14" s="476"/>
      <c r="FMJ14" s="476"/>
      <c r="FMK14" s="476"/>
      <c r="FML14" s="476"/>
      <c r="FMM14" s="476"/>
      <c r="FMN14" s="476"/>
      <c r="FMO14" s="476"/>
      <c r="FMP14" s="476"/>
      <c r="FMQ14" s="476"/>
      <c r="FMR14" s="476"/>
      <c r="FMS14" s="476"/>
      <c r="FMT14" s="476"/>
      <c r="FMU14" s="477"/>
      <c r="FMV14" s="477"/>
      <c r="FMW14" s="463"/>
      <c r="FMX14" s="475"/>
      <c r="FMY14" s="476"/>
      <c r="FMZ14" s="476"/>
      <c r="FNA14" s="476"/>
      <c r="FNB14" s="476"/>
      <c r="FNC14" s="476"/>
      <c r="FND14" s="476"/>
      <c r="FNE14" s="476"/>
      <c r="FNF14" s="476"/>
      <c r="FNG14" s="476"/>
      <c r="FNH14" s="476"/>
      <c r="FNI14" s="476"/>
      <c r="FNJ14" s="476"/>
      <c r="FNK14" s="477"/>
      <c r="FNL14" s="477"/>
      <c r="FNM14" s="463"/>
      <c r="FNN14" s="475"/>
      <c r="FNO14" s="476"/>
      <c r="FNP14" s="476"/>
      <c r="FNQ14" s="476"/>
      <c r="FNR14" s="476"/>
      <c r="FNS14" s="476"/>
      <c r="FNT14" s="476"/>
      <c r="FNU14" s="476"/>
      <c r="FNV14" s="476"/>
      <c r="FNW14" s="476"/>
      <c r="FNX14" s="476"/>
      <c r="FNY14" s="476"/>
      <c r="FNZ14" s="476"/>
      <c r="FOA14" s="477"/>
      <c r="FOB14" s="477"/>
      <c r="FOC14" s="463"/>
      <c r="FOD14" s="475"/>
      <c r="FOE14" s="476"/>
      <c r="FOF14" s="476"/>
      <c r="FOG14" s="476"/>
      <c r="FOH14" s="476"/>
      <c r="FOI14" s="476"/>
      <c r="FOJ14" s="476"/>
      <c r="FOK14" s="476"/>
      <c r="FOL14" s="476"/>
      <c r="FOM14" s="476"/>
      <c r="FON14" s="476"/>
      <c r="FOO14" s="476"/>
      <c r="FOP14" s="476"/>
      <c r="FOQ14" s="477"/>
      <c r="FOR14" s="477"/>
      <c r="FOS14" s="463"/>
      <c r="FOT14" s="475"/>
      <c r="FOU14" s="476"/>
      <c r="FOV14" s="476"/>
      <c r="FOW14" s="476"/>
      <c r="FOX14" s="476"/>
      <c r="FOY14" s="476"/>
      <c r="FOZ14" s="476"/>
      <c r="FPA14" s="476"/>
      <c r="FPB14" s="476"/>
      <c r="FPC14" s="476"/>
      <c r="FPD14" s="476"/>
      <c r="FPE14" s="476"/>
      <c r="FPF14" s="476"/>
      <c r="FPG14" s="477"/>
      <c r="FPH14" s="477"/>
      <c r="FPI14" s="463"/>
      <c r="FPJ14" s="475"/>
      <c r="FPK14" s="476"/>
      <c r="FPL14" s="476"/>
      <c r="FPM14" s="476"/>
      <c r="FPN14" s="476"/>
      <c r="FPO14" s="476"/>
      <c r="FPP14" s="476"/>
      <c r="FPQ14" s="476"/>
      <c r="FPR14" s="476"/>
      <c r="FPS14" s="476"/>
      <c r="FPT14" s="476"/>
      <c r="FPU14" s="476"/>
      <c r="FPV14" s="476"/>
      <c r="FPW14" s="477"/>
      <c r="FPX14" s="477"/>
      <c r="FPY14" s="463"/>
      <c r="FPZ14" s="475"/>
      <c r="FQA14" s="476"/>
      <c r="FQB14" s="476"/>
      <c r="FQC14" s="476"/>
      <c r="FQD14" s="476"/>
      <c r="FQE14" s="476"/>
      <c r="FQF14" s="476"/>
      <c r="FQG14" s="476"/>
      <c r="FQH14" s="476"/>
      <c r="FQI14" s="476"/>
      <c r="FQJ14" s="476"/>
      <c r="FQK14" s="476"/>
      <c r="FQL14" s="476"/>
      <c r="FQM14" s="477"/>
      <c r="FQN14" s="477"/>
      <c r="FQO14" s="463"/>
      <c r="FQP14" s="475"/>
      <c r="FQQ14" s="476"/>
      <c r="FQR14" s="476"/>
      <c r="FQS14" s="476"/>
      <c r="FQT14" s="476"/>
      <c r="FQU14" s="476"/>
      <c r="FQV14" s="476"/>
      <c r="FQW14" s="476"/>
      <c r="FQX14" s="476"/>
      <c r="FQY14" s="476"/>
      <c r="FQZ14" s="476"/>
      <c r="FRA14" s="476"/>
      <c r="FRB14" s="476"/>
      <c r="FRC14" s="477"/>
      <c r="FRD14" s="477"/>
      <c r="FRE14" s="463"/>
      <c r="FRF14" s="475"/>
      <c r="FRG14" s="476"/>
      <c r="FRH14" s="476"/>
      <c r="FRI14" s="476"/>
      <c r="FRJ14" s="476"/>
      <c r="FRK14" s="476"/>
      <c r="FRL14" s="476"/>
      <c r="FRM14" s="476"/>
      <c r="FRN14" s="476"/>
      <c r="FRO14" s="476"/>
      <c r="FRP14" s="476"/>
      <c r="FRQ14" s="476"/>
      <c r="FRR14" s="476"/>
      <c r="FRS14" s="477"/>
      <c r="FRT14" s="477"/>
      <c r="FRU14" s="463"/>
      <c r="FRV14" s="475"/>
      <c r="FRW14" s="476"/>
      <c r="FRX14" s="476"/>
      <c r="FRY14" s="476"/>
      <c r="FRZ14" s="476"/>
      <c r="FSA14" s="476"/>
      <c r="FSB14" s="476"/>
      <c r="FSC14" s="476"/>
      <c r="FSD14" s="476"/>
      <c r="FSE14" s="476"/>
      <c r="FSF14" s="476"/>
      <c r="FSG14" s="476"/>
      <c r="FSH14" s="476"/>
      <c r="FSI14" s="477"/>
      <c r="FSJ14" s="477"/>
      <c r="FSK14" s="463"/>
      <c r="FSL14" s="475"/>
      <c r="FSM14" s="476"/>
      <c r="FSN14" s="476"/>
      <c r="FSO14" s="476"/>
      <c r="FSP14" s="476"/>
      <c r="FSQ14" s="476"/>
      <c r="FSR14" s="476"/>
      <c r="FSS14" s="476"/>
      <c r="FST14" s="476"/>
      <c r="FSU14" s="476"/>
      <c r="FSV14" s="476"/>
      <c r="FSW14" s="476"/>
      <c r="FSX14" s="476"/>
      <c r="FSY14" s="477"/>
      <c r="FSZ14" s="477"/>
      <c r="FTA14" s="463"/>
      <c r="FTB14" s="475"/>
      <c r="FTC14" s="476"/>
      <c r="FTD14" s="476"/>
      <c r="FTE14" s="476"/>
      <c r="FTF14" s="476"/>
      <c r="FTG14" s="476"/>
      <c r="FTH14" s="476"/>
      <c r="FTI14" s="476"/>
      <c r="FTJ14" s="476"/>
      <c r="FTK14" s="476"/>
      <c r="FTL14" s="476"/>
      <c r="FTM14" s="476"/>
      <c r="FTN14" s="476"/>
      <c r="FTO14" s="477"/>
      <c r="FTP14" s="477"/>
      <c r="FTQ14" s="463"/>
      <c r="FTR14" s="475"/>
      <c r="FTS14" s="476"/>
      <c r="FTT14" s="476"/>
      <c r="FTU14" s="476"/>
      <c r="FTV14" s="476"/>
      <c r="FTW14" s="476"/>
      <c r="FTX14" s="476"/>
      <c r="FTY14" s="476"/>
      <c r="FTZ14" s="476"/>
      <c r="FUA14" s="476"/>
      <c r="FUB14" s="476"/>
      <c r="FUC14" s="476"/>
      <c r="FUD14" s="476"/>
      <c r="FUE14" s="477"/>
      <c r="FUF14" s="477"/>
      <c r="FUG14" s="463"/>
      <c r="FUH14" s="475"/>
      <c r="FUI14" s="476"/>
      <c r="FUJ14" s="476"/>
      <c r="FUK14" s="476"/>
      <c r="FUL14" s="476"/>
      <c r="FUM14" s="476"/>
      <c r="FUN14" s="476"/>
      <c r="FUO14" s="476"/>
      <c r="FUP14" s="476"/>
      <c r="FUQ14" s="476"/>
      <c r="FUR14" s="476"/>
      <c r="FUS14" s="476"/>
      <c r="FUT14" s="476"/>
      <c r="FUU14" s="477"/>
      <c r="FUV14" s="477"/>
      <c r="FUW14" s="463"/>
      <c r="FUX14" s="475"/>
      <c r="FUY14" s="476"/>
      <c r="FUZ14" s="476"/>
      <c r="FVA14" s="476"/>
      <c r="FVB14" s="476"/>
      <c r="FVC14" s="476"/>
      <c r="FVD14" s="476"/>
      <c r="FVE14" s="476"/>
      <c r="FVF14" s="476"/>
      <c r="FVG14" s="476"/>
      <c r="FVH14" s="476"/>
      <c r="FVI14" s="476"/>
      <c r="FVJ14" s="476"/>
      <c r="FVK14" s="477"/>
      <c r="FVL14" s="477"/>
      <c r="FVM14" s="463"/>
      <c r="FVN14" s="475"/>
      <c r="FVO14" s="476"/>
      <c r="FVP14" s="476"/>
      <c r="FVQ14" s="476"/>
      <c r="FVR14" s="476"/>
      <c r="FVS14" s="476"/>
      <c r="FVT14" s="476"/>
      <c r="FVU14" s="476"/>
      <c r="FVV14" s="476"/>
      <c r="FVW14" s="476"/>
      <c r="FVX14" s="476"/>
      <c r="FVY14" s="476"/>
      <c r="FVZ14" s="476"/>
      <c r="FWA14" s="477"/>
      <c r="FWB14" s="477"/>
      <c r="FWC14" s="463"/>
      <c r="FWD14" s="475"/>
      <c r="FWE14" s="476"/>
      <c r="FWF14" s="476"/>
      <c r="FWG14" s="476"/>
      <c r="FWH14" s="476"/>
      <c r="FWI14" s="476"/>
      <c r="FWJ14" s="476"/>
      <c r="FWK14" s="476"/>
      <c r="FWL14" s="476"/>
      <c r="FWM14" s="476"/>
      <c r="FWN14" s="476"/>
      <c r="FWO14" s="476"/>
      <c r="FWP14" s="476"/>
      <c r="FWQ14" s="477"/>
      <c r="FWR14" s="477"/>
      <c r="FWS14" s="463"/>
      <c r="FWT14" s="475"/>
      <c r="FWU14" s="476"/>
      <c r="FWV14" s="476"/>
      <c r="FWW14" s="476"/>
      <c r="FWX14" s="476"/>
      <c r="FWY14" s="476"/>
      <c r="FWZ14" s="476"/>
      <c r="FXA14" s="476"/>
      <c r="FXB14" s="476"/>
      <c r="FXC14" s="476"/>
      <c r="FXD14" s="476"/>
      <c r="FXE14" s="476"/>
      <c r="FXF14" s="476"/>
      <c r="FXG14" s="477"/>
      <c r="FXH14" s="477"/>
      <c r="FXI14" s="463"/>
      <c r="FXJ14" s="475"/>
      <c r="FXK14" s="476"/>
      <c r="FXL14" s="476"/>
      <c r="FXM14" s="476"/>
      <c r="FXN14" s="476"/>
      <c r="FXO14" s="476"/>
      <c r="FXP14" s="476"/>
      <c r="FXQ14" s="476"/>
      <c r="FXR14" s="476"/>
      <c r="FXS14" s="476"/>
      <c r="FXT14" s="476"/>
      <c r="FXU14" s="476"/>
      <c r="FXV14" s="476"/>
      <c r="FXW14" s="477"/>
      <c r="FXX14" s="477"/>
      <c r="FXY14" s="463"/>
      <c r="FXZ14" s="475"/>
      <c r="FYA14" s="476"/>
      <c r="FYB14" s="476"/>
      <c r="FYC14" s="476"/>
      <c r="FYD14" s="476"/>
      <c r="FYE14" s="476"/>
      <c r="FYF14" s="476"/>
      <c r="FYG14" s="476"/>
      <c r="FYH14" s="476"/>
      <c r="FYI14" s="476"/>
      <c r="FYJ14" s="476"/>
      <c r="FYK14" s="476"/>
      <c r="FYL14" s="476"/>
      <c r="FYM14" s="477"/>
      <c r="FYN14" s="477"/>
      <c r="FYO14" s="463"/>
      <c r="FYP14" s="475"/>
      <c r="FYQ14" s="476"/>
      <c r="FYR14" s="476"/>
      <c r="FYS14" s="476"/>
      <c r="FYT14" s="476"/>
      <c r="FYU14" s="476"/>
      <c r="FYV14" s="476"/>
      <c r="FYW14" s="476"/>
      <c r="FYX14" s="476"/>
      <c r="FYY14" s="476"/>
      <c r="FYZ14" s="476"/>
      <c r="FZA14" s="476"/>
      <c r="FZB14" s="476"/>
      <c r="FZC14" s="477"/>
      <c r="FZD14" s="477"/>
      <c r="FZE14" s="463"/>
      <c r="FZF14" s="475"/>
      <c r="FZG14" s="476"/>
      <c r="FZH14" s="476"/>
      <c r="FZI14" s="476"/>
      <c r="FZJ14" s="476"/>
      <c r="FZK14" s="476"/>
      <c r="FZL14" s="476"/>
      <c r="FZM14" s="476"/>
      <c r="FZN14" s="476"/>
      <c r="FZO14" s="476"/>
      <c r="FZP14" s="476"/>
      <c r="FZQ14" s="476"/>
      <c r="FZR14" s="476"/>
      <c r="FZS14" s="477"/>
      <c r="FZT14" s="477"/>
      <c r="FZU14" s="463"/>
      <c r="FZV14" s="475"/>
      <c r="FZW14" s="476"/>
      <c r="FZX14" s="476"/>
      <c r="FZY14" s="476"/>
      <c r="FZZ14" s="476"/>
      <c r="GAA14" s="476"/>
      <c r="GAB14" s="476"/>
      <c r="GAC14" s="476"/>
      <c r="GAD14" s="476"/>
      <c r="GAE14" s="476"/>
      <c r="GAF14" s="476"/>
      <c r="GAG14" s="476"/>
      <c r="GAH14" s="476"/>
      <c r="GAI14" s="477"/>
      <c r="GAJ14" s="477"/>
      <c r="GAK14" s="463"/>
      <c r="GAL14" s="475"/>
      <c r="GAM14" s="476"/>
      <c r="GAN14" s="476"/>
      <c r="GAO14" s="476"/>
      <c r="GAP14" s="476"/>
      <c r="GAQ14" s="476"/>
      <c r="GAR14" s="476"/>
      <c r="GAS14" s="476"/>
      <c r="GAT14" s="476"/>
      <c r="GAU14" s="476"/>
      <c r="GAV14" s="476"/>
      <c r="GAW14" s="476"/>
      <c r="GAX14" s="476"/>
      <c r="GAY14" s="477"/>
      <c r="GAZ14" s="477"/>
      <c r="GBA14" s="463"/>
      <c r="GBB14" s="475"/>
      <c r="GBC14" s="476"/>
      <c r="GBD14" s="476"/>
      <c r="GBE14" s="476"/>
      <c r="GBF14" s="476"/>
      <c r="GBG14" s="476"/>
      <c r="GBH14" s="476"/>
      <c r="GBI14" s="476"/>
      <c r="GBJ14" s="476"/>
      <c r="GBK14" s="476"/>
      <c r="GBL14" s="476"/>
      <c r="GBM14" s="476"/>
      <c r="GBN14" s="476"/>
      <c r="GBO14" s="477"/>
      <c r="GBP14" s="477"/>
      <c r="GBQ14" s="463"/>
      <c r="GBR14" s="475"/>
      <c r="GBS14" s="476"/>
      <c r="GBT14" s="476"/>
      <c r="GBU14" s="476"/>
      <c r="GBV14" s="476"/>
      <c r="GBW14" s="476"/>
      <c r="GBX14" s="476"/>
      <c r="GBY14" s="476"/>
      <c r="GBZ14" s="476"/>
      <c r="GCA14" s="476"/>
      <c r="GCB14" s="476"/>
      <c r="GCC14" s="476"/>
      <c r="GCD14" s="476"/>
      <c r="GCE14" s="477"/>
      <c r="GCF14" s="477"/>
      <c r="GCG14" s="463"/>
      <c r="GCH14" s="475"/>
      <c r="GCI14" s="476"/>
      <c r="GCJ14" s="476"/>
      <c r="GCK14" s="476"/>
      <c r="GCL14" s="476"/>
      <c r="GCM14" s="476"/>
      <c r="GCN14" s="476"/>
      <c r="GCO14" s="476"/>
      <c r="GCP14" s="476"/>
      <c r="GCQ14" s="476"/>
      <c r="GCR14" s="476"/>
      <c r="GCS14" s="476"/>
      <c r="GCT14" s="476"/>
      <c r="GCU14" s="477"/>
      <c r="GCV14" s="477"/>
      <c r="GCW14" s="463"/>
      <c r="GCX14" s="475"/>
      <c r="GCY14" s="476"/>
      <c r="GCZ14" s="476"/>
      <c r="GDA14" s="476"/>
      <c r="GDB14" s="476"/>
      <c r="GDC14" s="476"/>
      <c r="GDD14" s="476"/>
      <c r="GDE14" s="476"/>
      <c r="GDF14" s="476"/>
      <c r="GDG14" s="476"/>
      <c r="GDH14" s="476"/>
      <c r="GDI14" s="476"/>
      <c r="GDJ14" s="476"/>
      <c r="GDK14" s="477"/>
      <c r="GDL14" s="477"/>
      <c r="GDM14" s="463"/>
      <c r="GDN14" s="475"/>
      <c r="GDO14" s="476"/>
      <c r="GDP14" s="476"/>
      <c r="GDQ14" s="476"/>
      <c r="GDR14" s="476"/>
      <c r="GDS14" s="476"/>
      <c r="GDT14" s="476"/>
      <c r="GDU14" s="476"/>
      <c r="GDV14" s="476"/>
      <c r="GDW14" s="476"/>
      <c r="GDX14" s="476"/>
      <c r="GDY14" s="476"/>
      <c r="GDZ14" s="476"/>
      <c r="GEA14" s="477"/>
      <c r="GEB14" s="477"/>
      <c r="GEC14" s="463"/>
      <c r="GED14" s="475"/>
      <c r="GEE14" s="476"/>
      <c r="GEF14" s="476"/>
      <c r="GEG14" s="476"/>
      <c r="GEH14" s="476"/>
      <c r="GEI14" s="476"/>
      <c r="GEJ14" s="476"/>
      <c r="GEK14" s="476"/>
      <c r="GEL14" s="476"/>
      <c r="GEM14" s="476"/>
      <c r="GEN14" s="476"/>
      <c r="GEO14" s="476"/>
      <c r="GEP14" s="476"/>
      <c r="GEQ14" s="477"/>
      <c r="GER14" s="477"/>
      <c r="GES14" s="463"/>
      <c r="GET14" s="475"/>
      <c r="GEU14" s="476"/>
      <c r="GEV14" s="476"/>
      <c r="GEW14" s="476"/>
      <c r="GEX14" s="476"/>
      <c r="GEY14" s="476"/>
      <c r="GEZ14" s="476"/>
      <c r="GFA14" s="476"/>
      <c r="GFB14" s="476"/>
      <c r="GFC14" s="476"/>
      <c r="GFD14" s="476"/>
      <c r="GFE14" s="476"/>
      <c r="GFF14" s="476"/>
      <c r="GFG14" s="477"/>
      <c r="GFH14" s="477"/>
      <c r="GFI14" s="463"/>
      <c r="GFJ14" s="475"/>
      <c r="GFK14" s="476"/>
      <c r="GFL14" s="476"/>
      <c r="GFM14" s="476"/>
      <c r="GFN14" s="476"/>
      <c r="GFO14" s="476"/>
      <c r="GFP14" s="476"/>
      <c r="GFQ14" s="476"/>
      <c r="GFR14" s="476"/>
      <c r="GFS14" s="476"/>
      <c r="GFT14" s="476"/>
      <c r="GFU14" s="476"/>
      <c r="GFV14" s="476"/>
      <c r="GFW14" s="477"/>
      <c r="GFX14" s="477"/>
      <c r="GFY14" s="463"/>
      <c r="GFZ14" s="475"/>
      <c r="GGA14" s="476"/>
      <c r="GGB14" s="476"/>
      <c r="GGC14" s="476"/>
      <c r="GGD14" s="476"/>
      <c r="GGE14" s="476"/>
      <c r="GGF14" s="476"/>
      <c r="GGG14" s="476"/>
      <c r="GGH14" s="476"/>
      <c r="GGI14" s="476"/>
      <c r="GGJ14" s="476"/>
      <c r="GGK14" s="476"/>
      <c r="GGL14" s="476"/>
      <c r="GGM14" s="477"/>
      <c r="GGN14" s="477"/>
      <c r="GGO14" s="463"/>
      <c r="GGP14" s="475"/>
      <c r="GGQ14" s="476"/>
      <c r="GGR14" s="476"/>
      <c r="GGS14" s="476"/>
      <c r="GGT14" s="476"/>
      <c r="GGU14" s="476"/>
      <c r="GGV14" s="476"/>
      <c r="GGW14" s="476"/>
      <c r="GGX14" s="476"/>
      <c r="GGY14" s="476"/>
      <c r="GGZ14" s="476"/>
      <c r="GHA14" s="476"/>
      <c r="GHB14" s="476"/>
      <c r="GHC14" s="477"/>
      <c r="GHD14" s="477"/>
      <c r="GHE14" s="463"/>
      <c r="GHF14" s="475"/>
      <c r="GHG14" s="476"/>
      <c r="GHH14" s="476"/>
      <c r="GHI14" s="476"/>
      <c r="GHJ14" s="476"/>
      <c r="GHK14" s="476"/>
      <c r="GHL14" s="476"/>
      <c r="GHM14" s="476"/>
      <c r="GHN14" s="476"/>
      <c r="GHO14" s="476"/>
      <c r="GHP14" s="476"/>
      <c r="GHQ14" s="476"/>
      <c r="GHR14" s="476"/>
      <c r="GHS14" s="477"/>
      <c r="GHT14" s="477"/>
      <c r="GHU14" s="463"/>
      <c r="GHV14" s="475"/>
      <c r="GHW14" s="476"/>
      <c r="GHX14" s="476"/>
      <c r="GHY14" s="476"/>
      <c r="GHZ14" s="476"/>
      <c r="GIA14" s="476"/>
      <c r="GIB14" s="476"/>
      <c r="GIC14" s="476"/>
      <c r="GID14" s="476"/>
      <c r="GIE14" s="476"/>
      <c r="GIF14" s="476"/>
      <c r="GIG14" s="476"/>
      <c r="GIH14" s="476"/>
      <c r="GII14" s="477"/>
      <c r="GIJ14" s="477"/>
      <c r="GIK14" s="463"/>
      <c r="GIL14" s="475"/>
      <c r="GIM14" s="476"/>
      <c r="GIN14" s="476"/>
      <c r="GIO14" s="476"/>
      <c r="GIP14" s="476"/>
      <c r="GIQ14" s="476"/>
      <c r="GIR14" s="476"/>
      <c r="GIS14" s="476"/>
      <c r="GIT14" s="476"/>
      <c r="GIU14" s="476"/>
      <c r="GIV14" s="476"/>
      <c r="GIW14" s="476"/>
      <c r="GIX14" s="476"/>
      <c r="GIY14" s="477"/>
      <c r="GIZ14" s="477"/>
      <c r="GJA14" s="463"/>
      <c r="GJB14" s="475"/>
      <c r="GJC14" s="476"/>
      <c r="GJD14" s="476"/>
      <c r="GJE14" s="476"/>
      <c r="GJF14" s="476"/>
      <c r="GJG14" s="476"/>
      <c r="GJH14" s="476"/>
      <c r="GJI14" s="476"/>
      <c r="GJJ14" s="476"/>
      <c r="GJK14" s="476"/>
      <c r="GJL14" s="476"/>
      <c r="GJM14" s="476"/>
      <c r="GJN14" s="476"/>
      <c r="GJO14" s="477"/>
      <c r="GJP14" s="477"/>
      <c r="GJQ14" s="463"/>
      <c r="GJR14" s="475"/>
      <c r="GJS14" s="476"/>
      <c r="GJT14" s="476"/>
      <c r="GJU14" s="476"/>
      <c r="GJV14" s="476"/>
      <c r="GJW14" s="476"/>
      <c r="GJX14" s="476"/>
      <c r="GJY14" s="476"/>
      <c r="GJZ14" s="476"/>
      <c r="GKA14" s="476"/>
      <c r="GKB14" s="476"/>
      <c r="GKC14" s="476"/>
      <c r="GKD14" s="476"/>
      <c r="GKE14" s="477"/>
      <c r="GKF14" s="477"/>
      <c r="GKG14" s="463"/>
      <c r="GKH14" s="475"/>
      <c r="GKI14" s="476"/>
      <c r="GKJ14" s="476"/>
      <c r="GKK14" s="476"/>
      <c r="GKL14" s="476"/>
      <c r="GKM14" s="476"/>
      <c r="GKN14" s="476"/>
      <c r="GKO14" s="476"/>
      <c r="GKP14" s="476"/>
      <c r="GKQ14" s="476"/>
      <c r="GKR14" s="476"/>
      <c r="GKS14" s="476"/>
      <c r="GKT14" s="476"/>
      <c r="GKU14" s="477"/>
      <c r="GKV14" s="477"/>
      <c r="GKW14" s="463"/>
      <c r="GKX14" s="475"/>
      <c r="GKY14" s="476"/>
      <c r="GKZ14" s="476"/>
      <c r="GLA14" s="476"/>
      <c r="GLB14" s="476"/>
      <c r="GLC14" s="476"/>
      <c r="GLD14" s="476"/>
      <c r="GLE14" s="476"/>
      <c r="GLF14" s="476"/>
      <c r="GLG14" s="476"/>
      <c r="GLH14" s="476"/>
      <c r="GLI14" s="476"/>
      <c r="GLJ14" s="476"/>
      <c r="GLK14" s="477"/>
      <c r="GLL14" s="477"/>
      <c r="GLM14" s="463"/>
      <c r="GLN14" s="475"/>
      <c r="GLO14" s="476"/>
      <c r="GLP14" s="476"/>
      <c r="GLQ14" s="476"/>
      <c r="GLR14" s="476"/>
      <c r="GLS14" s="476"/>
      <c r="GLT14" s="476"/>
      <c r="GLU14" s="476"/>
      <c r="GLV14" s="476"/>
      <c r="GLW14" s="476"/>
      <c r="GLX14" s="476"/>
      <c r="GLY14" s="476"/>
      <c r="GLZ14" s="476"/>
      <c r="GMA14" s="477"/>
      <c r="GMB14" s="477"/>
      <c r="GMC14" s="463"/>
      <c r="GMD14" s="475"/>
      <c r="GME14" s="476"/>
      <c r="GMF14" s="476"/>
      <c r="GMG14" s="476"/>
      <c r="GMH14" s="476"/>
      <c r="GMI14" s="476"/>
      <c r="GMJ14" s="476"/>
      <c r="GMK14" s="476"/>
      <c r="GML14" s="476"/>
      <c r="GMM14" s="476"/>
      <c r="GMN14" s="476"/>
      <c r="GMO14" s="476"/>
      <c r="GMP14" s="476"/>
      <c r="GMQ14" s="477"/>
      <c r="GMR14" s="477"/>
      <c r="GMS14" s="463"/>
      <c r="GMT14" s="475"/>
      <c r="GMU14" s="476"/>
      <c r="GMV14" s="476"/>
      <c r="GMW14" s="476"/>
      <c r="GMX14" s="476"/>
      <c r="GMY14" s="476"/>
      <c r="GMZ14" s="476"/>
      <c r="GNA14" s="476"/>
      <c r="GNB14" s="476"/>
      <c r="GNC14" s="476"/>
      <c r="GND14" s="476"/>
      <c r="GNE14" s="476"/>
      <c r="GNF14" s="476"/>
      <c r="GNG14" s="477"/>
      <c r="GNH14" s="477"/>
      <c r="GNI14" s="463"/>
      <c r="GNJ14" s="475"/>
      <c r="GNK14" s="476"/>
      <c r="GNL14" s="476"/>
      <c r="GNM14" s="476"/>
      <c r="GNN14" s="476"/>
      <c r="GNO14" s="476"/>
      <c r="GNP14" s="476"/>
      <c r="GNQ14" s="476"/>
      <c r="GNR14" s="476"/>
      <c r="GNS14" s="476"/>
      <c r="GNT14" s="476"/>
      <c r="GNU14" s="476"/>
      <c r="GNV14" s="476"/>
      <c r="GNW14" s="477"/>
      <c r="GNX14" s="477"/>
      <c r="GNY14" s="463"/>
      <c r="GNZ14" s="475"/>
      <c r="GOA14" s="476"/>
      <c r="GOB14" s="476"/>
      <c r="GOC14" s="476"/>
      <c r="GOD14" s="476"/>
      <c r="GOE14" s="476"/>
      <c r="GOF14" s="476"/>
      <c r="GOG14" s="476"/>
      <c r="GOH14" s="476"/>
      <c r="GOI14" s="476"/>
      <c r="GOJ14" s="476"/>
      <c r="GOK14" s="476"/>
      <c r="GOL14" s="476"/>
      <c r="GOM14" s="477"/>
      <c r="GON14" s="477"/>
      <c r="GOO14" s="463"/>
      <c r="GOP14" s="475"/>
      <c r="GOQ14" s="476"/>
      <c r="GOR14" s="476"/>
      <c r="GOS14" s="476"/>
      <c r="GOT14" s="476"/>
      <c r="GOU14" s="476"/>
      <c r="GOV14" s="476"/>
      <c r="GOW14" s="476"/>
      <c r="GOX14" s="476"/>
      <c r="GOY14" s="476"/>
      <c r="GOZ14" s="476"/>
      <c r="GPA14" s="476"/>
      <c r="GPB14" s="476"/>
      <c r="GPC14" s="477"/>
      <c r="GPD14" s="477"/>
      <c r="GPE14" s="463"/>
      <c r="GPF14" s="475"/>
      <c r="GPG14" s="476"/>
      <c r="GPH14" s="476"/>
      <c r="GPI14" s="476"/>
      <c r="GPJ14" s="476"/>
      <c r="GPK14" s="476"/>
      <c r="GPL14" s="476"/>
      <c r="GPM14" s="476"/>
      <c r="GPN14" s="476"/>
      <c r="GPO14" s="476"/>
      <c r="GPP14" s="476"/>
      <c r="GPQ14" s="476"/>
      <c r="GPR14" s="476"/>
      <c r="GPS14" s="477"/>
      <c r="GPT14" s="477"/>
      <c r="GPU14" s="463"/>
      <c r="GPV14" s="475"/>
      <c r="GPW14" s="476"/>
      <c r="GPX14" s="476"/>
      <c r="GPY14" s="476"/>
      <c r="GPZ14" s="476"/>
      <c r="GQA14" s="476"/>
      <c r="GQB14" s="476"/>
      <c r="GQC14" s="476"/>
      <c r="GQD14" s="476"/>
      <c r="GQE14" s="476"/>
      <c r="GQF14" s="476"/>
      <c r="GQG14" s="476"/>
      <c r="GQH14" s="476"/>
      <c r="GQI14" s="477"/>
      <c r="GQJ14" s="477"/>
      <c r="GQK14" s="463"/>
      <c r="GQL14" s="475"/>
      <c r="GQM14" s="476"/>
      <c r="GQN14" s="476"/>
      <c r="GQO14" s="476"/>
      <c r="GQP14" s="476"/>
      <c r="GQQ14" s="476"/>
      <c r="GQR14" s="476"/>
      <c r="GQS14" s="476"/>
      <c r="GQT14" s="476"/>
      <c r="GQU14" s="476"/>
      <c r="GQV14" s="476"/>
      <c r="GQW14" s="476"/>
      <c r="GQX14" s="476"/>
      <c r="GQY14" s="477"/>
      <c r="GQZ14" s="477"/>
      <c r="GRA14" s="463"/>
      <c r="GRB14" s="475"/>
      <c r="GRC14" s="476"/>
      <c r="GRD14" s="476"/>
      <c r="GRE14" s="476"/>
      <c r="GRF14" s="476"/>
      <c r="GRG14" s="476"/>
      <c r="GRH14" s="476"/>
      <c r="GRI14" s="476"/>
      <c r="GRJ14" s="476"/>
      <c r="GRK14" s="476"/>
      <c r="GRL14" s="476"/>
      <c r="GRM14" s="476"/>
      <c r="GRN14" s="476"/>
      <c r="GRO14" s="477"/>
      <c r="GRP14" s="477"/>
      <c r="GRQ14" s="463"/>
      <c r="GRR14" s="475"/>
      <c r="GRS14" s="476"/>
      <c r="GRT14" s="476"/>
      <c r="GRU14" s="476"/>
      <c r="GRV14" s="476"/>
      <c r="GRW14" s="476"/>
      <c r="GRX14" s="476"/>
      <c r="GRY14" s="476"/>
      <c r="GRZ14" s="476"/>
      <c r="GSA14" s="476"/>
      <c r="GSB14" s="476"/>
      <c r="GSC14" s="476"/>
      <c r="GSD14" s="476"/>
      <c r="GSE14" s="477"/>
      <c r="GSF14" s="477"/>
      <c r="GSG14" s="463"/>
      <c r="GSH14" s="475"/>
      <c r="GSI14" s="476"/>
      <c r="GSJ14" s="476"/>
      <c r="GSK14" s="476"/>
      <c r="GSL14" s="476"/>
      <c r="GSM14" s="476"/>
      <c r="GSN14" s="476"/>
      <c r="GSO14" s="476"/>
      <c r="GSP14" s="476"/>
      <c r="GSQ14" s="476"/>
      <c r="GSR14" s="476"/>
      <c r="GSS14" s="476"/>
      <c r="GST14" s="476"/>
      <c r="GSU14" s="477"/>
      <c r="GSV14" s="477"/>
      <c r="GSW14" s="463"/>
      <c r="GSX14" s="475"/>
      <c r="GSY14" s="476"/>
      <c r="GSZ14" s="476"/>
      <c r="GTA14" s="476"/>
      <c r="GTB14" s="476"/>
      <c r="GTC14" s="476"/>
      <c r="GTD14" s="476"/>
      <c r="GTE14" s="476"/>
      <c r="GTF14" s="476"/>
      <c r="GTG14" s="476"/>
      <c r="GTH14" s="476"/>
      <c r="GTI14" s="476"/>
      <c r="GTJ14" s="476"/>
      <c r="GTK14" s="477"/>
      <c r="GTL14" s="477"/>
      <c r="GTM14" s="463"/>
      <c r="GTN14" s="475"/>
      <c r="GTO14" s="476"/>
      <c r="GTP14" s="476"/>
      <c r="GTQ14" s="476"/>
      <c r="GTR14" s="476"/>
      <c r="GTS14" s="476"/>
      <c r="GTT14" s="476"/>
      <c r="GTU14" s="476"/>
      <c r="GTV14" s="476"/>
      <c r="GTW14" s="476"/>
      <c r="GTX14" s="476"/>
      <c r="GTY14" s="476"/>
      <c r="GTZ14" s="476"/>
      <c r="GUA14" s="477"/>
      <c r="GUB14" s="477"/>
      <c r="GUC14" s="463"/>
      <c r="GUD14" s="475"/>
      <c r="GUE14" s="476"/>
      <c r="GUF14" s="476"/>
      <c r="GUG14" s="476"/>
      <c r="GUH14" s="476"/>
      <c r="GUI14" s="476"/>
      <c r="GUJ14" s="476"/>
      <c r="GUK14" s="476"/>
      <c r="GUL14" s="476"/>
      <c r="GUM14" s="476"/>
      <c r="GUN14" s="476"/>
      <c r="GUO14" s="476"/>
      <c r="GUP14" s="476"/>
      <c r="GUQ14" s="477"/>
      <c r="GUR14" s="477"/>
      <c r="GUS14" s="463"/>
      <c r="GUT14" s="475"/>
      <c r="GUU14" s="476"/>
      <c r="GUV14" s="476"/>
      <c r="GUW14" s="476"/>
      <c r="GUX14" s="476"/>
      <c r="GUY14" s="476"/>
      <c r="GUZ14" s="476"/>
      <c r="GVA14" s="476"/>
      <c r="GVB14" s="476"/>
      <c r="GVC14" s="476"/>
      <c r="GVD14" s="476"/>
      <c r="GVE14" s="476"/>
      <c r="GVF14" s="476"/>
      <c r="GVG14" s="477"/>
      <c r="GVH14" s="477"/>
      <c r="GVI14" s="463"/>
      <c r="GVJ14" s="475"/>
      <c r="GVK14" s="476"/>
      <c r="GVL14" s="476"/>
      <c r="GVM14" s="476"/>
      <c r="GVN14" s="476"/>
      <c r="GVO14" s="476"/>
      <c r="GVP14" s="476"/>
      <c r="GVQ14" s="476"/>
      <c r="GVR14" s="476"/>
      <c r="GVS14" s="476"/>
      <c r="GVT14" s="476"/>
      <c r="GVU14" s="476"/>
      <c r="GVV14" s="476"/>
      <c r="GVW14" s="477"/>
      <c r="GVX14" s="477"/>
      <c r="GVY14" s="463"/>
      <c r="GVZ14" s="475"/>
      <c r="GWA14" s="476"/>
      <c r="GWB14" s="476"/>
      <c r="GWC14" s="476"/>
      <c r="GWD14" s="476"/>
      <c r="GWE14" s="476"/>
      <c r="GWF14" s="476"/>
      <c r="GWG14" s="476"/>
      <c r="GWH14" s="476"/>
      <c r="GWI14" s="476"/>
      <c r="GWJ14" s="476"/>
      <c r="GWK14" s="476"/>
      <c r="GWL14" s="476"/>
      <c r="GWM14" s="477"/>
      <c r="GWN14" s="477"/>
      <c r="GWO14" s="463"/>
      <c r="GWP14" s="475"/>
      <c r="GWQ14" s="476"/>
      <c r="GWR14" s="476"/>
      <c r="GWS14" s="476"/>
      <c r="GWT14" s="476"/>
      <c r="GWU14" s="476"/>
      <c r="GWV14" s="476"/>
      <c r="GWW14" s="476"/>
      <c r="GWX14" s="476"/>
      <c r="GWY14" s="476"/>
      <c r="GWZ14" s="476"/>
      <c r="GXA14" s="476"/>
      <c r="GXB14" s="476"/>
      <c r="GXC14" s="477"/>
      <c r="GXD14" s="477"/>
      <c r="GXE14" s="463"/>
      <c r="GXF14" s="475"/>
      <c r="GXG14" s="476"/>
      <c r="GXH14" s="476"/>
      <c r="GXI14" s="476"/>
      <c r="GXJ14" s="476"/>
      <c r="GXK14" s="476"/>
      <c r="GXL14" s="476"/>
      <c r="GXM14" s="476"/>
      <c r="GXN14" s="476"/>
      <c r="GXO14" s="476"/>
      <c r="GXP14" s="476"/>
      <c r="GXQ14" s="476"/>
      <c r="GXR14" s="476"/>
      <c r="GXS14" s="477"/>
      <c r="GXT14" s="477"/>
      <c r="GXU14" s="463"/>
      <c r="GXV14" s="475"/>
      <c r="GXW14" s="476"/>
      <c r="GXX14" s="476"/>
      <c r="GXY14" s="476"/>
      <c r="GXZ14" s="476"/>
      <c r="GYA14" s="476"/>
      <c r="GYB14" s="476"/>
      <c r="GYC14" s="476"/>
      <c r="GYD14" s="476"/>
      <c r="GYE14" s="476"/>
      <c r="GYF14" s="476"/>
      <c r="GYG14" s="476"/>
      <c r="GYH14" s="476"/>
      <c r="GYI14" s="477"/>
      <c r="GYJ14" s="477"/>
      <c r="GYK14" s="463"/>
      <c r="GYL14" s="475"/>
      <c r="GYM14" s="476"/>
      <c r="GYN14" s="476"/>
      <c r="GYO14" s="476"/>
      <c r="GYP14" s="476"/>
      <c r="GYQ14" s="476"/>
      <c r="GYR14" s="476"/>
      <c r="GYS14" s="476"/>
      <c r="GYT14" s="476"/>
      <c r="GYU14" s="476"/>
      <c r="GYV14" s="476"/>
      <c r="GYW14" s="476"/>
      <c r="GYX14" s="476"/>
      <c r="GYY14" s="477"/>
      <c r="GYZ14" s="477"/>
      <c r="GZA14" s="463"/>
      <c r="GZB14" s="475"/>
      <c r="GZC14" s="476"/>
      <c r="GZD14" s="476"/>
      <c r="GZE14" s="476"/>
      <c r="GZF14" s="476"/>
      <c r="GZG14" s="476"/>
      <c r="GZH14" s="476"/>
      <c r="GZI14" s="476"/>
      <c r="GZJ14" s="476"/>
      <c r="GZK14" s="476"/>
      <c r="GZL14" s="476"/>
      <c r="GZM14" s="476"/>
      <c r="GZN14" s="476"/>
      <c r="GZO14" s="477"/>
      <c r="GZP14" s="477"/>
      <c r="GZQ14" s="463"/>
      <c r="GZR14" s="475"/>
      <c r="GZS14" s="476"/>
      <c r="GZT14" s="476"/>
      <c r="GZU14" s="476"/>
      <c r="GZV14" s="476"/>
      <c r="GZW14" s="476"/>
      <c r="GZX14" s="476"/>
      <c r="GZY14" s="476"/>
      <c r="GZZ14" s="476"/>
      <c r="HAA14" s="476"/>
      <c r="HAB14" s="476"/>
      <c r="HAC14" s="476"/>
      <c r="HAD14" s="476"/>
      <c r="HAE14" s="477"/>
      <c r="HAF14" s="477"/>
      <c r="HAG14" s="463"/>
      <c r="HAH14" s="475"/>
      <c r="HAI14" s="476"/>
      <c r="HAJ14" s="476"/>
      <c r="HAK14" s="476"/>
      <c r="HAL14" s="476"/>
      <c r="HAM14" s="476"/>
      <c r="HAN14" s="476"/>
      <c r="HAO14" s="476"/>
      <c r="HAP14" s="476"/>
      <c r="HAQ14" s="476"/>
      <c r="HAR14" s="476"/>
      <c r="HAS14" s="476"/>
      <c r="HAT14" s="476"/>
      <c r="HAU14" s="477"/>
      <c r="HAV14" s="477"/>
      <c r="HAW14" s="463"/>
      <c r="HAX14" s="475"/>
      <c r="HAY14" s="476"/>
      <c r="HAZ14" s="476"/>
      <c r="HBA14" s="476"/>
      <c r="HBB14" s="476"/>
      <c r="HBC14" s="476"/>
      <c r="HBD14" s="476"/>
      <c r="HBE14" s="476"/>
      <c r="HBF14" s="476"/>
      <c r="HBG14" s="476"/>
      <c r="HBH14" s="476"/>
      <c r="HBI14" s="476"/>
      <c r="HBJ14" s="476"/>
      <c r="HBK14" s="477"/>
      <c r="HBL14" s="477"/>
      <c r="HBM14" s="463"/>
      <c r="HBN14" s="475"/>
      <c r="HBO14" s="476"/>
      <c r="HBP14" s="476"/>
      <c r="HBQ14" s="476"/>
      <c r="HBR14" s="476"/>
      <c r="HBS14" s="476"/>
      <c r="HBT14" s="476"/>
      <c r="HBU14" s="476"/>
      <c r="HBV14" s="476"/>
      <c r="HBW14" s="476"/>
      <c r="HBX14" s="476"/>
      <c r="HBY14" s="476"/>
      <c r="HBZ14" s="476"/>
      <c r="HCA14" s="477"/>
      <c r="HCB14" s="477"/>
      <c r="HCC14" s="463"/>
      <c r="HCD14" s="475"/>
      <c r="HCE14" s="476"/>
      <c r="HCF14" s="476"/>
      <c r="HCG14" s="476"/>
      <c r="HCH14" s="476"/>
      <c r="HCI14" s="476"/>
      <c r="HCJ14" s="476"/>
      <c r="HCK14" s="476"/>
      <c r="HCL14" s="476"/>
      <c r="HCM14" s="476"/>
      <c r="HCN14" s="476"/>
      <c r="HCO14" s="476"/>
      <c r="HCP14" s="476"/>
      <c r="HCQ14" s="477"/>
      <c r="HCR14" s="477"/>
      <c r="HCS14" s="463"/>
      <c r="HCT14" s="475"/>
      <c r="HCU14" s="476"/>
      <c r="HCV14" s="476"/>
      <c r="HCW14" s="476"/>
      <c r="HCX14" s="476"/>
      <c r="HCY14" s="476"/>
      <c r="HCZ14" s="476"/>
      <c r="HDA14" s="476"/>
      <c r="HDB14" s="476"/>
      <c r="HDC14" s="476"/>
      <c r="HDD14" s="476"/>
      <c r="HDE14" s="476"/>
      <c r="HDF14" s="476"/>
      <c r="HDG14" s="477"/>
      <c r="HDH14" s="477"/>
      <c r="HDI14" s="463"/>
      <c r="HDJ14" s="475"/>
      <c r="HDK14" s="476"/>
      <c r="HDL14" s="476"/>
      <c r="HDM14" s="476"/>
      <c r="HDN14" s="476"/>
      <c r="HDO14" s="476"/>
      <c r="HDP14" s="476"/>
      <c r="HDQ14" s="476"/>
      <c r="HDR14" s="476"/>
      <c r="HDS14" s="476"/>
      <c r="HDT14" s="476"/>
      <c r="HDU14" s="476"/>
      <c r="HDV14" s="476"/>
      <c r="HDW14" s="477"/>
      <c r="HDX14" s="477"/>
      <c r="HDY14" s="463"/>
      <c r="HDZ14" s="475"/>
      <c r="HEA14" s="476"/>
      <c r="HEB14" s="476"/>
      <c r="HEC14" s="476"/>
      <c r="HED14" s="476"/>
      <c r="HEE14" s="476"/>
      <c r="HEF14" s="476"/>
      <c r="HEG14" s="476"/>
      <c r="HEH14" s="476"/>
      <c r="HEI14" s="476"/>
      <c r="HEJ14" s="476"/>
      <c r="HEK14" s="476"/>
      <c r="HEL14" s="476"/>
      <c r="HEM14" s="477"/>
      <c r="HEN14" s="477"/>
      <c r="HEO14" s="463"/>
      <c r="HEP14" s="475"/>
      <c r="HEQ14" s="476"/>
      <c r="HER14" s="476"/>
      <c r="HES14" s="476"/>
      <c r="HET14" s="476"/>
      <c r="HEU14" s="476"/>
      <c r="HEV14" s="476"/>
      <c r="HEW14" s="476"/>
      <c r="HEX14" s="476"/>
      <c r="HEY14" s="476"/>
      <c r="HEZ14" s="476"/>
      <c r="HFA14" s="476"/>
      <c r="HFB14" s="476"/>
      <c r="HFC14" s="477"/>
      <c r="HFD14" s="477"/>
      <c r="HFE14" s="463"/>
      <c r="HFF14" s="475"/>
      <c r="HFG14" s="476"/>
      <c r="HFH14" s="476"/>
      <c r="HFI14" s="476"/>
      <c r="HFJ14" s="476"/>
      <c r="HFK14" s="476"/>
      <c r="HFL14" s="476"/>
      <c r="HFM14" s="476"/>
      <c r="HFN14" s="476"/>
      <c r="HFO14" s="476"/>
      <c r="HFP14" s="476"/>
      <c r="HFQ14" s="476"/>
      <c r="HFR14" s="476"/>
      <c r="HFS14" s="477"/>
      <c r="HFT14" s="477"/>
      <c r="HFU14" s="463"/>
      <c r="HFV14" s="475"/>
      <c r="HFW14" s="476"/>
      <c r="HFX14" s="476"/>
      <c r="HFY14" s="476"/>
      <c r="HFZ14" s="476"/>
      <c r="HGA14" s="476"/>
      <c r="HGB14" s="476"/>
      <c r="HGC14" s="476"/>
      <c r="HGD14" s="476"/>
      <c r="HGE14" s="476"/>
      <c r="HGF14" s="476"/>
      <c r="HGG14" s="476"/>
      <c r="HGH14" s="476"/>
      <c r="HGI14" s="477"/>
      <c r="HGJ14" s="477"/>
      <c r="HGK14" s="463"/>
      <c r="HGL14" s="475"/>
      <c r="HGM14" s="476"/>
      <c r="HGN14" s="476"/>
      <c r="HGO14" s="476"/>
      <c r="HGP14" s="476"/>
      <c r="HGQ14" s="476"/>
      <c r="HGR14" s="476"/>
      <c r="HGS14" s="476"/>
      <c r="HGT14" s="476"/>
      <c r="HGU14" s="476"/>
      <c r="HGV14" s="476"/>
      <c r="HGW14" s="476"/>
      <c r="HGX14" s="476"/>
      <c r="HGY14" s="477"/>
      <c r="HGZ14" s="477"/>
      <c r="HHA14" s="463"/>
      <c r="HHB14" s="475"/>
      <c r="HHC14" s="476"/>
      <c r="HHD14" s="476"/>
      <c r="HHE14" s="476"/>
      <c r="HHF14" s="476"/>
      <c r="HHG14" s="476"/>
      <c r="HHH14" s="476"/>
      <c r="HHI14" s="476"/>
      <c r="HHJ14" s="476"/>
      <c r="HHK14" s="476"/>
      <c r="HHL14" s="476"/>
      <c r="HHM14" s="476"/>
      <c r="HHN14" s="476"/>
      <c r="HHO14" s="477"/>
      <c r="HHP14" s="477"/>
      <c r="HHQ14" s="463"/>
      <c r="HHR14" s="475"/>
      <c r="HHS14" s="476"/>
      <c r="HHT14" s="476"/>
      <c r="HHU14" s="476"/>
      <c r="HHV14" s="476"/>
      <c r="HHW14" s="476"/>
      <c r="HHX14" s="476"/>
      <c r="HHY14" s="476"/>
      <c r="HHZ14" s="476"/>
      <c r="HIA14" s="476"/>
      <c r="HIB14" s="476"/>
      <c r="HIC14" s="476"/>
      <c r="HID14" s="476"/>
      <c r="HIE14" s="477"/>
      <c r="HIF14" s="477"/>
      <c r="HIG14" s="463"/>
      <c r="HIH14" s="475"/>
      <c r="HII14" s="476"/>
      <c r="HIJ14" s="476"/>
      <c r="HIK14" s="476"/>
      <c r="HIL14" s="476"/>
      <c r="HIM14" s="476"/>
      <c r="HIN14" s="476"/>
      <c r="HIO14" s="476"/>
      <c r="HIP14" s="476"/>
      <c r="HIQ14" s="476"/>
      <c r="HIR14" s="476"/>
      <c r="HIS14" s="476"/>
      <c r="HIT14" s="476"/>
      <c r="HIU14" s="477"/>
      <c r="HIV14" s="477"/>
      <c r="HIW14" s="463"/>
      <c r="HIX14" s="475"/>
      <c r="HIY14" s="476"/>
      <c r="HIZ14" s="476"/>
      <c r="HJA14" s="476"/>
      <c r="HJB14" s="476"/>
      <c r="HJC14" s="476"/>
      <c r="HJD14" s="476"/>
      <c r="HJE14" s="476"/>
      <c r="HJF14" s="476"/>
      <c r="HJG14" s="476"/>
      <c r="HJH14" s="476"/>
      <c r="HJI14" s="476"/>
      <c r="HJJ14" s="476"/>
      <c r="HJK14" s="477"/>
      <c r="HJL14" s="477"/>
      <c r="HJM14" s="463"/>
      <c r="HJN14" s="475"/>
      <c r="HJO14" s="476"/>
      <c r="HJP14" s="476"/>
      <c r="HJQ14" s="476"/>
      <c r="HJR14" s="476"/>
      <c r="HJS14" s="476"/>
      <c r="HJT14" s="476"/>
      <c r="HJU14" s="476"/>
      <c r="HJV14" s="476"/>
      <c r="HJW14" s="476"/>
      <c r="HJX14" s="476"/>
      <c r="HJY14" s="476"/>
      <c r="HJZ14" s="476"/>
      <c r="HKA14" s="477"/>
      <c r="HKB14" s="477"/>
      <c r="HKC14" s="463"/>
      <c r="HKD14" s="475"/>
      <c r="HKE14" s="476"/>
      <c r="HKF14" s="476"/>
      <c r="HKG14" s="476"/>
      <c r="HKH14" s="476"/>
      <c r="HKI14" s="476"/>
      <c r="HKJ14" s="476"/>
      <c r="HKK14" s="476"/>
      <c r="HKL14" s="476"/>
      <c r="HKM14" s="476"/>
      <c r="HKN14" s="476"/>
      <c r="HKO14" s="476"/>
      <c r="HKP14" s="476"/>
      <c r="HKQ14" s="477"/>
      <c r="HKR14" s="477"/>
      <c r="HKS14" s="463"/>
      <c r="HKT14" s="475"/>
      <c r="HKU14" s="476"/>
      <c r="HKV14" s="476"/>
      <c r="HKW14" s="476"/>
      <c r="HKX14" s="476"/>
      <c r="HKY14" s="476"/>
      <c r="HKZ14" s="476"/>
      <c r="HLA14" s="476"/>
      <c r="HLB14" s="476"/>
      <c r="HLC14" s="476"/>
      <c r="HLD14" s="476"/>
      <c r="HLE14" s="476"/>
      <c r="HLF14" s="476"/>
      <c r="HLG14" s="477"/>
      <c r="HLH14" s="477"/>
      <c r="HLI14" s="463"/>
      <c r="HLJ14" s="475"/>
      <c r="HLK14" s="476"/>
      <c r="HLL14" s="476"/>
      <c r="HLM14" s="476"/>
      <c r="HLN14" s="476"/>
      <c r="HLO14" s="476"/>
      <c r="HLP14" s="476"/>
      <c r="HLQ14" s="476"/>
      <c r="HLR14" s="476"/>
      <c r="HLS14" s="476"/>
      <c r="HLT14" s="476"/>
      <c r="HLU14" s="476"/>
      <c r="HLV14" s="476"/>
      <c r="HLW14" s="477"/>
      <c r="HLX14" s="477"/>
      <c r="HLY14" s="463"/>
      <c r="HLZ14" s="475"/>
      <c r="HMA14" s="476"/>
      <c r="HMB14" s="476"/>
      <c r="HMC14" s="476"/>
      <c r="HMD14" s="476"/>
      <c r="HME14" s="476"/>
      <c r="HMF14" s="476"/>
      <c r="HMG14" s="476"/>
      <c r="HMH14" s="476"/>
      <c r="HMI14" s="476"/>
      <c r="HMJ14" s="476"/>
      <c r="HMK14" s="476"/>
      <c r="HML14" s="476"/>
      <c r="HMM14" s="477"/>
      <c r="HMN14" s="477"/>
      <c r="HMO14" s="463"/>
      <c r="HMP14" s="475"/>
      <c r="HMQ14" s="476"/>
      <c r="HMR14" s="476"/>
      <c r="HMS14" s="476"/>
      <c r="HMT14" s="476"/>
      <c r="HMU14" s="476"/>
      <c r="HMV14" s="476"/>
      <c r="HMW14" s="476"/>
      <c r="HMX14" s="476"/>
      <c r="HMY14" s="476"/>
      <c r="HMZ14" s="476"/>
      <c r="HNA14" s="476"/>
      <c r="HNB14" s="476"/>
      <c r="HNC14" s="477"/>
      <c r="HND14" s="477"/>
      <c r="HNE14" s="463"/>
      <c r="HNF14" s="475"/>
      <c r="HNG14" s="476"/>
      <c r="HNH14" s="476"/>
      <c r="HNI14" s="476"/>
      <c r="HNJ14" s="476"/>
      <c r="HNK14" s="476"/>
      <c r="HNL14" s="476"/>
      <c r="HNM14" s="476"/>
      <c r="HNN14" s="476"/>
      <c r="HNO14" s="476"/>
      <c r="HNP14" s="476"/>
      <c r="HNQ14" s="476"/>
      <c r="HNR14" s="476"/>
      <c r="HNS14" s="477"/>
      <c r="HNT14" s="477"/>
      <c r="HNU14" s="463"/>
      <c r="HNV14" s="475"/>
      <c r="HNW14" s="476"/>
      <c r="HNX14" s="476"/>
      <c r="HNY14" s="476"/>
      <c r="HNZ14" s="476"/>
      <c r="HOA14" s="476"/>
      <c r="HOB14" s="476"/>
      <c r="HOC14" s="476"/>
      <c r="HOD14" s="476"/>
      <c r="HOE14" s="476"/>
      <c r="HOF14" s="476"/>
      <c r="HOG14" s="476"/>
      <c r="HOH14" s="476"/>
      <c r="HOI14" s="477"/>
      <c r="HOJ14" s="477"/>
      <c r="HOK14" s="463"/>
      <c r="HOL14" s="475"/>
      <c r="HOM14" s="476"/>
      <c r="HON14" s="476"/>
      <c r="HOO14" s="476"/>
      <c r="HOP14" s="476"/>
      <c r="HOQ14" s="476"/>
      <c r="HOR14" s="476"/>
      <c r="HOS14" s="476"/>
      <c r="HOT14" s="476"/>
      <c r="HOU14" s="476"/>
      <c r="HOV14" s="476"/>
      <c r="HOW14" s="476"/>
      <c r="HOX14" s="476"/>
      <c r="HOY14" s="477"/>
      <c r="HOZ14" s="477"/>
      <c r="HPA14" s="463"/>
      <c r="HPB14" s="475"/>
      <c r="HPC14" s="476"/>
      <c r="HPD14" s="476"/>
      <c r="HPE14" s="476"/>
      <c r="HPF14" s="476"/>
      <c r="HPG14" s="476"/>
      <c r="HPH14" s="476"/>
      <c r="HPI14" s="476"/>
      <c r="HPJ14" s="476"/>
      <c r="HPK14" s="476"/>
      <c r="HPL14" s="476"/>
      <c r="HPM14" s="476"/>
      <c r="HPN14" s="476"/>
      <c r="HPO14" s="477"/>
      <c r="HPP14" s="477"/>
      <c r="HPQ14" s="463"/>
      <c r="HPR14" s="475"/>
      <c r="HPS14" s="476"/>
      <c r="HPT14" s="476"/>
      <c r="HPU14" s="476"/>
      <c r="HPV14" s="476"/>
      <c r="HPW14" s="476"/>
      <c r="HPX14" s="476"/>
      <c r="HPY14" s="476"/>
      <c r="HPZ14" s="476"/>
      <c r="HQA14" s="476"/>
      <c r="HQB14" s="476"/>
      <c r="HQC14" s="476"/>
      <c r="HQD14" s="476"/>
      <c r="HQE14" s="477"/>
      <c r="HQF14" s="477"/>
      <c r="HQG14" s="463"/>
      <c r="HQH14" s="475"/>
      <c r="HQI14" s="476"/>
      <c r="HQJ14" s="476"/>
      <c r="HQK14" s="476"/>
      <c r="HQL14" s="476"/>
      <c r="HQM14" s="476"/>
      <c r="HQN14" s="476"/>
      <c r="HQO14" s="476"/>
      <c r="HQP14" s="476"/>
      <c r="HQQ14" s="476"/>
      <c r="HQR14" s="476"/>
      <c r="HQS14" s="476"/>
      <c r="HQT14" s="476"/>
      <c r="HQU14" s="477"/>
      <c r="HQV14" s="477"/>
      <c r="HQW14" s="463"/>
      <c r="HQX14" s="475"/>
      <c r="HQY14" s="476"/>
      <c r="HQZ14" s="476"/>
      <c r="HRA14" s="476"/>
      <c r="HRB14" s="476"/>
      <c r="HRC14" s="476"/>
      <c r="HRD14" s="476"/>
      <c r="HRE14" s="476"/>
      <c r="HRF14" s="476"/>
      <c r="HRG14" s="476"/>
      <c r="HRH14" s="476"/>
      <c r="HRI14" s="476"/>
      <c r="HRJ14" s="476"/>
      <c r="HRK14" s="477"/>
      <c r="HRL14" s="477"/>
      <c r="HRM14" s="463"/>
      <c r="HRN14" s="475"/>
      <c r="HRO14" s="476"/>
      <c r="HRP14" s="476"/>
      <c r="HRQ14" s="476"/>
      <c r="HRR14" s="476"/>
      <c r="HRS14" s="476"/>
      <c r="HRT14" s="476"/>
      <c r="HRU14" s="476"/>
      <c r="HRV14" s="476"/>
      <c r="HRW14" s="476"/>
      <c r="HRX14" s="476"/>
      <c r="HRY14" s="476"/>
      <c r="HRZ14" s="476"/>
      <c r="HSA14" s="477"/>
      <c r="HSB14" s="477"/>
      <c r="HSC14" s="463"/>
      <c r="HSD14" s="475"/>
      <c r="HSE14" s="476"/>
      <c r="HSF14" s="476"/>
      <c r="HSG14" s="476"/>
      <c r="HSH14" s="476"/>
      <c r="HSI14" s="476"/>
      <c r="HSJ14" s="476"/>
      <c r="HSK14" s="476"/>
      <c r="HSL14" s="476"/>
      <c r="HSM14" s="476"/>
      <c r="HSN14" s="476"/>
      <c r="HSO14" s="476"/>
      <c r="HSP14" s="476"/>
      <c r="HSQ14" s="477"/>
      <c r="HSR14" s="477"/>
      <c r="HSS14" s="463"/>
      <c r="HST14" s="475"/>
      <c r="HSU14" s="476"/>
      <c r="HSV14" s="476"/>
      <c r="HSW14" s="476"/>
      <c r="HSX14" s="476"/>
      <c r="HSY14" s="476"/>
      <c r="HSZ14" s="476"/>
      <c r="HTA14" s="476"/>
      <c r="HTB14" s="476"/>
      <c r="HTC14" s="476"/>
      <c r="HTD14" s="476"/>
      <c r="HTE14" s="476"/>
      <c r="HTF14" s="476"/>
      <c r="HTG14" s="477"/>
      <c r="HTH14" s="477"/>
      <c r="HTI14" s="463"/>
      <c r="HTJ14" s="475"/>
      <c r="HTK14" s="476"/>
      <c r="HTL14" s="476"/>
      <c r="HTM14" s="476"/>
      <c r="HTN14" s="476"/>
      <c r="HTO14" s="476"/>
      <c r="HTP14" s="476"/>
      <c r="HTQ14" s="476"/>
      <c r="HTR14" s="476"/>
      <c r="HTS14" s="476"/>
      <c r="HTT14" s="476"/>
      <c r="HTU14" s="476"/>
      <c r="HTV14" s="476"/>
      <c r="HTW14" s="477"/>
      <c r="HTX14" s="477"/>
      <c r="HTY14" s="463"/>
      <c r="HTZ14" s="475"/>
      <c r="HUA14" s="476"/>
      <c r="HUB14" s="476"/>
      <c r="HUC14" s="476"/>
      <c r="HUD14" s="476"/>
      <c r="HUE14" s="476"/>
      <c r="HUF14" s="476"/>
      <c r="HUG14" s="476"/>
      <c r="HUH14" s="476"/>
      <c r="HUI14" s="476"/>
      <c r="HUJ14" s="476"/>
      <c r="HUK14" s="476"/>
      <c r="HUL14" s="476"/>
      <c r="HUM14" s="477"/>
      <c r="HUN14" s="477"/>
      <c r="HUO14" s="463"/>
      <c r="HUP14" s="475"/>
      <c r="HUQ14" s="476"/>
      <c r="HUR14" s="476"/>
      <c r="HUS14" s="476"/>
      <c r="HUT14" s="476"/>
      <c r="HUU14" s="476"/>
      <c r="HUV14" s="476"/>
      <c r="HUW14" s="476"/>
      <c r="HUX14" s="476"/>
      <c r="HUY14" s="476"/>
      <c r="HUZ14" s="476"/>
      <c r="HVA14" s="476"/>
      <c r="HVB14" s="476"/>
      <c r="HVC14" s="477"/>
      <c r="HVD14" s="477"/>
      <c r="HVE14" s="463"/>
      <c r="HVF14" s="475"/>
      <c r="HVG14" s="476"/>
      <c r="HVH14" s="476"/>
      <c r="HVI14" s="476"/>
      <c r="HVJ14" s="476"/>
      <c r="HVK14" s="476"/>
      <c r="HVL14" s="476"/>
      <c r="HVM14" s="476"/>
      <c r="HVN14" s="476"/>
      <c r="HVO14" s="476"/>
      <c r="HVP14" s="476"/>
      <c r="HVQ14" s="476"/>
      <c r="HVR14" s="476"/>
      <c r="HVS14" s="477"/>
      <c r="HVT14" s="477"/>
      <c r="HVU14" s="463"/>
      <c r="HVV14" s="475"/>
      <c r="HVW14" s="476"/>
      <c r="HVX14" s="476"/>
      <c r="HVY14" s="476"/>
      <c r="HVZ14" s="476"/>
      <c r="HWA14" s="476"/>
      <c r="HWB14" s="476"/>
      <c r="HWC14" s="476"/>
      <c r="HWD14" s="476"/>
      <c r="HWE14" s="476"/>
      <c r="HWF14" s="476"/>
      <c r="HWG14" s="476"/>
      <c r="HWH14" s="476"/>
      <c r="HWI14" s="477"/>
      <c r="HWJ14" s="477"/>
      <c r="HWK14" s="463"/>
      <c r="HWL14" s="475"/>
      <c r="HWM14" s="476"/>
      <c r="HWN14" s="476"/>
      <c r="HWO14" s="476"/>
      <c r="HWP14" s="476"/>
      <c r="HWQ14" s="476"/>
      <c r="HWR14" s="476"/>
      <c r="HWS14" s="476"/>
      <c r="HWT14" s="476"/>
      <c r="HWU14" s="476"/>
      <c r="HWV14" s="476"/>
      <c r="HWW14" s="476"/>
      <c r="HWX14" s="476"/>
      <c r="HWY14" s="477"/>
      <c r="HWZ14" s="477"/>
      <c r="HXA14" s="463"/>
      <c r="HXB14" s="475"/>
      <c r="HXC14" s="476"/>
      <c r="HXD14" s="476"/>
      <c r="HXE14" s="476"/>
      <c r="HXF14" s="476"/>
      <c r="HXG14" s="476"/>
      <c r="HXH14" s="476"/>
      <c r="HXI14" s="476"/>
      <c r="HXJ14" s="476"/>
      <c r="HXK14" s="476"/>
      <c r="HXL14" s="476"/>
      <c r="HXM14" s="476"/>
      <c r="HXN14" s="476"/>
      <c r="HXO14" s="477"/>
      <c r="HXP14" s="477"/>
      <c r="HXQ14" s="463"/>
      <c r="HXR14" s="475"/>
      <c r="HXS14" s="476"/>
      <c r="HXT14" s="476"/>
      <c r="HXU14" s="476"/>
      <c r="HXV14" s="476"/>
      <c r="HXW14" s="476"/>
      <c r="HXX14" s="476"/>
      <c r="HXY14" s="476"/>
      <c r="HXZ14" s="476"/>
      <c r="HYA14" s="476"/>
      <c r="HYB14" s="476"/>
      <c r="HYC14" s="476"/>
      <c r="HYD14" s="476"/>
      <c r="HYE14" s="477"/>
      <c r="HYF14" s="477"/>
      <c r="HYG14" s="463"/>
      <c r="HYH14" s="475"/>
      <c r="HYI14" s="476"/>
      <c r="HYJ14" s="476"/>
      <c r="HYK14" s="476"/>
      <c r="HYL14" s="476"/>
      <c r="HYM14" s="476"/>
      <c r="HYN14" s="476"/>
      <c r="HYO14" s="476"/>
      <c r="HYP14" s="476"/>
      <c r="HYQ14" s="476"/>
      <c r="HYR14" s="476"/>
      <c r="HYS14" s="476"/>
      <c r="HYT14" s="476"/>
      <c r="HYU14" s="477"/>
      <c r="HYV14" s="477"/>
      <c r="HYW14" s="463"/>
      <c r="HYX14" s="475"/>
      <c r="HYY14" s="476"/>
      <c r="HYZ14" s="476"/>
      <c r="HZA14" s="476"/>
      <c r="HZB14" s="476"/>
      <c r="HZC14" s="476"/>
      <c r="HZD14" s="476"/>
      <c r="HZE14" s="476"/>
      <c r="HZF14" s="476"/>
      <c r="HZG14" s="476"/>
      <c r="HZH14" s="476"/>
      <c r="HZI14" s="476"/>
      <c r="HZJ14" s="476"/>
      <c r="HZK14" s="477"/>
      <c r="HZL14" s="477"/>
      <c r="HZM14" s="463"/>
      <c r="HZN14" s="475"/>
      <c r="HZO14" s="476"/>
      <c r="HZP14" s="476"/>
      <c r="HZQ14" s="476"/>
      <c r="HZR14" s="476"/>
      <c r="HZS14" s="476"/>
      <c r="HZT14" s="476"/>
      <c r="HZU14" s="476"/>
      <c r="HZV14" s="476"/>
      <c r="HZW14" s="476"/>
      <c r="HZX14" s="476"/>
      <c r="HZY14" s="476"/>
      <c r="HZZ14" s="476"/>
      <c r="IAA14" s="477"/>
      <c r="IAB14" s="477"/>
      <c r="IAC14" s="463"/>
      <c r="IAD14" s="475"/>
      <c r="IAE14" s="476"/>
      <c r="IAF14" s="476"/>
      <c r="IAG14" s="476"/>
      <c r="IAH14" s="476"/>
      <c r="IAI14" s="476"/>
      <c r="IAJ14" s="476"/>
      <c r="IAK14" s="476"/>
      <c r="IAL14" s="476"/>
      <c r="IAM14" s="476"/>
      <c r="IAN14" s="476"/>
      <c r="IAO14" s="476"/>
      <c r="IAP14" s="476"/>
      <c r="IAQ14" s="477"/>
      <c r="IAR14" s="477"/>
      <c r="IAS14" s="463"/>
      <c r="IAT14" s="475"/>
      <c r="IAU14" s="476"/>
      <c r="IAV14" s="476"/>
      <c r="IAW14" s="476"/>
      <c r="IAX14" s="476"/>
      <c r="IAY14" s="476"/>
      <c r="IAZ14" s="476"/>
      <c r="IBA14" s="476"/>
      <c r="IBB14" s="476"/>
      <c r="IBC14" s="476"/>
      <c r="IBD14" s="476"/>
      <c r="IBE14" s="476"/>
      <c r="IBF14" s="476"/>
      <c r="IBG14" s="477"/>
      <c r="IBH14" s="477"/>
      <c r="IBI14" s="463"/>
      <c r="IBJ14" s="475"/>
      <c r="IBK14" s="476"/>
      <c r="IBL14" s="476"/>
      <c r="IBM14" s="476"/>
      <c r="IBN14" s="476"/>
      <c r="IBO14" s="476"/>
      <c r="IBP14" s="476"/>
      <c r="IBQ14" s="476"/>
      <c r="IBR14" s="476"/>
      <c r="IBS14" s="476"/>
      <c r="IBT14" s="476"/>
      <c r="IBU14" s="476"/>
      <c r="IBV14" s="476"/>
      <c r="IBW14" s="477"/>
      <c r="IBX14" s="477"/>
      <c r="IBY14" s="463"/>
      <c r="IBZ14" s="475"/>
      <c r="ICA14" s="476"/>
      <c r="ICB14" s="476"/>
      <c r="ICC14" s="476"/>
      <c r="ICD14" s="476"/>
      <c r="ICE14" s="476"/>
      <c r="ICF14" s="476"/>
      <c r="ICG14" s="476"/>
      <c r="ICH14" s="476"/>
      <c r="ICI14" s="476"/>
      <c r="ICJ14" s="476"/>
      <c r="ICK14" s="476"/>
      <c r="ICL14" s="476"/>
      <c r="ICM14" s="477"/>
      <c r="ICN14" s="477"/>
      <c r="ICO14" s="463"/>
      <c r="ICP14" s="475"/>
      <c r="ICQ14" s="476"/>
      <c r="ICR14" s="476"/>
      <c r="ICS14" s="476"/>
      <c r="ICT14" s="476"/>
      <c r="ICU14" s="476"/>
      <c r="ICV14" s="476"/>
      <c r="ICW14" s="476"/>
      <c r="ICX14" s="476"/>
      <c r="ICY14" s="476"/>
      <c r="ICZ14" s="476"/>
      <c r="IDA14" s="476"/>
      <c r="IDB14" s="476"/>
      <c r="IDC14" s="477"/>
      <c r="IDD14" s="477"/>
      <c r="IDE14" s="463"/>
      <c r="IDF14" s="475"/>
      <c r="IDG14" s="476"/>
      <c r="IDH14" s="476"/>
      <c r="IDI14" s="476"/>
      <c r="IDJ14" s="476"/>
      <c r="IDK14" s="476"/>
      <c r="IDL14" s="476"/>
      <c r="IDM14" s="476"/>
      <c r="IDN14" s="476"/>
      <c r="IDO14" s="476"/>
      <c r="IDP14" s="476"/>
      <c r="IDQ14" s="476"/>
      <c r="IDR14" s="476"/>
      <c r="IDS14" s="477"/>
      <c r="IDT14" s="477"/>
      <c r="IDU14" s="463"/>
      <c r="IDV14" s="475"/>
      <c r="IDW14" s="476"/>
      <c r="IDX14" s="476"/>
      <c r="IDY14" s="476"/>
      <c r="IDZ14" s="476"/>
      <c r="IEA14" s="476"/>
      <c r="IEB14" s="476"/>
      <c r="IEC14" s="476"/>
      <c r="IED14" s="476"/>
      <c r="IEE14" s="476"/>
      <c r="IEF14" s="476"/>
      <c r="IEG14" s="476"/>
      <c r="IEH14" s="476"/>
      <c r="IEI14" s="477"/>
      <c r="IEJ14" s="477"/>
      <c r="IEK14" s="463"/>
      <c r="IEL14" s="475"/>
      <c r="IEM14" s="476"/>
      <c r="IEN14" s="476"/>
      <c r="IEO14" s="476"/>
      <c r="IEP14" s="476"/>
      <c r="IEQ14" s="476"/>
      <c r="IER14" s="476"/>
      <c r="IES14" s="476"/>
      <c r="IET14" s="476"/>
      <c r="IEU14" s="476"/>
      <c r="IEV14" s="476"/>
      <c r="IEW14" s="476"/>
      <c r="IEX14" s="476"/>
      <c r="IEY14" s="477"/>
      <c r="IEZ14" s="477"/>
      <c r="IFA14" s="463"/>
      <c r="IFB14" s="475"/>
      <c r="IFC14" s="476"/>
      <c r="IFD14" s="476"/>
      <c r="IFE14" s="476"/>
      <c r="IFF14" s="476"/>
      <c r="IFG14" s="476"/>
      <c r="IFH14" s="476"/>
      <c r="IFI14" s="476"/>
      <c r="IFJ14" s="476"/>
      <c r="IFK14" s="476"/>
      <c r="IFL14" s="476"/>
      <c r="IFM14" s="476"/>
      <c r="IFN14" s="476"/>
      <c r="IFO14" s="477"/>
      <c r="IFP14" s="477"/>
      <c r="IFQ14" s="463"/>
      <c r="IFR14" s="475"/>
      <c r="IFS14" s="476"/>
      <c r="IFT14" s="476"/>
      <c r="IFU14" s="476"/>
      <c r="IFV14" s="476"/>
      <c r="IFW14" s="476"/>
      <c r="IFX14" s="476"/>
      <c r="IFY14" s="476"/>
      <c r="IFZ14" s="476"/>
      <c r="IGA14" s="476"/>
      <c r="IGB14" s="476"/>
      <c r="IGC14" s="476"/>
      <c r="IGD14" s="476"/>
      <c r="IGE14" s="477"/>
      <c r="IGF14" s="477"/>
      <c r="IGG14" s="463"/>
      <c r="IGH14" s="475"/>
      <c r="IGI14" s="476"/>
      <c r="IGJ14" s="476"/>
      <c r="IGK14" s="476"/>
      <c r="IGL14" s="476"/>
      <c r="IGM14" s="476"/>
      <c r="IGN14" s="476"/>
      <c r="IGO14" s="476"/>
      <c r="IGP14" s="476"/>
      <c r="IGQ14" s="476"/>
      <c r="IGR14" s="476"/>
      <c r="IGS14" s="476"/>
      <c r="IGT14" s="476"/>
      <c r="IGU14" s="477"/>
      <c r="IGV14" s="477"/>
      <c r="IGW14" s="463"/>
      <c r="IGX14" s="475"/>
      <c r="IGY14" s="476"/>
      <c r="IGZ14" s="476"/>
      <c r="IHA14" s="476"/>
      <c r="IHB14" s="476"/>
      <c r="IHC14" s="476"/>
      <c r="IHD14" s="476"/>
      <c r="IHE14" s="476"/>
      <c r="IHF14" s="476"/>
      <c r="IHG14" s="476"/>
      <c r="IHH14" s="476"/>
      <c r="IHI14" s="476"/>
      <c r="IHJ14" s="476"/>
      <c r="IHK14" s="477"/>
      <c r="IHL14" s="477"/>
      <c r="IHM14" s="463"/>
      <c r="IHN14" s="475"/>
      <c r="IHO14" s="476"/>
      <c r="IHP14" s="476"/>
      <c r="IHQ14" s="476"/>
      <c r="IHR14" s="476"/>
      <c r="IHS14" s="476"/>
      <c r="IHT14" s="476"/>
      <c r="IHU14" s="476"/>
      <c r="IHV14" s="476"/>
      <c r="IHW14" s="476"/>
      <c r="IHX14" s="476"/>
      <c r="IHY14" s="476"/>
      <c r="IHZ14" s="476"/>
      <c r="IIA14" s="477"/>
      <c r="IIB14" s="477"/>
      <c r="IIC14" s="463"/>
      <c r="IID14" s="475"/>
      <c r="IIE14" s="476"/>
      <c r="IIF14" s="476"/>
      <c r="IIG14" s="476"/>
      <c r="IIH14" s="476"/>
      <c r="III14" s="476"/>
      <c r="IIJ14" s="476"/>
      <c r="IIK14" s="476"/>
      <c r="IIL14" s="476"/>
      <c r="IIM14" s="476"/>
      <c r="IIN14" s="476"/>
      <c r="IIO14" s="476"/>
      <c r="IIP14" s="476"/>
      <c r="IIQ14" s="477"/>
      <c r="IIR14" s="477"/>
      <c r="IIS14" s="463"/>
      <c r="IIT14" s="475"/>
      <c r="IIU14" s="476"/>
      <c r="IIV14" s="476"/>
      <c r="IIW14" s="476"/>
      <c r="IIX14" s="476"/>
      <c r="IIY14" s="476"/>
      <c r="IIZ14" s="476"/>
      <c r="IJA14" s="476"/>
      <c r="IJB14" s="476"/>
      <c r="IJC14" s="476"/>
      <c r="IJD14" s="476"/>
      <c r="IJE14" s="476"/>
      <c r="IJF14" s="476"/>
      <c r="IJG14" s="477"/>
      <c r="IJH14" s="477"/>
      <c r="IJI14" s="463"/>
      <c r="IJJ14" s="475"/>
      <c r="IJK14" s="476"/>
      <c r="IJL14" s="476"/>
      <c r="IJM14" s="476"/>
      <c r="IJN14" s="476"/>
      <c r="IJO14" s="476"/>
      <c r="IJP14" s="476"/>
      <c r="IJQ14" s="476"/>
      <c r="IJR14" s="476"/>
      <c r="IJS14" s="476"/>
      <c r="IJT14" s="476"/>
      <c r="IJU14" s="476"/>
      <c r="IJV14" s="476"/>
      <c r="IJW14" s="477"/>
      <c r="IJX14" s="477"/>
      <c r="IJY14" s="463"/>
      <c r="IJZ14" s="475"/>
      <c r="IKA14" s="476"/>
      <c r="IKB14" s="476"/>
      <c r="IKC14" s="476"/>
      <c r="IKD14" s="476"/>
      <c r="IKE14" s="476"/>
      <c r="IKF14" s="476"/>
      <c r="IKG14" s="476"/>
      <c r="IKH14" s="476"/>
      <c r="IKI14" s="476"/>
      <c r="IKJ14" s="476"/>
      <c r="IKK14" s="476"/>
      <c r="IKL14" s="476"/>
      <c r="IKM14" s="477"/>
      <c r="IKN14" s="477"/>
      <c r="IKO14" s="463"/>
      <c r="IKP14" s="475"/>
      <c r="IKQ14" s="476"/>
      <c r="IKR14" s="476"/>
      <c r="IKS14" s="476"/>
      <c r="IKT14" s="476"/>
      <c r="IKU14" s="476"/>
      <c r="IKV14" s="476"/>
      <c r="IKW14" s="476"/>
      <c r="IKX14" s="476"/>
      <c r="IKY14" s="476"/>
      <c r="IKZ14" s="476"/>
      <c r="ILA14" s="476"/>
      <c r="ILB14" s="476"/>
      <c r="ILC14" s="477"/>
      <c r="ILD14" s="477"/>
      <c r="ILE14" s="463"/>
      <c r="ILF14" s="475"/>
      <c r="ILG14" s="476"/>
      <c r="ILH14" s="476"/>
      <c r="ILI14" s="476"/>
      <c r="ILJ14" s="476"/>
      <c r="ILK14" s="476"/>
      <c r="ILL14" s="476"/>
      <c r="ILM14" s="476"/>
      <c r="ILN14" s="476"/>
      <c r="ILO14" s="476"/>
      <c r="ILP14" s="476"/>
      <c r="ILQ14" s="476"/>
      <c r="ILR14" s="476"/>
      <c r="ILS14" s="477"/>
      <c r="ILT14" s="477"/>
      <c r="ILU14" s="463"/>
      <c r="ILV14" s="475"/>
      <c r="ILW14" s="476"/>
      <c r="ILX14" s="476"/>
      <c r="ILY14" s="476"/>
      <c r="ILZ14" s="476"/>
      <c r="IMA14" s="476"/>
      <c r="IMB14" s="476"/>
      <c r="IMC14" s="476"/>
      <c r="IMD14" s="476"/>
      <c r="IME14" s="476"/>
      <c r="IMF14" s="476"/>
      <c r="IMG14" s="476"/>
      <c r="IMH14" s="476"/>
      <c r="IMI14" s="477"/>
      <c r="IMJ14" s="477"/>
      <c r="IMK14" s="463"/>
      <c r="IML14" s="475"/>
      <c r="IMM14" s="476"/>
      <c r="IMN14" s="476"/>
      <c r="IMO14" s="476"/>
      <c r="IMP14" s="476"/>
      <c r="IMQ14" s="476"/>
      <c r="IMR14" s="476"/>
      <c r="IMS14" s="476"/>
      <c r="IMT14" s="476"/>
      <c r="IMU14" s="476"/>
      <c r="IMV14" s="476"/>
      <c r="IMW14" s="476"/>
      <c r="IMX14" s="476"/>
      <c r="IMY14" s="477"/>
      <c r="IMZ14" s="477"/>
      <c r="INA14" s="463"/>
      <c r="INB14" s="475"/>
      <c r="INC14" s="476"/>
      <c r="IND14" s="476"/>
      <c r="INE14" s="476"/>
      <c r="INF14" s="476"/>
      <c r="ING14" s="476"/>
      <c r="INH14" s="476"/>
      <c r="INI14" s="476"/>
      <c r="INJ14" s="476"/>
      <c r="INK14" s="476"/>
      <c r="INL14" s="476"/>
      <c r="INM14" s="476"/>
      <c r="INN14" s="476"/>
      <c r="INO14" s="477"/>
      <c r="INP14" s="477"/>
      <c r="INQ14" s="463"/>
      <c r="INR14" s="475"/>
      <c r="INS14" s="476"/>
      <c r="INT14" s="476"/>
      <c r="INU14" s="476"/>
      <c r="INV14" s="476"/>
      <c r="INW14" s="476"/>
      <c r="INX14" s="476"/>
      <c r="INY14" s="476"/>
      <c r="INZ14" s="476"/>
      <c r="IOA14" s="476"/>
      <c r="IOB14" s="476"/>
      <c r="IOC14" s="476"/>
      <c r="IOD14" s="476"/>
      <c r="IOE14" s="477"/>
      <c r="IOF14" s="477"/>
      <c r="IOG14" s="463"/>
      <c r="IOH14" s="475"/>
      <c r="IOI14" s="476"/>
      <c r="IOJ14" s="476"/>
      <c r="IOK14" s="476"/>
      <c r="IOL14" s="476"/>
      <c r="IOM14" s="476"/>
      <c r="ION14" s="476"/>
      <c r="IOO14" s="476"/>
      <c r="IOP14" s="476"/>
      <c r="IOQ14" s="476"/>
      <c r="IOR14" s="476"/>
      <c r="IOS14" s="476"/>
      <c r="IOT14" s="476"/>
      <c r="IOU14" s="477"/>
      <c r="IOV14" s="477"/>
      <c r="IOW14" s="463"/>
      <c r="IOX14" s="475"/>
      <c r="IOY14" s="476"/>
      <c r="IOZ14" s="476"/>
      <c r="IPA14" s="476"/>
      <c r="IPB14" s="476"/>
      <c r="IPC14" s="476"/>
      <c r="IPD14" s="476"/>
      <c r="IPE14" s="476"/>
      <c r="IPF14" s="476"/>
      <c r="IPG14" s="476"/>
      <c r="IPH14" s="476"/>
      <c r="IPI14" s="476"/>
      <c r="IPJ14" s="476"/>
      <c r="IPK14" s="477"/>
      <c r="IPL14" s="477"/>
      <c r="IPM14" s="463"/>
      <c r="IPN14" s="475"/>
      <c r="IPO14" s="476"/>
      <c r="IPP14" s="476"/>
      <c r="IPQ14" s="476"/>
      <c r="IPR14" s="476"/>
      <c r="IPS14" s="476"/>
      <c r="IPT14" s="476"/>
      <c r="IPU14" s="476"/>
      <c r="IPV14" s="476"/>
      <c r="IPW14" s="476"/>
      <c r="IPX14" s="476"/>
      <c r="IPY14" s="476"/>
      <c r="IPZ14" s="476"/>
      <c r="IQA14" s="477"/>
      <c r="IQB14" s="477"/>
      <c r="IQC14" s="463"/>
      <c r="IQD14" s="475"/>
      <c r="IQE14" s="476"/>
      <c r="IQF14" s="476"/>
      <c r="IQG14" s="476"/>
      <c r="IQH14" s="476"/>
      <c r="IQI14" s="476"/>
      <c r="IQJ14" s="476"/>
      <c r="IQK14" s="476"/>
      <c r="IQL14" s="476"/>
      <c r="IQM14" s="476"/>
      <c r="IQN14" s="476"/>
      <c r="IQO14" s="476"/>
      <c r="IQP14" s="476"/>
      <c r="IQQ14" s="477"/>
      <c r="IQR14" s="477"/>
      <c r="IQS14" s="463"/>
      <c r="IQT14" s="475"/>
      <c r="IQU14" s="476"/>
      <c r="IQV14" s="476"/>
      <c r="IQW14" s="476"/>
      <c r="IQX14" s="476"/>
      <c r="IQY14" s="476"/>
      <c r="IQZ14" s="476"/>
      <c r="IRA14" s="476"/>
      <c r="IRB14" s="476"/>
      <c r="IRC14" s="476"/>
      <c r="IRD14" s="476"/>
      <c r="IRE14" s="476"/>
      <c r="IRF14" s="476"/>
      <c r="IRG14" s="477"/>
      <c r="IRH14" s="477"/>
      <c r="IRI14" s="463"/>
      <c r="IRJ14" s="475"/>
      <c r="IRK14" s="476"/>
      <c r="IRL14" s="476"/>
      <c r="IRM14" s="476"/>
      <c r="IRN14" s="476"/>
      <c r="IRO14" s="476"/>
      <c r="IRP14" s="476"/>
      <c r="IRQ14" s="476"/>
      <c r="IRR14" s="476"/>
      <c r="IRS14" s="476"/>
      <c r="IRT14" s="476"/>
      <c r="IRU14" s="476"/>
      <c r="IRV14" s="476"/>
      <c r="IRW14" s="477"/>
      <c r="IRX14" s="477"/>
      <c r="IRY14" s="463"/>
      <c r="IRZ14" s="475"/>
      <c r="ISA14" s="476"/>
      <c r="ISB14" s="476"/>
      <c r="ISC14" s="476"/>
      <c r="ISD14" s="476"/>
      <c r="ISE14" s="476"/>
      <c r="ISF14" s="476"/>
      <c r="ISG14" s="476"/>
      <c r="ISH14" s="476"/>
      <c r="ISI14" s="476"/>
      <c r="ISJ14" s="476"/>
      <c r="ISK14" s="476"/>
      <c r="ISL14" s="476"/>
      <c r="ISM14" s="477"/>
      <c r="ISN14" s="477"/>
      <c r="ISO14" s="463"/>
      <c r="ISP14" s="475"/>
      <c r="ISQ14" s="476"/>
      <c r="ISR14" s="476"/>
      <c r="ISS14" s="476"/>
      <c r="IST14" s="476"/>
      <c r="ISU14" s="476"/>
      <c r="ISV14" s="476"/>
      <c r="ISW14" s="476"/>
      <c r="ISX14" s="476"/>
      <c r="ISY14" s="476"/>
      <c r="ISZ14" s="476"/>
      <c r="ITA14" s="476"/>
      <c r="ITB14" s="476"/>
      <c r="ITC14" s="477"/>
      <c r="ITD14" s="477"/>
      <c r="ITE14" s="463"/>
      <c r="ITF14" s="475"/>
      <c r="ITG14" s="476"/>
      <c r="ITH14" s="476"/>
      <c r="ITI14" s="476"/>
      <c r="ITJ14" s="476"/>
      <c r="ITK14" s="476"/>
      <c r="ITL14" s="476"/>
      <c r="ITM14" s="476"/>
      <c r="ITN14" s="476"/>
      <c r="ITO14" s="476"/>
      <c r="ITP14" s="476"/>
      <c r="ITQ14" s="476"/>
      <c r="ITR14" s="476"/>
      <c r="ITS14" s="477"/>
      <c r="ITT14" s="477"/>
      <c r="ITU14" s="463"/>
      <c r="ITV14" s="475"/>
      <c r="ITW14" s="476"/>
      <c r="ITX14" s="476"/>
      <c r="ITY14" s="476"/>
      <c r="ITZ14" s="476"/>
      <c r="IUA14" s="476"/>
      <c r="IUB14" s="476"/>
      <c r="IUC14" s="476"/>
      <c r="IUD14" s="476"/>
      <c r="IUE14" s="476"/>
      <c r="IUF14" s="476"/>
      <c r="IUG14" s="476"/>
      <c r="IUH14" s="476"/>
      <c r="IUI14" s="477"/>
      <c r="IUJ14" s="477"/>
      <c r="IUK14" s="463"/>
      <c r="IUL14" s="475"/>
      <c r="IUM14" s="476"/>
      <c r="IUN14" s="476"/>
      <c r="IUO14" s="476"/>
      <c r="IUP14" s="476"/>
      <c r="IUQ14" s="476"/>
      <c r="IUR14" s="476"/>
      <c r="IUS14" s="476"/>
      <c r="IUT14" s="476"/>
      <c r="IUU14" s="476"/>
      <c r="IUV14" s="476"/>
      <c r="IUW14" s="476"/>
      <c r="IUX14" s="476"/>
      <c r="IUY14" s="477"/>
      <c r="IUZ14" s="477"/>
      <c r="IVA14" s="463"/>
      <c r="IVB14" s="475"/>
      <c r="IVC14" s="476"/>
      <c r="IVD14" s="476"/>
      <c r="IVE14" s="476"/>
      <c r="IVF14" s="476"/>
      <c r="IVG14" s="476"/>
      <c r="IVH14" s="476"/>
      <c r="IVI14" s="476"/>
      <c r="IVJ14" s="476"/>
      <c r="IVK14" s="476"/>
      <c r="IVL14" s="476"/>
      <c r="IVM14" s="476"/>
      <c r="IVN14" s="476"/>
      <c r="IVO14" s="477"/>
      <c r="IVP14" s="477"/>
      <c r="IVQ14" s="463"/>
      <c r="IVR14" s="475"/>
      <c r="IVS14" s="476"/>
      <c r="IVT14" s="476"/>
      <c r="IVU14" s="476"/>
      <c r="IVV14" s="476"/>
      <c r="IVW14" s="476"/>
      <c r="IVX14" s="476"/>
      <c r="IVY14" s="476"/>
      <c r="IVZ14" s="476"/>
      <c r="IWA14" s="476"/>
      <c r="IWB14" s="476"/>
      <c r="IWC14" s="476"/>
      <c r="IWD14" s="476"/>
      <c r="IWE14" s="477"/>
      <c r="IWF14" s="477"/>
      <c r="IWG14" s="463"/>
      <c r="IWH14" s="475"/>
      <c r="IWI14" s="476"/>
      <c r="IWJ14" s="476"/>
      <c r="IWK14" s="476"/>
      <c r="IWL14" s="476"/>
      <c r="IWM14" s="476"/>
      <c r="IWN14" s="476"/>
      <c r="IWO14" s="476"/>
      <c r="IWP14" s="476"/>
      <c r="IWQ14" s="476"/>
      <c r="IWR14" s="476"/>
      <c r="IWS14" s="476"/>
      <c r="IWT14" s="476"/>
      <c r="IWU14" s="477"/>
      <c r="IWV14" s="477"/>
      <c r="IWW14" s="463"/>
      <c r="IWX14" s="475"/>
      <c r="IWY14" s="476"/>
      <c r="IWZ14" s="476"/>
      <c r="IXA14" s="476"/>
      <c r="IXB14" s="476"/>
      <c r="IXC14" s="476"/>
      <c r="IXD14" s="476"/>
      <c r="IXE14" s="476"/>
      <c r="IXF14" s="476"/>
      <c r="IXG14" s="476"/>
      <c r="IXH14" s="476"/>
      <c r="IXI14" s="476"/>
      <c r="IXJ14" s="476"/>
      <c r="IXK14" s="477"/>
      <c r="IXL14" s="477"/>
      <c r="IXM14" s="463"/>
      <c r="IXN14" s="475"/>
      <c r="IXO14" s="476"/>
      <c r="IXP14" s="476"/>
      <c r="IXQ14" s="476"/>
      <c r="IXR14" s="476"/>
      <c r="IXS14" s="476"/>
      <c r="IXT14" s="476"/>
      <c r="IXU14" s="476"/>
      <c r="IXV14" s="476"/>
      <c r="IXW14" s="476"/>
      <c r="IXX14" s="476"/>
      <c r="IXY14" s="476"/>
      <c r="IXZ14" s="476"/>
      <c r="IYA14" s="477"/>
      <c r="IYB14" s="477"/>
      <c r="IYC14" s="463"/>
      <c r="IYD14" s="475"/>
      <c r="IYE14" s="476"/>
      <c r="IYF14" s="476"/>
      <c r="IYG14" s="476"/>
      <c r="IYH14" s="476"/>
      <c r="IYI14" s="476"/>
      <c r="IYJ14" s="476"/>
      <c r="IYK14" s="476"/>
      <c r="IYL14" s="476"/>
      <c r="IYM14" s="476"/>
      <c r="IYN14" s="476"/>
      <c r="IYO14" s="476"/>
      <c r="IYP14" s="476"/>
      <c r="IYQ14" s="477"/>
      <c r="IYR14" s="477"/>
      <c r="IYS14" s="463"/>
      <c r="IYT14" s="475"/>
      <c r="IYU14" s="476"/>
      <c r="IYV14" s="476"/>
      <c r="IYW14" s="476"/>
      <c r="IYX14" s="476"/>
      <c r="IYY14" s="476"/>
      <c r="IYZ14" s="476"/>
      <c r="IZA14" s="476"/>
      <c r="IZB14" s="476"/>
      <c r="IZC14" s="476"/>
      <c r="IZD14" s="476"/>
      <c r="IZE14" s="476"/>
      <c r="IZF14" s="476"/>
      <c r="IZG14" s="477"/>
      <c r="IZH14" s="477"/>
      <c r="IZI14" s="463"/>
      <c r="IZJ14" s="475"/>
      <c r="IZK14" s="476"/>
      <c r="IZL14" s="476"/>
      <c r="IZM14" s="476"/>
      <c r="IZN14" s="476"/>
      <c r="IZO14" s="476"/>
      <c r="IZP14" s="476"/>
      <c r="IZQ14" s="476"/>
      <c r="IZR14" s="476"/>
      <c r="IZS14" s="476"/>
      <c r="IZT14" s="476"/>
      <c r="IZU14" s="476"/>
      <c r="IZV14" s="476"/>
      <c r="IZW14" s="477"/>
      <c r="IZX14" s="477"/>
      <c r="IZY14" s="463"/>
      <c r="IZZ14" s="475"/>
      <c r="JAA14" s="476"/>
      <c r="JAB14" s="476"/>
      <c r="JAC14" s="476"/>
      <c r="JAD14" s="476"/>
      <c r="JAE14" s="476"/>
      <c r="JAF14" s="476"/>
      <c r="JAG14" s="476"/>
      <c r="JAH14" s="476"/>
      <c r="JAI14" s="476"/>
      <c r="JAJ14" s="476"/>
      <c r="JAK14" s="476"/>
      <c r="JAL14" s="476"/>
      <c r="JAM14" s="477"/>
      <c r="JAN14" s="477"/>
      <c r="JAO14" s="463"/>
      <c r="JAP14" s="475"/>
      <c r="JAQ14" s="476"/>
      <c r="JAR14" s="476"/>
      <c r="JAS14" s="476"/>
      <c r="JAT14" s="476"/>
      <c r="JAU14" s="476"/>
      <c r="JAV14" s="476"/>
      <c r="JAW14" s="476"/>
      <c r="JAX14" s="476"/>
      <c r="JAY14" s="476"/>
      <c r="JAZ14" s="476"/>
      <c r="JBA14" s="476"/>
      <c r="JBB14" s="476"/>
      <c r="JBC14" s="477"/>
      <c r="JBD14" s="477"/>
      <c r="JBE14" s="463"/>
      <c r="JBF14" s="475"/>
      <c r="JBG14" s="476"/>
      <c r="JBH14" s="476"/>
      <c r="JBI14" s="476"/>
      <c r="JBJ14" s="476"/>
      <c r="JBK14" s="476"/>
      <c r="JBL14" s="476"/>
      <c r="JBM14" s="476"/>
      <c r="JBN14" s="476"/>
      <c r="JBO14" s="476"/>
      <c r="JBP14" s="476"/>
      <c r="JBQ14" s="476"/>
      <c r="JBR14" s="476"/>
      <c r="JBS14" s="477"/>
      <c r="JBT14" s="477"/>
      <c r="JBU14" s="463"/>
      <c r="JBV14" s="475"/>
      <c r="JBW14" s="476"/>
      <c r="JBX14" s="476"/>
      <c r="JBY14" s="476"/>
      <c r="JBZ14" s="476"/>
      <c r="JCA14" s="476"/>
      <c r="JCB14" s="476"/>
      <c r="JCC14" s="476"/>
      <c r="JCD14" s="476"/>
      <c r="JCE14" s="476"/>
      <c r="JCF14" s="476"/>
      <c r="JCG14" s="476"/>
      <c r="JCH14" s="476"/>
      <c r="JCI14" s="477"/>
      <c r="JCJ14" s="477"/>
      <c r="JCK14" s="463"/>
      <c r="JCL14" s="475"/>
      <c r="JCM14" s="476"/>
      <c r="JCN14" s="476"/>
      <c r="JCO14" s="476"/>
      <c r="JCP14" s="476"/>
      <c r="JCQ14" s="476"/>
      <c r="JCR14" s="476"/>
      <c r="JCS14" s="476"/>
      <c r="JCT14" s="476"/>
      <c r="JCU14" s="476"/>
      <c r="JCV14" s="476"/>
      <c r="JCW14" s="476"/>
      <c r="JCX14" s="476"/>
      <c r="JCY14" s="477"/>
      <c r="JCZ14" s="477"/>
      <c r="JDA14" s="463"/>
      <c r="JDB14" s="475"/>
      <c r="JDC14" s="476"/>
      <c r="JDD14" s="476"/>
      <c r="JDE14" s="476"/>
      <c r="JDF14" s="476"/>
      <c r="JDG14" s="476"/>
      <c r="JDH14" s="476"/>
      <c r="JDI14" s="476"/>
      <c r="JDJ14" s="476"/>
      <c r="JDK14" s="476"/>
      <c r="JDL14" s="476"/>
      <c r="JDM14" s="476"/>
      <c r="JDN14" s="476"/>
      <c r="JDO14" s="477"/>
      <c r="JDP14" s="477"/>
      <c r="JDQ14" s="463"/>
      <c r="JDR14" s="475"/>
      <c r="JDS14" s="476"/>
      <c r="JDT14" s="476"/>
      <c r="JDU14" s="476"/>
      <c r="JDV14" s="476"/>
      <c r="JDW14" s="476"/>
      <c r="JDX14" s="476"/>
      <c r="JDY14" s="476"/>
      <c r="JDZ14" s="476"/>
      <c r="JEA14" s="476"/>
      <c r="JEB14" s="476"/>
      <c r="JEC14" s="476"/>
      <c r="JED14" s="476"/>
      <c r="JEE14" s="477"/>
      <c r="JEF14" s="477"/>
      <c r="JEG14" s="463"/>
      <c r="JEH14" s="475"/>
      <c r="JEI14" s="476"/>
      <c r="JEJ14" s="476"/>
      <c r="JEK14" s="476"/>
      <c r="JEL14" s="476"/>
      <c r="JEM14" s="476"/>
      <c r="JEN14" s="476"/>
      <c r="JEO14" s="476"/>
      <c r="JEP14" s="476"/>
      <c r="JEQ14" s="476"/>
      <c r="JER14" s="476"/>
      <c r="JES14" s="476"/>
      <c r="JET14" s="476"/>
      <c r="JEU14" s="477"/>
      <c r="JEV14" s="477"/>
      <c r="JEW14" s="463"/>
      <c r="JEX14" s="475"/>
      <c r="JEY14" s="476"/>
      <c r="JEZ14" s="476"/>
      <c r="JFA14" s="476"/>
      <c r="JFB14" s="476"/>
      <c r="JFC14" s="476"/>
      <c r="JFD14" s="476"/>
      <c r="JFE14" s="476"/>
      <c r="JFF14" s="476"/>
      <c r="JFG14" s="476"/>
      <c r="JFH14" s="476"/>
      <c r="JFI14" s="476"/>
      <c r="JFJ14" s="476"/>
      <c r="JFK14" s="477"/>
      <c r="JFL14" s="477"/>
      <c r="JFM14" s="463"/>
      <c r="JFN14" s="475"/>
      <c r="JFO14" s="476"/>
      <c r="JFP14" s="476"/>
      <c r="JFQ14" s="476"/>
      <c r="JFR14" s="476"/>
      <c r="JFS14" s="476"/>
      <c r="JFT14" s="476"/>
      <c r="JFU14" s="476"/>
      <c r="JFV14" s="476"/>
      <c r="JFW14" s="476"/>
      <c r="JFX14" s="476"/>
      <c r="JFY14" s="476"/>
      <c r="JFZ14" s="476"/>
      <c r="JGA14" s="477"/>
      <c r="JGB14" s="477"/>
      <c r="JGC14" s="463"/>
      <c r="JGD14" s="475"/>
      <c r="JGE14" s="476"/>
      <c r="JGF14" s="476"/>
      <c r="JGG14" s="476"/>
      <c r="JGH14" s="476"/>
      <c r="JGI14" s="476"/>
      <c r="JGJ14" s="476"/>
      <c r="JGK14" s="476"/>
      <c r="JGL14" s="476"/>
      <c r="JGM14" s="476"/>
      <c r="JGN14" s="476"/>
      <c r="JGO14" s="476"/>
      <c r="JGP14" s="476"/>
      <c r="JGQ14" s="477"/>
      <c r="JGR14" s="477"/>
      <c r="JGS14" s="463"/>
      <c r="JGT14" s="475"/>
      <c r="JGU14" s="476"/>
      <c r="JGV14" s="476"/>
      <c r="JGW14" s="476"/>
      <c r="JGX14" s="476"/>
      <c r="JGY14" s="476"/>
      <c r="JGZ14" s="476"/>
      <c r="JHA14" s="476"/>
      <c r="JHB14" s="476"/>
      <c r="JHC14" s="476"/>
      <c r="JHD14" s="476"/>
      <c r="JHE14" s="476"/>
      <c r="JHF14" s="476"/>
      <c r="JHG14" s="477"/>
      <c r="JHH14" s="477"/>
      <c r="JHI14" s="463"/>
      <c r="JHJ14" s="475"/>
      <c r="JHK14" s="476"/>
      <c r="JHL14" s="476"/>
      <c r="JHM14" s="476"/>
      <c r="JHN14" s="476"/>
      <c r="JHO14" s="476"/>
      <c r="JHP14" s="476"/>
      <c r="JHQ14" s="476"/>
      <c r="JHR14" s="476"/>
      <c r="JHS14" s="476"/>
      <c r="JHT14" s="476"/>
      <c r="JHU14" s="476"/>
      <c r="JHV14" s="476"/>
      <c r="JHW14" s="477"/>
      <c r="JHX14" s="477"/>
      <c r="JHY14" s="463"/>
      <c r="JHZ14" s="475"/>
      <c r="JIA14" s="476"/>
      <c r="JIB14" s="476"/>
      <c r="JIC14" s="476"/>
      <c r="JID14" s="476"/>
      <c r="JIE14" s="476"/>
      <c r="JIF14" s="476"/>
      <c r="JIG14" s="476"/>
      <c r="JIH14" s="476"/>
      <c r="JII14" s="476"/>
      <c r="JIJ14" s="476"/>
      <c r="JIK14" s="476"/>
      <c r="JIL14" s="476"/>
      <c r="JIM14" s="477"/>
      <c r="JIN14" s="477"/>
      <c r="JIO14" s="463"/>
      <c r="JIP14" s="475"/>
      <c r="JIQ14" s="476"/>
      <c r="JIR14" s="476"/>
      <c r="JIS14" s="476"/>
      <c r="JIT14" s="476"/>
      <c r="JIU14" s="476"/>
      <c r="JIV14" s="476"/>
      <c r="JIW14" s="476"/>
      <c r="JIX14" s="476"/>
      <c r="JIY14" s="476"/>
      <c r="JIZ14" s="476"/>
      <c r="JJA14" s="476"/>
      <c r="JJB14" s="476"/>
      <c r="JJC14" s="477"/>
      <c r="JJD14" s="477"/>
      <c r="JJE14" s="463"/>
      <c r="JJF14" s="475"/>
      <c r="JJG14" s="476"/>
      <c r="JJH14" s="476"/>
      <c r="JJI14" s="476"/>
      <c r="JJJ14" s="476"/>
      <c r="JJK14" s="476"/>
      <c r="JJL14" s="476"/>
      <c r="JJM14" s="476"/>
      <c r="JJN14" s="476"/>
      <c r="JJO14" s="476"/>
      <c r="JJP14" s="476"/>
      <c r="JJQ14" s="476"/>
      <c r="JJR14" s="476"/>
      <c r="JJS14" s="477"/>
      <c r="JJT14" s="477"/>
      <c r="JJU14" s="463"/>
      <c r="JJV14" s="475"/>
      <c r="JJW14" s="476"/>
      <c r="JJX14" s="476"/>
      <c r="JJY14" s="476"/>
      <c r="JJZ14" s="476"/>
      <c r="JKA14" s="476"/>
      <c r="JKB14" s="476"/>
      <c r="JKC14" s="476"/>
      <c r="JKD14" s="476"/>
      <c r="JKE14" s="476"/>
      <c r="JKF14" s="476"/>
      <c r="JKG14" s="476"/>
      <c r="JKH14" s="476"/>
      <c r="JKI14" s="477"/>
      <c r="JKJ14" s="477"/>
      <c r="JKK14" s="463"/>
      <c r="JKL14" s="475"/>
      <c r="JKM14" s="476"/>
      <c r="JKN14" s="476"/>
      <c r="JKO14" s="476"/>
      <c r="JKP14" s="476"/>
      <c r="JKQ14" s="476"/>
      <c r="JKR14" s="476"/>
      <c r="JKS14" s="476"/>
      <c r="JKT14" s="476"/>
      <c r="JKU14" s="476"/>
      <c r="JKV14" s="476"/>
      <c r="JKW14" s="476"/>
      <c r="JKX14" s="476"/>
      <c r="JKY14" s="477"/>
      <c r="JKZ14" s="477"/>
      <c r="JLA14" s="463"/>
      <c r="JLB14" s="475"/>
      <c r="JLC14" s="476"/>
      <c r="JLD14" s="476"/>
      <c r="JLE14" s="476"/>
      <c r="JLF14" s="476"/>
      <c r="JLG14" s="476"/>
      <c r="JLH14" s="476"/>
      <c r="JLI14" s="476"/>
      <c r="JLJ14" s="476"/>
      <c r="JLK14" s="476"/>
      <c r="JLL14" s="476"/>
      <c r="JLM14" s="476"/>
      <c r="JLN14" s="476"/>
      <c r="JLO14" s="477"/>
      <c r="JLP14" s="477"/>
      <c r="JLQ14" s="463"/>
      <c r="JLR14" s="475"/>
      <c r="JLS14" s="476"/>
      <c r="JLT14" s="476"/>
      <c r="JLU14" s="476"/>
      <c r="JLV14" s="476"/>
      <c r="JLW14" s="476"/>
      <c r="JLX14" s="476"/>
      <c r="JLY14" s="476"/>
      <c r="JLZ14" s="476"/>
      <c r="JMA14" s="476"/>
      <c r="JMB14" s="476"/>
      <c r="JMC14" s="476"/>
      <c r="JMD14" s="476"/>
      <c r="JME14" s="477"/>
      <c r="JMF14" s="477"/>
      <c r="JMG14" s="463"/>
      <c r="JMH14" s="475"/>
      <c r="JMI14" s="476"/>
      <c r="JMJ14" s="476"/>
      <c r="JMK14" s="476"/>
      <c r="JML14" s="476"/>
      <c r="JMM14" s="476"/>
      <c r="JMN14" s="476"/>
      <c r="JMO14" s="476"/>
      <c r="JMP14" s="476"/>
      <c r="JMQ14" s="476"/>
      <c r="JMR14" s="476"/>
      <c r="JMS14" s="476"/>
      <c r="JMT14" s="476"/>
      <c r="JMU14" s="477"/>
      <c r="JMV14" s="477"/>
      <c r="JMW14" s="463"/>
      <c r="JMX14" s="475"/>
      <c r="JMY14" s="476"/>
      <c r="JMZ14" s="476"/>
      <c r="JNA14" s="476"/>
      <c r="JNB14" s="476"/>
      <c r="JNC14" s="476"/>
      <c r="JND14" s="476"/>
      <c r="JNE14" s="476"/>
      <c r="JNF14" s="476"/>
      <c r="JNG14" s="476"/>
      <c r="JNH14" s="476"/>
      <c r="JNI14" s="476"/>
      <c r="JNJ14" s="476"/>
      <c r="JNK14" s="477"/>
      <c r="JNL14" s="477"/>
      <c r="JNM14" s="463"/>
      <c r="JNN14" s="475"/>
      <c r="JNO14" s="476"/>
      <c r="JNP14" s="476"/>
      <c r="JNQ14" s="476"/>
      <c r="JNR14" s="476"/>
      <c r="JNS14" s="476"/>
      <c r="JNT14" s="476"/>
      <c r="JNU14" s="476"/>
      <c r="JNV14" s="476"/>
      <c r="JNW14" s="476"/>
      <c r="JNX14" s="476"/>
      <c r="JNY14" s="476"/>
      <c r="JNZ14" s="476"/>
      <c r="JOA14" s="477"/>
      <c r="JOB14" s="477"/>
      <c r="JOC14" s="463"/>
      <c r="JOD14" s="475"/>
      <c r="JOE14" s="476"/>
      <c r="JOF14" s="476"/>
      <c r="JOG14" s="476"/>
      <c r="JOH14" s="476"/>
      <c r="JOI14" s="476"/>
      <c r="JOJ14" s="476"/>
      <c r="JOK14" s="476"/>
      <c r="JOL14" s="476"/>
      <c r="JOM14" s="476"/>
      <c r="JON14" s="476"/>
      <c r="JOO14" s="476"/>
      <c r="JOP14" s="476"/>
      <c r="JOQ14" s="477"/>
      <c r="JOR14" s="477"/>
      <c r="JOS14" s="463"/>
      <c r="JOT14" s="475"/>
      <c r="JOU14" s="476"/>
      <c r="JOV14" s="476"/>
      <c r="JOW14" s="476"/>
      <c r="JOX14" s="476"/>
      <c r="JOY14" s="476"/>
      <c r="JOZ14" s="476"/>
      <c r="JPA14" s="476"/>
      <c r="JPB14" s="476"/>
      <c r="JPC14" s="476"/>
      <c r="JPD14" s="476"/>
      <c r="JPE14" s="476"/>
      <c r="JPF14" s="476"/>
      <c r="JPG14" s="477"/>
      <c r="JPH14" s="477"/>
      <c r="JPI14" s="463"/>
      <c r="JPJ14" s="475"/>
      <c r="JPK14" s="476"/>
      <c r="JPL14" s="476"/>
      <c r="JPM14" s="476"/>
      <c r="JPN14" s="476"/>
      <c r="JPO14" s="476"/>
      <c r="JPP14" s="476"/>
      <c r="JPQ14" s="476"/>
      <c r="JPR14" s="476"/>
      <c r="JPS14" s="476"/>
      <c r="JPT14" s="476"/>
      <c r="JPU14" s="476"/>
      <c r="JPV14" s="476"/>
      <c r="JPW14" s="477"/>
      <c r="JPX14" s="477"/>
      <c r="JPY14" s="463"/>
      <c r="JPZ14" s="475"/>
      <c r="JQA14" s="476"/>
      <c r="JQB14" s="476"/>
      <c r="JQC14" s="476"/>
      <c r="JQD14" s="476"/>
      <c r="JQE14" s="476"/>
      <c r="JQF14" s="476"/>
      <c r="JQG14" s="476"/>
      <c r="JQH14" s="476"/>
      <c r="JQI14" s="476"/>
      <c r="JQJ14" s="476"/>
      <c r="JQK14" s="476"/>
      <c r="JQL14" s="476"/>
      <c r="JQM14" s="477"/>
      <c r="JQN14" s="477"/>
      <c r="JQO14" s="463"/>
      <c r="JQP14" s="475"/>
      <c r="JQQ14" s="476"/>
      <c r="JQR14" s="476"/>
      <c r="JQS14" s="476"/>
      <c r="JQT14" s="476"/>
      <c r="JQU14" s="476"/>
      <c r="JQV14" s="476"/>
      <c r="JQW14" s="476"/>
      <c r="JQX14" s="476"/>
      <c r="JQY14" s="476"/>
      <c r="JQZ14" s="476"/>
      <c r="JRA14" s="476"/>
      <c r="JRB14" s="476"/>
      <c r="JRC14" s="477"/>
      <c r="JRD14" s="477"/>
      <c r="JRE14" s="463"/>
      <c r="JRF14" s="475"/>
      <c r="JRG14" s="476"/>
      <c r="JRH14" s="476"/>
      <c r="JRI14" s="476"/>
      <c r="JRJ14" s="476"/>
      <c r="JRK14" s="476"/>
      <c r="JRL14" s="476"/>
      <c r="JRM14" s="476"/>
      <c r="JRN14" s="476"/>
      <c r="JRO14" s="476"/>
      <c r="JRP14" s="476"/>
      <c r="JRQ14" s="476"/>
      <c r="JRR14" s="476"/>
      <c r="JRS14" s="477"/>
      <c r="JRT14" s="477"/>
      <c r="JRU14" s="463"/>
      <c r="JRV14" s="475"/>
      <c r="JRW14" s="476"/>
      <c r="JRX14" s="476"/>
      <c r="JRY14" s="476"/>
      <c r="JRZ14" s="476"/>
      <c r="JSA14" s="476"/>
      <c r="JSB14" s="476"/>
      <c r="JSC14" s="476"/>
      <c r="JSD14" s="476"/>
      <c r="JSE14" s="476"/>
      <c r="JSF14" s="476"/>
      <c r="JSG14" s="476"/>
      <c r="JSH14" s="476"/>
      <c r="JSI14" s="477"/>
      <c r="JSJ14" s="477"/>
      <c r="JSK14" s="463"/>
      <c r="JSL14" s="475"/>
      <c r="JSM14" s="476"/>
      <c r="JSN14" s="476"/>
      <c r="JSO14" s="476"/>
      <c r="JSP14" s="476"/>
      <c r="JSQ14" s="476"/>
      <c r="JSR14" s="476"/>
      <c r="JSS14" s="476"/>
      <c r="JST14" s="476"/>
      <c r="JSU14" s="476"/>
      <c r="JSV14" s="476"/>
      <c r="JSW14" s="476"/>
      <c r="JSX14" s="476"/>
      <c r="JSY14" s="477"/>
      <c r="JSZ14" s="477"/>
      <c r="JTA14" s="463"/>
      <c r="JTB14" s="475"/>
      <c r="JTC14" s="476"/>
      <c r="JTD14" s="476"/>
      <c r="JTE14" s="476"/>
      <c r="JTF14" s="476"/>
      <c r="JTG14" s="476"/>
      <c r="JTH14" s="476"/>
      <c r="JTI14" s="476"/>
      <c r="JTJ14" s="476"/>
      <c r="JTK14" s="476"/>
      <c r="JTL14" s="476"/>
      <c r="JTM14" s="476"/>
      <c r="JTN14" s="476"/>
      <c r="JTO14" s="477"/>
      <c r="JTP14" s="477"/>
      <c r="JTQ14" s="463"/>
      <c r="JTR14" s="475"/>
      <c r="JTS14" s="476"/>
      <c r="JTT14" s="476"/>
      <c r="JTU14" s="476"/>
      <c r="JTV14" s="476"/>
      <c r="JTW14" s="476"/>
      <c r="JTX14" s="476"/>
      <c r="JTY14" s="476"/>
      <c r="JTZ14" s="476"/>
      <c r="JUA14" s="476"/>
      <c r="JUB14" s="476"/>
      <c r="JUC14" s="476"/>
      <c r="JUD14" s="476"/>
      <c r="JUE14" s="477"/>
      <c r="JUF14" s="477"/>
      <c r="JUG14" s="463"/>
      <c r="JUH14" s="475"/>
      <c r="JUI14" s="476"/>
      <c r="JUJ14" s="476"/>
      <c r="JUK14" s="476"/>
      <c r="JUL14" s="476"/>
      <c r="JUM14" s="476"/>
      <c r="JUN14" s="476"/>
      <c r="JUO14" s="476"/>
      <c r="JUP14" s="476"/>
      <c r="JUQ14" s="476"/>
      <c r="JUR14" s="476"/>
      <c r="JUS14" s="476"/>
      <c r="JUT14" s="476"/>
      <c r="JUU14" s="477"/>
      <c r="JUV14" s="477"/>
      <c r="JUW14" s="463"/>
      <c r="JUX14" s="475"/>
      <c r="JUY14" s="476"/>
      <c r="JUZ14" s="476"/>
      <c r="JVA14" s="476"/>
      <c r="JVB14" s="476"/>
      <c r="JVC14" s="476"/>
      <c r="JVD14" s="476"/>
      <c r="JVE14" s="476"/>
      <c r="JVF14" s="476"/>
      <c r="JVG14" s="476"/>
      <c r="JVH14" s="476"/>
      <c r="JVI14" s="476"/>
      <c r="JVJ14" s="476"/>
      <c r="JVK14" s="477"/>
      <c r="JVL14" s="477"/>
      <c r="JVM14" s="463"/>
      <c r="JVN14" s="475"/>
      <c r="JVO14" s="476"/>
      <c r="JVP14" s="476"/>
      <c r="JVQ14" s="476"/>
      <c r="JVR14" s="476"/>
      <c r="JVS14" s="476"/>
      <c r="JVT14" s="476"/>
      <c r="JVU14" s="476"/>
      <c r="JVV14" s="476"/>
      <c r="JVW14" s="476"/>
      <c r="JVX14" s="476"/>
      <c r="JVY14" s="476"/>
      <c r="JVZ14" s="476"/>
      <c r="JWA14" s="477"/>
      <c r="JWB14" s="477"/>
      <c r="JWC14" s="463"/>
      <c r="JWD14" s="475"/>
      <c r="JWE14" s="476"/>
      <c r="JWF14" s="476"/>
      <c r="JWG14" s="476"/>
      <c r="JWH14" s="476"/>
      <c r="JWI14" s="476"/>
      <c r="JWJ14" s="476"/>
      <c r="JWK14" s="476"/>
      <c r="JWL14" s="476"/>
      <c r="JWM14" s="476"/>
      <c r="JWN14" s="476"/>
      <c r="JWO14" s="476"/>
      <c r="JWP14" s="476"/>
      <c r="JWQ14" s="477"/>
      <c r="JWR14" s="477"/>
      <c r="JWS14" s="463"/>
      <c r="JWT14" s="475"/>
      <c r="JWU14" s="476"/>
      <c r="JWV14" s="476"/>
      <c r="JWW14" s="476"/>
      <c r="JWX14" s="476"/>
      <c r="JWY14" s="476"/>
      <c r="JWZ14" s="476"/>
      <c r="JXA14" s="476"/>
      <c r="JXB14" s="476"/>
      <c r="JXC14" s="476"/>
      <c r="JXD14" s="476"/>
      <c r="JXE14" s="476"/>
      <c r="JXF14" s="476"/>
      <c r="JXG14" s="477"/>
      <c r="JXH14" s="477"/>
      <c r="JXI14" s="463"/>
      <c r="JXJ14" s="475"/>
      <c r="JXK14" s="476"/>
      <c r="JXL14" s="476"/>
      <c r="JXM14" s="476"/>
      <c r="JXN14" s="476"/>
      <c r="JXO14" s="476"/>
      <c r="JXP14" s="476"/>
      <c r="JXQ14" s="476"/>
      <c r="JXR14" s="476"/>
      <c r="JXS14" s="476"/>
      <c r="JXT14" s="476"/>
      <c r="JXU14" s="476"/>
      <c r="JXV14" s="476"/>
      <c r="JXW14" s="477"/>
      <c r="JXX14" s="477"/>
      <c r="JXY14" s="463"/>
      <c r="JXZ14" s="475"/>
      <c r="JYA14" s="476"/>
      <c r="JYB14" s="476"/>
      <c r="JYC14" s="476"/>
      <c r="JYD14" s="476"/>
      <c r="JYE14" s="476"/>
      <c r="JYF14" s="476"/>
      <c r="JYG14" s="476"/>
      <c r="JYH14" s="476"/>
      <c r="JYI14" s="476"/>
      <c r="JYJ14" s="476"/>
      <c r="JYK14" s="476"/>
      <c r="JYL14" s="476"/>
      <c r="JYM14" s="477"/>
      <c r="JYN14" s="477"/>
      <c r="JYO14" s="463"/>
      <c r="JYP14" s="475"/>
      <c r="JYQ14" s="476"/>
      <c r="JYR14" s="476"/>
      <c r="JYS14" s="476"/>
      <c r="JYT14" s="476"/>
      <c r="JYU14" s="476"/>
      <c r="JYV14" s="476"/>
      <c r="JYW14" s="476"/>
      <c r="JYX14" s="476"/>
      <c r="JYY14" s="476"/>
      <c r="JYZ14" s="476"/>
      <c r="JZA14" s="476"/>
      <c r="JZB14" s="476"/>
      <c r="JZC14" s="477"/>
      <c r="JZD14" s="477"/>
      <c r="JZE14" s="463"/>
      <c r="JZF14" s="475"/>
      <c r="JZG14" s="476"/>
      <c r="JZH14" s="476"/>
      <c r="JZI14" s="476"/>
      <c r="JZJ14" s="476"/>
      <c r="JZK14" s="476"/>
      <c r="JZL14" s="476"/>
      <c r="JZM14" s="476"/>
      <c r="JZN14" s="476"/>
      <c r="JZO14" s="476"/>
      <c r="JZP14" s="476"/>
      <c r="JZQ14" s="476"/>
      <c r="JZR14" s="476"/>
      <c r="JZS14" s="477"/>
      <c r="JZT14" s="477"/>
      <c r="JZU14" s="463"/>
      <c r="JZV14" s="475"/>
      <c r="JZW14" s="476"/>
      <c r="JZX14" s="476"/>
      <c r="JZY14" s="476"/>
      <c r="JZZ14" s="476"/>
      <c r="KAA14" s="476"/>
      <c r="KAB14" s="476"/>
      <c r="KAC14" s="476"/>
      <c r="KAD14" s="476"/>
      <c r="KAE14" s="476"/>
      <c r="KAF14" s="476"/>
      <c r="KAG14" s="476"/>
      <c r="KAH14" s="476"/>
      <c r="KAI14" s="477"/>
      <c r="KAJ14" s="477"/>
      <c r="KAK14" s="463"/>
      <c r="KAL14" s="475"/>
      <c r="KAM14" s="476"/>
      <c r="KAN14" s="476"/>
      <c r="KAO14" s="476"/>
      <c r="KAP14" s="476"/>
      <c r="KAQ14" s="476"/>
      <c r="KAR14" s="476"/>
      <c r="KAS14" s="476"/>
      <c r="KAT14" s="476"/>
      <c r="KAU14" s="476"/>
      <c r="KAV14" s="476"/>
      <c r="KAW14" s="476"/>
      <c r="KAX14" s="476"/>
      <c r="KAY14" s="477"/>
      <c r="KAZ14" s="477"/>
      <c r="KBA14" s="463"/>
      <c r="KBB14" s="475"/>
      <c r="KBC14" s="476"/>
      <c r="KBD14" s="476"/>
      <c r="KBE14" s="476"/>
      <c r="KBF14" s="476"/>
      <c r="KBG14" s="476"/>
      <c r="KBH14" s="476"/>
      <c r="KBI14" s="476"/>
      <c r="KBJ14" s="476"/>
      <c r="KBK14" s="476"/>
      <c r="KBL14" s="476"/>
      <c r="KBM14" s="476"/>
      <c r="KBN14" s="476"/>
      <c r="KBO14" s="477"/>
      <c r="KBP14" s="477"/>
      <c r="KBQ14" s="463"/>
      <c r="KBR14" s="475"/>
      <c r="KBS14" s="476"/>
      <c r="KBT14" s="476"/>
      <c r="KBU14" s="476"/>
      <c r="KBV14" s="476"/>
      <c r="KBW14" s="476"/>
      <c r="KBX14" s="476"/>
      <c r="KBY14" s="476"/>
      <c r="KBZ14" s="476"/>
      <c r="KCA14" s="476"/>
      <c r="KCB14" s="476"/>
      <c r="KCC14" s="476"/>
      <c r="KCD14" s="476"/>
      <c r="KCE14" s="477"/>
      <c r="KCF14" s="477"/>
      <c r="KCG14" s="463"/>
      <c r="KCH14" s="475"/>
      <c r="KCI14" s="476"/>
      <c r="KCJ14" s="476"/>
      <c r="KCK14" s="476"/>
      <c r="KCL14" s="476"/>
      <c r="KCM14" s="476"/>
      <c r="KCN14" s="476"/>
      <c r="KCO14" s="476"/>
      <c r="KCP14" s="476"/>
      <c r="KCQ14" s="476"/>
      <c r="KCR14" s="476"/>
      <c r="KCS14" s="476"/>
      <c r="KCT14" s="476"/>
      <c r="KCU14" s="477"/>
      <c r="KCV14" s="477"/>
      <c r="KCW14" s="463"/>
      <c r="KCX14" s="475"/>
      <c r="KCY14" s="476"/>
      <c r="KCZ14" s="476"/>
      <c r="KDA14" s="476"/>
      <c r="KDB14" s="476"/>
      <c r="KDC14" s="476"/>
      <c r="KDD14" s="476"/>
      <c r="KDE14" s="476"/>
      <c r="KDF14" s="476"/>
      <c r="KDG14" s="476"/>
      <c r="KDH14" s="476"/>
      <c r="KDI14" s="476"/>
      <c r="KDJ14" s="476"/>
      <c r="KDK14" s="477"/>
      <c r="KDL14" s="477"/>
      <c r="KDM14" s="463"/>
      <c r="KDN14" s="475"/>
      <c r="KDO14" s="476"/>
      <c r="KDP14" s="476"/>
      <c r="KDQ14" s="476"/>
      <c r="KDR14" s="476"/>
      <c r="KDS14" s="476"/>
      <c r="KDT14" s="476"/>
      <c r="KDU14" s="476"/>
      <c r="KDV14" s="476"/>
      <c r="KDW14" s="476"/>
      <c r="KDX14" s="476"/>
      <c r="KDY14" s="476"/>
      <c r="KDZ14" s="476"/>
      <c r="KEA14" s="477"/>
      <c r="KEB14" s="477"/>
      <c r="KEC14" s="463"/>
      <c r="KED14" s="475"/>
      <c r="KEE14" s="476"/>
      <c r="KEF14" s="476"/>
      <c r="KEG14" s="476"/>
      <c r="KEH14" s="476"/>
      <c r="KEI14" s="476"/>
      <c r="KEJ14" s="476"/>
      <c r="KEK14" s="476"/>
      <c r="KEL14" s="476"/>
      <c r="KEM14" s="476"/>
      <c r="KEN14" s="476"/>
      <c r="KEO14" s="476"/>
      <c r="KEP14" s="476"/>
      <c r="KEQ14" s="477"/>
      <c r="KER14" s="477"/>
      <c r="KES14" s="463"/>
      <c r="KET14" s="475"/>
      <c r="KEU14" s="476"/>
      <c r="KEV14" s="476"/>
      <c r="KEW14" s="476"/>
      <c r="KEX14" s="476"/>
      <c r="KEY14" s="476"/>
      <c r="KEZ14" s="476"/>
      <c r="KFA14" s="476"/>
      <c r="KFB14" s="476"/>
      <c r="KFC14" s="476"/>
      <c r="KFD14" s="476"/>
      <c r="KFE14" s="476"/>
      <c r="KFF14" s="476"/>
      <c r="KFG14" s="477"/>
      <c r="KFH14" s="477"/>
      <c r="KFI14" s="463"/>
      <c r="KFJ14" s="475"/>
      <c r="KFK14" s="476"/>
      <c r="KFL14" s="476"/>
      <c r="KFM14" s="476"/>
      <c r="KFN14" s="476"/>
      <c r="KFO14" s="476"/>
      <c r="KFP14" s="476"/>
      <c r="KFQ14" s="476"/>
      <c r="KFR14" s="476"/>
      <c r="KFS14" s="476"/>
      <c r="KFT14" s="476"/>
      <c r="KFU14" s="476"/>
      <c r="KFV14" s="476"/>
      <c r="KFW14" s="477"/>
      <c r="KFX14" s="477"/>
      <c r="KFY14" s="463"/>
      <c r="KFZ14" s="475"/>
      <c r="KGA14" s="476"/>
      <c r="KGB14" s="476"/>
      <c r="KGC14" s="476"/>
      <c r="KGD14" s="476"/>
      <c r="KGE14" s="476"/>
      <c r="KGF14" s="476"/>
      <c r="KGG14" s="476"/>
      <c r="KGH14" s="476"/>
      <c r="KGI14" s="476"/>
      <c r="KGJ14" s="476"/>
      <c r="KGK14" s="476"/>
      <c r="KGL14" s="476"/>
      <c r="KGM14" s="477"/>
      <c r="KGN14" s="477"/>
      <c r="KGO14" s="463"/>
      <c r="KGP14" s="475"/>
      <c r="KGQ14" s="476"/>
      <c r="KGR14" s="476"/>
      <c r="KGS14" s="476"/>
      <c r="KGT14" s="476"/>
      <c r="KGU14" s="476"/>
      <c r="KGV14" s="476"/>
      <c r="KGW14" s="476"/>
      <c r="KGX14" s="476"/>
      <c r="KGY14" s="476"/>
      <c r="KGZ14" s="476"/>
      <c r="KHA14" s="476"/>
      <c r="KHB14" s="476"/>
      <c r="KHC14" s="477"/>
      <c r="KHD14" s="477"/>
      <c r="KHE14" s="463"/>
      <c r="KHF14" s="475"/>
      <c r="KHG14" s="476"/>
      <c r="KHH14" s="476"/>
      <c r="KHI14" s="476"/>
      <c r="KHJ14" s="476"/>
      <c r="KHK14" s="476"/>
      <c r="KHL14" s="476"/>
      <c r="KHM14" s="476"/>
      <c r="KHN14" s="476"/>
      <c r="KHO14" s="476"/>
      <c r="KHP14" s="476"/>
      <c r="KHQ14" s="476"/>
      <c r="KHR14" s="476"/>
      <c r="KHS14" s="477"/>
      <c r="KHT14" s="477"/>
      <c r="KHU14" s="463"/>
      <c r="KHV14" s="475"/>
      <c r="KHW14" s="476"/>
      <c r="KHX14" s="476"/>
      <c r="KHY14" s="476"/>
      <c r="KHZ14" s="476"/>
      <c r="KIA14" s="476"/>
      <c r="KIB14" s="476"/>
      <c r="KIC14" s="476"/>
      <c r="KID14" s="476"/>
      <c r="KIE14" s="476"/>
      <c r="KIF14" s="476"/>
      <c r="KIG14" s="476"/>
      <c r="KIH14" s="476"/>
      <c r="KII14" s="477"/>
      <c r="KIJ14" s="477"/>
      <c r="KIK14" s="463"/>
      <c r="KIL14" s="475"/>
      <c r="KIM14" s="476"/>
      <c r="KIN14" s="476"/>
      <c r="KIO14" s="476"/>
      <c r="KIP14" s="476"/>
      <c r="KIQ14" s="476"/>
      <c r="KIR14" s="476"/>
      <c r="KIS14" s="476"/>
      <c r="KIT14" s="476"/>
      <c r="KIU14" s="476"/>
      <c r="KIV14" s="476"/>
      <c r="KIW14" s="476"/>
      <c r="KIX14" s="476"/>
      <c r="KIY14" s="477"/>
      <c r="KIZ14" s="477"/>
      <c r="KJA14" s="463"/>
      <c r="KJB14" s="475"/>
      <c r="KJC14" s="476"/>
      <c r="KJD14" s="476"/>
      <c r="KJE14" s="476"/>
      <c r="KJF14" s="476"/>
      <c r="KJG14" s="476"/>
      <c r="KJH14" s="476"/>
      <c r="KJI14" s="476"/>
      <c r="KJJ14" s="476"/>
      <c r="KJK14" s="476"/>
      <c r="KJL14" s="476"/>
      <c r="KJM14" s="476"/>
      <c r="KJN14" s="476"/>
      <c r="KJO14" s="477"/>
      <c r="KJP14" s="477"/>
      <c r="KJQ14" s="463"/>
      <c r="KJR14" s="475"/>
      <c r="KJS14" s="476"/>
      <c r="KJT14" s="476"/>
      <c r="KJU14" s="476"/>
      <c r="KJV14" s="476"/>
      <c r="KJW14" s="476"/>
      <c r="KJX14" s="476"/>
      <c r="KJY14" s="476"/>
      <c r="KJZ14" s="476"/>
      <c r="KKA14" s="476"/>
      <c r="KKB14" s="476"/>
      <c r="KKC14" s="476"/>
      <c r="KKD14" s="476"/>
      <c r="KKE14" s="477"/>
      <c r="KKF14" s="477"/>
      <c r="KKG14" s="463"/>
      <c r="KKH14" s="475"/>
      <c r="KKI14" s="476"/>
      <c r="KKJ14" s="476"/>
      <c r="KKK14" s="476"/>
      <c r="KKL14" s="476"/>
      <c r="KKM14" s="476"/>
      <c r="KKN14" s="476"/>
      <c r="KKO14" s="476"/>
      <c r="KKP14" s="476"/>
      <c r="KKQ14" s="476"/>
      <c r="KKR14" s="476"/>
      <c r="KKS14" s="476"/>
      <c r="KKT14" s="476"/>
      <c r="KKU14" s="477"/>
      <c r="KKV14" s="477"/>
      <c r="KKW14" s="463"/>
      <c r="KKX14" s="475"/>
      <c r="KKY14" s="476"/>
      <c r="KKZ14" s="476"/>
      <c r="KLA14" s="476"/>
      <c r="KLB14" s="476"/>
      <c r="KLC14" s="476"/>
      <c r="KLD14" s="476"/>
      <c r="KLE14" s="476"/>
      <c r="KLF14" s="476"/>
      <c r="KLG14" s="476"/>
      <c r="KLH14" s="476"/>
      <c r="KLI14" s="476"/>
      <c r="KLJ14" s="476"/>
      <c r="KLK14" s="477"/>
      <c r="KLL14" s="477"/>
      <c r="KLM14" s="463"/>
      <c r="KLN14" s="475"/>
      <c r="KLO14" s="476"/>
      <c r="KLP14" s="476"/>
      <c r="KLQ14" s="476"/>
      <c r="KLR14" s="476"/>
      <c r="KLS14" s="476"/>
      <c r="KLT14" s="476"/>
      <c r="KLU14" s="476"/>
      <c r="KLV14" s="476"/>
      <c r="KLW14" s="476"/>
      <c r="KLX14" s="476"/>
      <c r="KLY14" s="476"/>
      <c r="KLZ14" s="476"/>
      <c r="KMA14" s="477"/>
      <c r="KMB14" s="477"/>
      <c r="KMC14" s="463"/>
      <c r="KMD14" s="475"/>
      <c r="KME14" s="476"/>
      <c r="KMF14" s="476"/>
      <c r="KMG14" s="476"/>
      <c r="KMH14" s="476"/>
      <c r="KMI14" s="476"/>
      <c r="KMJ14" s="476"/>
      <c r="KMK14" s="476"/>
      <c r="KML14" s="476"/>
      <c r="KMM14" s="476"/>
      <c r="KMN14" s="476"/>
      <c r="KMO14" s="476"/>
      <c r="KMP14" s="476"/>
      <c r="KMQ14" s="477"/>
      <c r="KMR14" s="477"/>
      <c r="KMS14" s="463"/>
      <c r="KMT14" s="475"/>
      <c r="KMU14" s="476"/>
      <c r="KMV14" s="476"/>
      <c r="KMW14" s="476"/>
      <c r="KMX14" s="476"/>
      <c r="KMY14" s="476"/>
      <c r="KMZ14" s="476"/>
      <c r="KNA14" s="476"/>
      <c r="KNB14" s="476"/>
      <c r="KNC14" s="476"/>
      <c r="KND14" s="476"/>
      <c r="KNE14" s="476"/>
      <c r="KNF14" s="476"/>
      <c r="KNG14" s="477"/>
      <c r="KNH14" s="477"/>
      <c r="KNI14" s="463"/>
      <c r="KNJ14" s="475"/>
      <c r="KNK14" s="476"/>
      <c r="KNL14" s="476"/>
      <c r="KNM14" s="476"/>
      <c r="KNN14" s="476"/>
      <c r="KNO14" s="476"/>
      <c r="KNP14" s="476"/>
      <c r="KNQ14" s="476"/>
      <c r="KNR14" s="476"/>
      <c r="KNS14" s="476"/>
      <c r="KNT14" s="476"/>
      <c r="KNU14" s="476"/>
      <c r="KNV14" s="476"/>
      <c r="KNW14" s="477"/>
      <c r="KNX14" s="477"/>
      <c r="KNY14" s="463"/>
      <c r="KNZ14" s="475"/>
      <c r="KOA14" s="476"/>
      <c r="KOB14" s="476"/>
      <c r="KOC14" s="476"/>
      <c r="KOD14" s="476"/>
      <c r="KOE14" s="476"/>
      <c r="KOF14" s="476"/>
      <c r="KOG14" s="476"/>
      <c r="KOH14" s="476"/>
      <c r="KOI14" s="476"/>
      <c r="KOJ14" s="476"/>
      <c r="KOK14" s="476"/>
      <c r="KOL14" s="476"/>
      <c r="KOM14" s="477"/>
      <c r="KON14" s="477"/>
      <c r="KOO14" s="463"/>
      <c r="KOP14" s="475"/>
      <c r="KOQ14" s="476"/>
      <c r="KOR14" s="476"/>
      <c r="KOS14" s="476"/>
      <c r="KOT14" s="476"/>
      <c r="KOU14" s="476"/>
      <c r="KOV14" s="476"/>
      <c r="KOW14" s="476"/>
      <c r="KOX14" s="476"/>
      <c r="KOY14" s="476"/>
      <c r="KOZ14" s="476"/>
      <c r="KPA14" s="476"/>
      <c r="KPB14" s="476"/>
      <c r="KPC14" s="477"/>
      <c r="KPD14" s="477"/>
      <c r="KPE14" s="463"/>
      <c r="KPF14" s="475"/>
      <c r="KPG14" s="476"/>
      <c r="KPH14" s="476"/>
      <c r="KPI14" s="476"/>
      <c r="KPJ14" s="476"/>
      <c r="KPK14" s="476"/>
      <c r="KPL14" s="476"/>
      <c r="KPM14" s="476"/>
      <c r="KPN14" s="476"/>
      <c r="KPO14" s="476"/>
      <c r="KPP14" s="476"/>
      <c r="KPQ14" s="476"/>
      <c r="KPR14" s="476"/>
      <c r="KPS14" s="477"/>
      <c r="KPT14" s="477"/>
      <c r="KPU14" s="463"/>
      <c r="KPV14" s="475"/>
      <c r="KPW14" s="476"/>
      <c r="KPX14" s="476"/>
      <c r="KPY14" s="476"/>
      <c r="KPZ14" s="476"/>
      <c r="KQA14" s="476"/>
      <c r="KQB14" s="476"/>
      <c r="KQC14" s="476"/>
      <c r="KQD14" s="476"/>
      <c r="KQE14" s="476"/>
      <c r="KQF14" s="476"/>
      <c r="KQG14" s="476"/>
      <c r="KQH14" s="476"/>
      <c r="KQI14" s="477"/>
      <c r="KQJ14" s="477"/>
      <c r="KQK14" s="463"/>
      <c r="KQL14" s="475"/>
      <c r="KQM14" s="476"/>
      <c r="KQN14" s="476"/>
      <c r="KQO14" s="476"/>
      <c r="KQP14" s="476"/>
      <c r="KQQ14" s="476"/>
      <c r="KQR14" s="476"/>
      <c r="KQS14" s="476"/>
      <c r="KQT14" s="476"/>
      <c r="KQU14" s="476"/>
      <c r="KQV14" s="476"/>
      <c r="KQW14" s="476"/>
      <c r="KQX14" s="476"/>
      <c r="KQY14" s="477"/>
      <c r="KQZ14" s="477"/>
      <c r="KRA14" s="463"/>
      <c r="KRB14" s="475"/>
      <c r="KRC14" s="476"/>
      <c r="KRD14" s="476"/>
      <c r="KRE14" s="476"/>
      <c r="KRF14" s="476"/>
      <c r="KRG14" s="476"/>
      <c r="KRH14" s="476"/>
      <c r="KRI14" s="476"/>
      <c r="KRJ14" s="476"/>
      <c r="KRK14" s="476"/>
      <c r="KRL14" s="476"/>
      <c r="KRM14" s="476"/>
      <c r="KRN14" s="476"/>
      <c r="KRO14" s="477"/>
      <c r="KRP14" s="477"/>
      <c r="KRQ14" s="463"/>
      <c r="KRR14" s="475"/>
      <c r="KRS14" s="476"/>
      <c r="KRT14" s="476"/>
      <c r="KRU14" s="476"/>
      <c r="KRV14" s="476"/>
      <c r="KRW14" s="476"/>
      <c r="KRX14" s="476"/>
      <c r="KRY14" s="476"/>
      <c r="KRZ14" s="476"/>
      <c r="KSA14" s="476"/>
      <c r="KSB14" s="476"/>
      <c r="KSC14" s="476"/>
      <c r="KSD14" s="476"/>
      <c r="KSE14" s="477"/>
      <c r="KSF14" s="477"/>
      <c r="KSG14" s="463"/>
      <c r="KSH14" s="475"/>
      <c r="KSI14" s="476"/>
      <c r="KSJ14" s="476"/>
      <c r="KSK14" s="476"/>
      <c r="KSL14" s="476"/>
      <c r="KSM14" s="476"/>
      <c r="KSN14" s="476"/>
      <c r="KSO14" s="476"/>
      <c r="KSP14" s="476"/>
      <c r="KSQ14" s="476"/>
      <c r="KSR14" s="476"/>
      <c r="KSS14" s="476"/>
      <c r="KST14" s="476"/>
      <c r="KSU14" s="477"/>
      <c r="KSV14" s="477"/>
      <c r="KSW14" s="463"/>
      <c r="KSX14" s="475"/>
      <c r="KSY14" s="476"/>
      <c r="KSZ14" s="476"/>
      <c r="KTA14" s="476"/>
      <c r="KTB14" s="476"/>
      <c r="KTC14" s="476"/>
      <c r="KTD14" s="476"/>
      <c r="KTE14" s="476"/>
      <c r="KTF14" s="476"/>
      <c r="KTG14" s="476"/>
      <c r="KTH14" s="476"/>
      <c r="KTI14" s="476"/>
      <c r="KTJ14" s="476"/>
      <c r="KTK14" s="477"/>
      <c r="KTL14" s="477"/>
      <c r="KTM14" s="463"/>
      <c r="KTN14" s="475"/>
      <c r="KTO14" s="476"/>
      <c r="KTP14" s="476"/>
      <c r="KTQ14" s="476"/>
      <c r="KTR14" s="476"/>
      <c r="KTS14" s="476"/>
      <c r="KTT14" s="476"/>
      <c r="KTU14" s="476"/>
      <c r="KTV14" s="476"/>
      <c r="KTW14" s="476"/>
      <c r="KTX14" s="476"/>
      <c r="KTY14" s="476"/>
      <c r="KTZ14" s="476"/>
      <c r="KUA14" s="477"/>
      <c r="KUB14" s="477"/>
      <c r="KUC14" s="463"/>
      <c r="KUD14" s="475"/>
      <c r="KUE14" s="476"/>
      <c r="KUF14" s="476"/>
      <c r="KUG14" s="476"/>
      <c r="KUH14" s="476"/>
      <c r="KUI14" s="476"/>
      <c r="KUJ14" s="476"/>
      <c r="KUK14" s="476"/>
      <c r="KUL14" s="476"/>
      <c r="KUM14" s="476"/>
      <c r="KUN14" s="476"/>
      <c r="KUO14" s="476"/>
      <c r="KUP14" s="476"/>
      <c r="KUQ14" s="477"/>
      <c r="KUR14" s="477"/>
      <c r="KUS14" s="463"/>
      <c r="KUT14" s="475"/>
      <c r="KUU14" s="476"/>
      <c r="KUV14" s="476"/>
      <c r="KUW14" s="476"/>
      <c r="KUX14" s="476"/>
      <c r="KUY14" s="476"/>
      <c r="KUZ14" s="476"/>
      <c r="KVA14" s="476"/>
      <c r="KVB14" s="476"/>
      <c r="KVC14" s="476"/>
      <c r="KVD14" s="476"/>
      <c r="KVE14" s="476"/>
      <c r="KVF14" s="476"/>
      <c r="KVG14" s="477"/>
      <c r="KVH14" s="477"/>
      <c r="KVI14" s="463"/>
      <c r="KVJ14" s="475"/>
      <c r="KVK14" s="476"/>
      <c r="KVL14" s="476"/>
      <c r="KVM14" s="476"/>
      <c r="KVN14" s="476"/>
      <c r="KVO14" s="476"/>
      <c r="KVP14" s="476"/>
      <c r="KVQ14" s="476"/>
      <c r="KVR14" s="476"/>
      <c r="KVS14" s="476"/>
      <c r="KVT14" s="476"/>
      <c r="KVU14" s="476"/>
      <c r="KVV14" s="476"/>
      <c r="KVW14" s="477"/>
      <c r="KVX14" s="477"/>
      <c r="KVY14" s="463"/>
      <c r="KVZ14" s="475"/>
      <c r="KWA14" s="476"/>
      <c r="KWB14" s="476"/>
      <c r="KWC14" s="476"/>
      <c r="KWD14" s="476"/>
      <c r="KWE14" s="476"/>
      <c r="KWF14" s="476"/>
      <c r="KWG14" s="476"/>
      <c r="KWH14" s="476"/>
      <c r="KWI14" s="476"/>
      <c r="KWJ14" s="476"/>
      <c r="KWK14" s="476"/>
      <c r="KWL14" s="476"/>
      <c r="KWM14" s="477"/>
      <c r="KWN14" s="477"/>
      <c r="KWO14" s="463"/>
      <c r="KWP14" s="475"/>
      <c r="KWQ14" s="476"/>
      <c r="KWR14" s="476"/>
      <c r="KWS14" s="476"/>
      <c r="KWT14" s="476"/>
      <c r="KWU14" s="476"/>
      <c r="KWV14" s="476"/>
      <c r="KWW14" s="476"/>
      <c r="KWX14" s="476"/>
      <c r="KWY14" s="476"/>
      <c r="KWZ14" s="476"/>
      <c r="KXA14" s="476"/>
      <c r="KXB14" s="476"/>
      <c r="KXC14" s="477"/>
      <c r="KXD14" s="477"/>
      <c r="KXE14" s="463"/>
      <c r="KXF14" s="475"/>
      <c r="KXG14" s="476"/>
      <c r="KXH14" s="476"/>
      <c r="KXI14" s="476"/>
      <c r="KXJ14" s="476"/>
      <c r="KXK14" s="476"/>
      <c r="KXL14" s="476"/>
      <c r="KXM14" s="476"/>
      <c r="KXN14" s="476"/>
      <c r="KXO14" s="476"/>
      <c r="KXP14" s="476"/>
      <c r="KXQ14" s="476"/>
      <c r="KXR14" s="476"/>
      <c r="KXS14" s="477"/>
      <c r="KXT14" s="477"/>
      <c r="KXU14" s="463"/>
      <c r="KXV14" s="475"/>
      <c r="KXW14" s="476"/>
      <c r="KXX14" s="476"/>
      <c r="KXY14" s="476"/>
      <c r="KXZ14" s="476"/>
      <c r="KYA14" s="476"/>
      <c r="KYB14" s="476"/>
      <c r="KYC14" s="476"/>
      <c r="KYD14" s="476"/>
      <c r="KYE14" s="476"/>
      <c r="KYF14" s="476"/>
      <c r="KYG14" s="476"/>
      <c r="KYH14" s="476"/>
      <c r="KYI14" s="477"/>
      <c r="KYJ14" s="477"/>
      <c r="KYK14" s="463"/>
      <c r="KYL14" s="475"/>
      <c r="KYM14" s="476"/>
      <c r="KYN14" s="476"/>
      <c r="KYO14" s="476"/>
      <c r="KYP14" s="476"/>
      <c r="KYQ14" s="476"/>
      <c r="KYR14" s="476"/>
      <c r="KYS14" s="476"/>
      <c r="KYT14" s="476"/>
      <c r="KYU14" s="476"/>
      <c r="KYV14" s="476"/>
      <c r="KYW14" s="476"/>
      <c r="KYX14" s="476"/>
      <c r="KYY14" s="477"/>
      <c r="KYZ14" s="477"/>
      <c r="KZA14" s="463"/>
      <c r="KZB14" s="475"/>
      <c r="KZC14" s="476"/>
      <c r="KZD14" s="476"/>
      <c r="KZE14" s="476"/>
      <c r="KZF14" s="476"/>
      <c r="KZG14" s="476"/>
      <c r="KZH14" s="476"/>
      <c r="KZI14" s="476"/>
      <c r="KZJ14" s="476"/>
      <c r="KZK14" s="476"/>
      <c r="KZL14" s="476"/>
      <c r="KZM14" s="476"/>
      <c r="KZN14" s="476"/>
      <c r="KZO14" s="477"/>
      <c r="KZP14" s="477"/>
      <c r="KZQ14" s="463"/>
      <c r="KZR14" s="475"/>
      <c r="KZS14" s="476"/>
      <c r="KZT14" s="476"/>
      <c r="KZU14" s="476"/>
      <c r="KZV14" s="476"/>
      <c r="KZW14" s="476"/>
      <c r="KZX14" s="476"/>
      <c r="KZY14" s="476"/>
      <c r="KZZ14" s="476"/>
      <c r="LAA14" s="476"/>
      <c r="LAB14" s="476"/>
      <c r="LAC14" s="476"/>
      <c r="LAD14" s="476"/>
      <c r="LAE14" s="477"/>
      <c r="LAF14" s="477"/>
      <c r="LAG14" s="463"/>
      <c r="LAH14" s="475"/>
      <c r="LAI14" s="476"/>
      <c r="LAJ14" s="476"/>
      <c r="LAK14" s="476"/>
      <c r="LAL14" s="476"/>
      <c r="LAM14" s="476"/>
      <c r="LAN14" s="476"/>
      <c r="LAO14" s="476"/>
      <c r="LAP14" s="476"/>
      <c r="LAQ14" s="476"/>
      <c r="LAR14" s="476"/>
      <c r="LAS14" s="476"/>
      <c r="LAT14" s="476"/>
      <c r="LAU14" s="477"/>
      <c r="LAV14" s="477"/>
      <c r="LAW14" s="463"/>
      <c r="LAX14" s="475"/>
      <c r="LAY14" s="476"/>
      <c r="LAZ14" s="476"/>
      <c r="LBA14" s="476"/>
      <c r="LBB14" s="476"/>
      <c r="LBC14" s="476"/>
      <c r="LBD14" s="476"/>
      <c r="LBE14" s="476"/>
      <c r="LBF14" s="476"/>
      <c r="LBG14" s="476"/>
      <c r="LBH14" s="476"/>
      <c r="LBI14" s="476"/>
      <c r="LBJ14" s="476"/>
      <c r="LBK14" s="477"/>
      <c r="LBL14" s="477"/>
      <c r="LBM14" s="463"/>
      <c r="LBN14" s="475"/>
      <c r="LBO14" s="476"/>
      <c r="LBP14" s="476"/>
      <c r="LBQ14" s="476"/>
      <c r="LBR14" s="476"/>
      <c r="LBS14" s="476"/>
      <c r="LBT14" s="476"/>
      <c r="LBU14" s="476"/>
      <c r="LBV14" s="476"/>
      <c r="LBW14" s="476"/>
      <c r="LBX14" s="476"/>
      <c r="LBY14" s="476"/>
      <c r="LBZ14" s="476"/>
      <c r="LCA14" s="477"/>
      <c r="LCB14" s="477"/>
      <c r="LCC14" s="463"/>
      <c r="LCD14" s="475"/>
      <c r="LCE14" s="476"/>
      <c r="LCF14" s="476"/>
      <c r="LCG14" s="476"/>
      <c r="LCH14" s="476"/>
      <c r="LCI14" s="476"/>
      <c r="LCJ14" s="476"/>
      <c r="LCK14" s="476"/>
      <c r="LCL14" s="476"/>
      <c r="LCM14" s="476"/>
      <c r="LCN14" s="476"/>
      <c r="LCO14" s="476"/>
      <c r="LCP14" s="476"/>
      <c r="LCQ14" s="477"/>
      <c r="LCR14" s="477"/>
      <c r="LCS14" s="463"/>
      <c r="LCT14" s="475"/>
      <c r="LCU14" s="476"/>
      <c r="LCV14" s="476"/>
      <c r="LCW14" s="476"/>
      <c r="LCX14" s="476"/>
      <c r="LCY14" s="476"/>
      <c r="LCZ14" s="476"/>
      <c r="LDA14" s="476"/>
      <c r="LDB14" s="476"/>
      <c r="LDC14" s="476"/>
      <c r="LDD14" s="476"/>
      <c r="LDE14" s="476"/>
      <c r="LDF14" s="476"/>
      <c r="LDG14" s="477"/>
      <c r="LDH14" s="477"/>
      <c r="LDI14" s="463"/>
      <c r="LDJ14" s="475"/>
      <c r="LDK14" s="476"/>
      <c r="LDL14" s="476"/>
      <c r="LDM14" s="476"/>
      <c r="LDN14" s="476"/>
      <c r="LDO14" s="476"/>
      <c r="LDP14" s="476"/>
      <c r="LDQ14" s="476"/>
      <c r="LDR14" s="476"/>
      <c r="LDS14" s="476"/>
      <c r="LDT14" s="476"/>
      <c r="LDU14" s="476"/>
      <c r="LDV14" s="476"/>
      <c r="LDW14" s="477"/>
      <c r="LDX14" s="477"/>
      <c r="LDY14" s="463"/>
      <c r="LDZ14" s="475"/>
      <c r="LEA14" s="476"/>
      <c r="LEB14" s="476"/>
      <c r="LEC14" s="476"/>
      <c r="LED14" s="476"/>
      <c r="LEE14" s="476"/>
      <c r="LEF14" s="476"/>
      <c r="LEG14" s="476"/>
      <c r="LEH14" s="476"/>
      <c r="LEI14" s="476"/>
      <c r="LEJ14" s="476"/>
      <c r="LEK14" s="476"/>
      <c r="LEL14" s="476"/>
      <c r="LEM14" s="477"/>
      <c r="LEN14" s="477"/>
      <c r="LEO14" s="463"/>
      <c r="LEP14" s="475"/>
      <c r="LEQ14" s="476"/>
      <c r="LER14" s="476"/>
      <c r="LES14" s="476"/>
      <c r="LET14" s="476"/>
      <c r="LEU14" s="476"/>
      <c r="LEV14" s="476"/>
      <c r="LEW14" s="476"/>
      <c r="LEX14" s="476"/>
      <c r="LEY14" s="476"/>
      <c r="LEZ14" s="476"/>
      <c r="LFA14" s="476"/>
      <c r="LFB14" s="476"/>
      <c r="LFC14" s="477"/>
      <c r="LFD14" s="477"/>
      <c r="LFE14" s="463"/>
      <c r="LFF14" s="475"/>
      <c r="LFG14" s="476"/>
      <c r="LFH14" s="476"/>
      <c r="LFI14" s="476"/>
      <c r="LFJ14" s="476"/>
      <c r="LFK14" s="476"/>
      <c r="LFL14" s="476"/>
      <c r="LFM14" s="476"/>
      <c r="LFN14" s="476"/>
      <c r="LFO14" s="476"/>
      <c r="LFP14" s="476"/>
      <c r="LFQ14" s="476"/>
      <c r="LFR14" s="476"/>
      <c r="LFS14" s="477"/>
      <c r="LFT14" s="477"/>
      <c r="LFU14" s="463"/>
      <c r="LFV14" s="475"/>
      <c r="LFW14" s="476"/>
      <c r="LFX14" s="476"/>
      <c r="LFY14" s="476"/>
      <c r="LFZ14" s="476"/>
      <c r="LGA14" s="476"/>
      <c r="LGB14" s="476"/>
      <c r="LGC14" s="476"/>
      <c r="LGD14" s="476"/>
      <c r="LGE14" s="476"/>
      <c r="LGF14" s="476"/>
      <c r="LGG14" s="476"/>
      <c r="LGH14" s="476"/>
      <c r="LGI14" s="477"/>
      <c r="LGJ14" s="477"/>
      <c r="LGK14" s="463"/>
      <c r="LGL14" s="475"/>
      <c r="LGM14" s="476"/>
      <c r="LGN14" s="476"/>
      <c r="LGO14" s="476"/>
      <c r="LGP14" s="476"/>
      <c r="LGQ14" s="476"/>
      <c r="LGR14" s="476"/>
      <c r="LGS14" s="476"/>
      <c r="LGT14" s="476"/>
      <c r="LGU14" s="476"/>
      <c r="LGV14" s="476"/>
      <c r="LGW14" s="476"/>
      <c r="LGX14" s="476"/>
      <c r="LGY14" s="477"/>
      <c r="LGZ14" s="477"/>
      <c r="LHA14" s="463"/>
      <c r="LHB14" s="475"/>
      <c r="LHC14" s="476"/>
      <c r="LHD14" s="476"/>
      <c r="LHE14" s="476"/>
      <c r="LHF14" s="476"/>
      <c r="LHG14" s="476"/>
      <c r="LHH14" s="476"/>
      <c r="LHI14" s="476"/>
      <c r="LHJ14" s="476"/>
      <c r="LHK14" s="476"/>
      <c r="LHL14" s="476"/>
      <c r="LHM14" s="476"/>
      <c r="LHN14" s="476"/>
      <c r="LHO14" s="477"/>
      <c r="LHP14" s="477"/>
      <c r="LHQ14" s="463"/>
      <c r="LHR14" s="475"/>
      <c r="LHS14" s="476"/>
      <c r="LHT14" s="476"/>
      <c r="LHU14" s="476"/>
      <c r="LHV14" s="476"/>
      <c r="LHW14" s="476"/>
      <c r="LHX14" s="476"/>
      <c r="LHY14" s="476"/>
      <c r="LHZ14" s="476"/>
      <c r="LIA14" s="476"/>
      <c r="LIB14" s="476"/>
      <c r="LIC14" s="476"/>
      <c r="LID14" s="476"/>
      <c r="LIE14" s="477"/>
      <c r="LIF14" s="477"/>
      <c r="LIG14" s="463"/>
      <c r="LIH14" s="475"/>
      <c r="LII14" s="476"/>
      <c r="LIJ14" s="476"/>
      <c r="LIK14" s="476"/>
      <c r="LIL14" s="476"/>
      <c r="LIM14" s="476"/>
      <c r="LIN14" s="476"/>
      <c r="LIO14" s="476"/>
      <c r="LIP14" s="476"/>
      <c r="LIQ14" s="476"/>
      <c r="LIR14" s="476"/>
      <c r="LIS14" s="476"/>
      <c r="LIT14" s="476"/>
      <c r="LIU14" s="477"/>
      <c r="LIV14" s="477"/>
      <c r="LIW14" s="463"/>
      <c r="LIX14" s="475"/>
      <c r="LIY14" s="476"/>
      <c r="LIZ14" s="476"/>
      <c r="LJA14" s="476"/>
      <c r="LJB14" s="476"/>
      <c r="LJC14" s="476"/>
      <c r="LJD14" s="476"/>
      <c r="LJE14" s="476"/>
      <c r="LJF14" s="476"/>
      <c r="LJG14" s="476"/>
      <c r="LJH14" s="476"/>
      <c r="LJI14" s="476"/>
      <c r="LJJ14" s="476"/>
      <c r="LJK14" s="477"/>
      <c r="LJL14" s="477"/>
      <c r="LJM14" s="463"/>
      <c r="LJN14" s="475"/>
      <c r="LJO14" s="476"/>
      <c r="LJP14" s="476"/>
      <c r="LJQ14" s="476"/>
      <c r="LJR14" s="476"/>
      <c r="LJS14" s="476"/>
      <c r="LJT14" s="476"/>
      <c r="LJU14" s="476"/>
      <c r="LJV14" s="476"/>
      <c r="LJW14" s="476"/>
      <c r="LJX14" s="476"/>
      <c r="LJY14" s="476"/>
      <c r="LJZ14" s="476"/>
      <c r="LKA14" s="477"/>
      <c r="LKB14" s="477"/>
      <c r="LKC14" s="463"/>
      <c r="LKD14" s="475"/>
      <c r="LKE14" s="476"/>
      <c r="LKF14" s="476"/>
      <c r="LKG14" s="476"/>
      <c r="LKH14" s="476"/>
      <c r="LKI14" s="476"/>
      <c r="LKJ14" s="476"/>
      <c r="LKK14" s="476"/>
      <c r="LKL14" s="476"/>
      <c r="LKM14" s="476"/>
      <c r="LKN14" s="476"/>
      <c r="LKO14" s="476"/>
      <c r="LKP14" s="476"/>
      <c r="LKQ14" s="477"/>
      <c r="LKR14" s="477"/>
      <c r="LKS14" s="463"/>
      <c r="LKT14" s="475"/>
      <c r="LKU14" s="476"/>
      <c r="LKV14" s="476"/>
      <c r="LKW14" s="476"/>
      <c r="LKX14" s="476"/>
      <c r="LKY14" s="476"/>
      <c r="LKZ14" s="476"/>
      <c r="LLA14" s="476"/>
      <c r="LLB14" s="476"/>
      <c r="LLC14" s="476"/>
      <c r="LLD14" s="476"/>
      <c r="LLE14" s="476"/>
      <c r="LLF14" s="476"/>
      <c r="LLG14" s="477"/>
      <c r="LLH14" s="477"/>
      <c r="LLI14" s="463"/>
      <c r="LLJ14" s="475"/>
      <c r="LLK14" s="476"/>
      <c r="LLL14" s="476"/>
      <c r="LLM14" s="476"/>
      <c r="LLN14" s="476"/>
      <c r="LLO14" s="476"/>
      <c r="LLP14" s="476"/>
      <c r="LLQ14" s="476"/>
      <c r="LLR14" s="476"/>
      <c r="LLS14" s="476"/>
      <c r="LLT14" s="476"/>
      <c r="LLU14" s="476"/>
      <c r="LLV14" s="476"/>
      <c r="LLW14" s="477"/>
      <c r="LLX14" s="477"/>
      <c r="LLY14" s="463"/>
      <c r="LLZ14" s="475"/>
      <c r="LMA14" s="476"/>
      <c r="LMB14" s="476"/>
      <c r="LMC14" s="476"/>
      <c r="LMD14" s="476"/>
      <c r="LME14" s="476"/>
      <c r="LMF14" s="476"/>
      <c r="LMG14" s="476"/>
      <c r="LMH14" s="476"/>
      <c r="LMI14" s="476"/>
      <c r="LMJ14" s="476"/>
      <c r="LMK14" s="476"/>
      <c r="LML14" s="476"/>
      <c r="LMM14" s="477"/>
      <c r="LMN14" s="477"/>
      <c r="LMO14" s="463"/>
      <c r="LMP14" s="475"/>
      <c r="LMQ14" s="476"/>
      <c r="LMR14" s="476"/>
      <c r="LMS14" s="476"/>
      <c r="LMT14" s="476"/>
      <c r="LMU14" s="476"/>
      <c r="LMV14" s="476"/>
      <c r="LMW14" s="476"/>
      <c r="LMX14" s="476"/>
      <c r="LMY14" s="476"/>
      <c r="LMZ14" s="476"/>
      <c r="LNA14" s="476"/>
      <c r="LNB14" s="476"/>
      <c r="LNC14" s="477"/>
      <c r="LND14" s="477"/>
      <c r="LNE14" s="463"/>
      <c r="LNF14" s="475"/>
      <c r="LNG14" s="476"/>
      <c r="LNH14" s="476"/>
      <c r="LNI14" s="476"/>
      <c r="LNJ14" s="476"/>
      <c r="LNK14" s="476"/>
      <c r="LNL14" s="476"/>
      <c r="LNM14" s="476"/>
      <c r="LNN14" s="476"/>
      <c r="LNO14" s="476"/>
      <c r="LNP14" s="476"/>
      <c r="LNQ14" s="476"/>
      <c r="LNR14" s="476"/>
      <c r="LNS14" s="477"/>
      <c r="LNT14" s="477"/>
      <c r="LNU14" s="463"/>
      <c r="LNV14" s="475"/>
      <c r="LNW14" s="476"/>
      <c r="LNX14" s="476"/>
      <c r="LNY14" s="476"/>
      <c r="LNZ14" s="476"/>
      <c r="LOA14" s="476"/>
      <c r="LOB14" s="476"/>
      <c r="LOC14" s="476"/>
      <c r="LOD14" s="476"/>
      <c r="LOE14" s="476"/>
      <c r="LOF14" s="476"/>
      <c r="LOG14" s="476"/>
      <c r="LOH14" s="476"/>
      <c r="LOI14" s="477"/>
      <c r="LOJ14" s="477"/>
      <c r="LOK14" s="463"/>
      <c r="LOL14" s="475"/>
      <c r="LOM14" s="476"/>
      <c r="LON14" s="476"/>
      <c r="LOO14" s="476"/>
      <c r="LOP14" s="476"/>
      <c r="LOQ14" s="476"/>
      <c r="LOR14" s="476"/>
      <c r="LOS14" s="476"/>
      <c r="LOT14" s="476"/>
      <c r="LOU14" s="476"/>
      <c r="LOV14" s="476"/>
      <c r="LOW14" s="476"/>
      <c r="LOX14" s="476"/>
      <c r="LOY14" s="477"/>
      <c r="LOZ14" s="477"/>
      <c r="LPA14" s="463"/>
      <c r="LPB14" s="475"/>
      <c r="LPC14" s="476"/>
      <c r="LPD14" s="476"/>
      <c r="LPE14" s="476"/>
      <c r="LPF14" s="476"/>
      <c r="LPG14" s="476"/>
      <c r="LPH14" s="476"/>
      <c r="LPI14" s="476"/>
      <c r="LPJ14" s="476"/>
      <c r="LPK14" s="476"/>
      <c r="LPL14" s="476"/>
      <c r="LPM14" s="476"/>
      <c r="LPN14" s="476"/>
      <c r="LPO14" s="477"/>
      <c r="LPP14" s="477"/>
      <c r="LPQ14" s="463"/>
      <c r="LPR14" s="475"/>
      <c r="LPS14" s="476"/>
      <c r="LPT14" s="476"/>
      <c r="LPU14" s="476"/>
      <c r="LPV14" s="476"/>
      <c r="LPW14" s="476"/>
      <c r="LPX14" s="476"/>
      <c r="LPY14" s="476"/>
      <c r="LPZ14" s="476"/>
      <c r="LQA14" s="476"/>
      <c r="LQB14" s="476"/>
      <c r="LQC14" s="476"/>
      <c r="LQD14" s="476"/>
      <c r="LQE14" s="477"/>
      <c r="LQF14" s="477"/>
      <c r="LQG14" s="463"/>
      <c r="LQH14" s="475"/>
      <c r="LQI14" s="476"/>
      <c r="LQJ14" s="476"/>
      <c r="LQK14" s="476"/>
      <c r="LQL14" s="476"/>
      <c r="LQM14" s="476"/>
      <c r="LQN14" s="476"/>
      <c r="LQO14" s="476"/>
      <c r="LQP14" s="476"/>
      <c r="LQQ14" s="476"/>
      <c r="LQR14" s="476"/>
      <c r="LQS14" s="476"/>
      <c r="LQT14" s="476"/>
      <c r="LQU14" s="477"/>
      <c r="LQV14" s="477"/>
      <c r="LQW14" s="463"/>
      <c r="LQX14" s="475"/>
      <c r="LQY14" s="476"/>
      <c r="LQZ14" s="476"/>
      <c r="LRA14" s="476"/>
      <c r="LRB14" s="476"/>
      <c r="LRC14" s="476"/>
      <c r="LRD14" s="476"/>
      <c r="LRE14" s="476"/>
      <c r="LRF14" s="476"/>
      <c r="LRG14" s="476"/>
      <c r="LRH14" s="476"/>
      <c r="LRI14" s="476"/>
      <c r="LRJ14" s="476"/>
      <c r="LRK14" s="477"/>
      <c r="LRL14" s="477"/>
      <c r="LRM14" s="463"/>
      <c r="LRN14" s="475"/>
      <c r="LRO14" s="476"/>
      <c r="LRP14" s="476"/>
      <c r="LRQ14" s="476"/>
      <c r="LRR14" s="476"/>
      <c r="LRS14" s="476"/>
      <c r="LRT14" s="476"/>
      <c r="LRU14" s="476"/>
      <c r="LRV14" s="476"/>
      <c r="LRW14" s="476"/>
      <c r="LRX14" s="476"/>
      <c r="LRY14" s="476"/>
      <c r="LRZ14" s="476"/>
      <c r="LSA14" s="477"/>
      <c r="LSB14" s="477"/>
      <c r="LSC14" s="463"/>
      <c r="LSD14" s="475"/>
      <c r="LSE14" s="476"/>
      <c r="LSF14" s="476"/>
      <c r="LSG14" s="476"/>
      <c r="LSH14" s="476"/>
      <c r="LSI14" s="476"/>
      <c r="LSJ14" s="476"/>
      <c r="LSK14" s="476"/>
      <c r="LSL14" s="476"/>
      <c r="LSM14" s="476"/>
      <c r="LSN14" s="476"/>
      <c r="LSO14" s="476"/>
      <c r="LSP14" s="476"/>
      <c r="LSQ14" s="477"/>
      <c r="LSR14" s="477"/>
      <c r="LSS14" s="463"/>
      <c r="LST14" s="475"/>
      <c r="LSU14" s="476"/>
      <c r="LSV14" s="476"/>
      <c r="LSW14" s="476"/>
      <c r="LSX14" s="476"/>
      <c r="LSY14" s="476"/>
      <c r="LSZ14" s="476"/>
      <c r="LTA14" s="476"/>
      <c r="LTB14" s="476"/>
      <c r="LTC14" s="476"/>
      <c r="LTD14" s="476"/>
      <c r="LTE14" s="476"/>
      <c r="LTF14" s="476"/>
      <c r="LTG14" s="477"/>
      <c r="LTH14" s="477"/>
      <c r="LTI14" s="463"/>
      <c r="LTJ14" s="475"/>
      <c r="LTK14" s="476"/>
      <c r="LTL14" s="476"/>
      <c r="LTM14" s="476"/>
      <c r="LTN14" s="476"/>
      <c r="LTO14" s="476"/>
      <c r="LTP14" s="476"/>
      <c r="LTQ14" s="476"/>
      <c r="LTR14" s="476"/>
      <c r="LTS14" s="476"/>
      <c r="LTT14" s="476"/>
      <c r="LTU14" s="476"/>
      <c r="LTV14" s="476"/>
      <c r="LTW14" s="477"/>
      <c r="LTX14" s="477"/>
      <c r="LTY14" s="463"/>
      <c r="LTZ14" s="475"/>
      <c r="LUA14" s="476"/>
      <c r="LUB14" s="476"/>
      <c r="LUC14" s="476"/>
      <c r="LUD14" s="476"/>
      <c r="LUE14" s="476"/>
      <c r="LUF14" s="476"/>
      <c r="LUG14" s="476"/>
      <c r="LUH14" s="476"/>
      <c r="LUI14" s="476"/>
      <c r="LUJ14" s="476"/>
      <c r="LUK14" s="476"/>
      <c r="LUL14" s="476"/>
      <c r="LUM14" s="477"/>
      <c r="LUN14" s="477"/>
      <c r="LUO14" s="463"/>
      <c r="LUP14" s="475"/>
      <c r="LUQ14" s="476"/>
      <c r="LUR14" s="476"/>
      <c r="LUS14" s="476"/>
      <c r="LUT14" s="476"/>
      <c r="LUU14" s="476"/>
      <c r="LUV14" s="476"/>
      <c r="LUW14" s="476"/>
      <c r="LUX14" s="476"/>
      <c r="LUY14" s="476"/>
      <c r="LUZ14" s="476"/>
      <c r="LVA14" s="476"/>
      <c r="LVB14" s="476"/>
      <c r="LVC14" s="477"/>
      <c r="LVD14" s="477"/>
      <c r="LVE14" s="463"/>
      <c r="LVF14" s="475"/>
      <c r="LVG14" s="476"/>
      <c r="LVH14" s="476"/>
      <c r="LVI14" s="476"/>
      <c r="LVJ14" s="476"/>
      <c r="LVK14" s="476"/>
      <c r="LVL14" s="476"/>
      <c r="LVM14" s="476"/>
      <c r="LVN14" s="476"/>
      <c r="LVO14" s="476"/>
      <c r="LVP14" s="476"/>
      <c r="LVQ14" s="476"/>
      <c r="LVR14" s="476"/>
      <c r="LVS14" s="477"/>
      <c r="LVT14" s="477"/>
      <c r="LVU14" s="463"/>
      <c r="LVV14" s="475"/>
      <c r="LVW14" s="476"/>
      <c r="LVX14" s="476"/>
      <c r="LVY14" s="476"/>
      <c r="LVZ14" s="476"/>
      <c r="LWA14" s="476"/>
      <c r="LWB14" s="476"/>
      <c r="LWC14" s="476"/>
      <c r="LWD14" s="476"/>
      <c r="LWE14" s="476"/>
      <c r="LWF14" s="476"/>
      <c r="LWG14" s="476"/>
      <c r="LWH14" s="476"/>
      <c r="LWI14" s="477"/>
      <c r="LWJ14" s="477"/>
      <c r="LWK14" s="463"/>
      <c r="LWL14" s="475"/>
      <c r="LWM14" s="476"/>
      <c r="LWN14" s="476"/>
      <c r="LWO14" s="476"/>
      <c r="LWP14" s="476"/>
      <c r="LWQ14" s="476"/>
      <c r="LWR14" s="476"/>
      <c r="LWS14" s="476"/>
      <c r="LWT14" s="476"/>
      <c r="LWU14" s="476"/>
      <c r="LWV14" s="476"/>
      <c r="LWW14" s="476"/>
      <c r="LWX14" s="476"/>
      <c r="LWY14" s="477"/>
      <c r="LWZ14" s="477"/>
      <c r="LXA14" s="463"/>
      <c r="LXB14" s="475"/>
      <c r="LXC14" s="476"/>
      <c r="LXD14" s="476"/>
      <c r="LXE14" s="476"/>
      <c r="LXF14" s="476"/>
      <c r="LXG14" s="476"/>
      <c r="LXH14" s="476"/>
      <c r="LXI14" s="476"/>
      <c r="LXJ14" s="476"/>
      <c r="LXK14" s="476"/>
      <c r="LXL14" s="476"/>
      <c r="LXM14" s="476"/>
      <c r="LXN14" s="476"/>
      <c r="LXO14" s="477"/>
      <c r="LXP14" s="477"/>
      <c r="LXQ14" s="463"/>
      <c r="LXR14" s="475"/>
      <c r="LXS14" s="476"/>
      <c r="LXT14" s="476"/>
      <c r="LXU14" s="476"/>
      <c r="LXV14" s="476"/>
      <c r="LXW14" s="476"/>
      <c r="LXX14" s="476"/>
      <c r="LXY14" s="476"/>
      <c r="LXZ14" s="476"/>
      <c r="LYA14" s="476"/>
      <c r="LYB14" s="476"/>
      <c r="LYC14" s="476"/>
      <c r="LYD14" s="476"/>
      <c r="LYE14" s="477"/>
      <c r="LYF14" s="477"/>
      <c r="LYG14" s="463"/>
      <c r="LYH14" s="475"/>
      <c r="LYI14" s="476"/>
      <c r="LYJ14" s="476"/>
      <c r="LYK14" s="476"/>
      <c r="LYL14" s="476"/>
      <c r="LYM14" s="476"/>
      <c r="LYN14" s="476"/>
      <c r="LYO14" s="476"/>
      <c r="LYP14" s="476"/>
      <c r="LYQ14" s="476"/>
      <c r="LYR14" s="476"/>
      <c r="LYS14" s="476"/>
      <c r="LYT14" s="476"/>
      <c r="LYU14" s="477"/>
      <c r="LYV14" s="477"/>
      <c r="LYW14" s="463"/>
      <c r="LYX14" s="475"/>
      <c r="LYY14" s="476"/>
      <c r="LYZ14" s="476"/>
      <c r="LZA14" s="476"/>
      <c r="LZB14" s="476"/>
      <c r="LZC14" s="476"/>
      <c r="LZD14" s="476"/>
      <c r="LZE14" s="476"/>
      <c r="LZF14" s="476"/>
      <c r="LZG14" s="476"/>
      <c r="LZH14" s="476"/>
      <c r="LZI14" s="476"/>
      <c r="LZJ14" s="476"/>
      <c r="LZK14" s="477"/>
      <c r="LZL14" s="477"/>
      <c r="LZM14" s="463"/>
      <c r="LZN14" s="475"/>
      <c r="LZO14" s="476"/>
      <c r="LZP14" s="476"/>
      <c r="LZQ14" s="476"/>
      <c r="LZR14" s="476"/>
      <c r="LZS14" s="476"/>
      <c r="LZT14" s="476"/>
      <c r="LZU14" s="476"/>
      <c r="LZV14" s="476"/>
      <c r="LZW14" s="476"/>
      <c r="LZX14" s="476"/>
      <c r="LZY14" s="476"/>
      <c r="LZZ14" s="476"/>
      <c r="MAA14" s="477"/>
      <c r="MAB14" s="477"/>
      <c r="MAC14" s="463"/>
      <c r="MAD14" s="475"/>
      <c r="MAE14" s="476"/>
      <c r="MAF14" s="476"/>
      <c r="MAG14" s="476"/>
      <c r="MAH14" s="476"/>
      <c r="MAI14" s="476"/>
      <c r="MAJ14" s="476"/>
      <c r="MAK14" s="476"/>
      <c r="MAL14" s="476"/>
      <c r="MAM14" s="476"/>
      <c r="MAN14" s="476"/>
      <c r="MAO14" s="476"/>
      <c r="MAP14" s="476"/>
      <c r="MAQ14" s="477"/>
      <c r="MAR14" s="477"/>
      <c r="MAS14" s="463"/>
      <c r="MAT14" s="475"/>
      <c r="MAU14" s="476"/>
      <c r="MAV14" s="476"/>
      <c r="MAW14" s="476"/>
      <c r="MAX14" s="476"/>
      <c r="MAY14" s="476"/>
      <c r="MAZ14" s="476"/>
      <c r="MBA14" s="476"/>
      <c r="MBB14" s="476"/>
      <c r="MBC14" s="476"/>
      <c r="MBD14" s="476"/>
      <c r="MBE14" s="476"/>
      <c r="MBF14" s="476"/>
      <c r="MBG14" s="477"/>
      <c r="MBH14" s="477"/>
      <c r="MBI14" s="463"/>
      <c r="MBJ14" s="475"/>
      <c r="MBK14" s="476"/>
      <c r="MBL14" s="476"/>
      <c r="MBM14" s="476"/>
      <c r="MBN14" s="476"/>
      <c r="MBO14" s="476"/>
      <c r="MBP14" s="476"/>
      <c r="MBQ14" s="476"/>
      <c r="MBR14" s="476"/>
      <c r="MBS14" s="476"/>
      <c r="MBT14" s="476"/>
      <c r="MBU14" s="476"/>
      <c r="MBV14" s="476"/>
      <c r="MBW14" s="477"/>
      <c r="MBX14" s="477"/>
      <c r="MBY14" s="463"/>
      <c r="MBZ14" s="475"/>
      <c r="MCA14" s="476"/>
      <c r="MCB14" s="476"/>
      <c r="MCC14" s="476"/>
      <c r="MCD14" s="476"/>
      <c r="MCE14" s="476"/>
      <c r="MCF14" s="476"/>
      <c r="MCG14" s="476"/>
      <c r="MCH14" s="476"/>
      <c r="MCI14" s="476"/>
      <c r="MCJ14" s="476"/>
      <c r="MCK14" s="476"/>
      <c r="MCL14" s="476"/>
      <c r="MCM14" s="477"/>
      <c r="MCN14" s="477"/>
      <c r="MCO14" s="463"/>
      <c r="MCP14" s="475"/>
      <c r="MCQ14" s="476"/>
      <c r="MCR14" s="476"/>
      <c r="MCS14" s="476"/>
      <c r="MCT14" s="476"/>
      <c r="MCU14" s="476"/>
      <c r="MCV14" s="476"/>
      <c r="MCW14" s="476"/>
      <c r="MCX14" s="476"/>
      <c r="MCY14" s="476"/>
      <c r="MCZ14" s="476"/>
      <c r="MDA14" s="476"/>
      <c r="MDB14" s="476"/>
      <c r="MDC14" s="477"/>
      <c r="MDD14" s="477"/>
      <c r="MDE14" s="463"/>
      <c r="MDF14" s="475"/>
      <c r="MDG14" s="476"/>
      <c r="MDH14" s="476"/>
      <c r="MDI14" s="476"/>
      <c r="MDJ14" s="476"/>
      <c r="MDK14" s="476"/>
      <c r="MDL14" s="476"/>
      <c r="MDM14" s="476"/>
      <c r="MDN14" s="476"/>
      <c r="MDO14" s="476"/>
      <c r="MDP14" s="476"/>
      <c r="MDQ14" s="476"/>
      <c r="MDR14" s="476"/>
      <c r="MDS14" s="477"/>
      <c r="MDT14" s="477"/>
      <c r="MDU14" s="463"/>
      <c r="MDV14" s="475"/>
      <c r="MDW14" s="476"/>
      <c r="MDX14" s="476"/>
      <c r="MDY14" s="476"/>
      <c r="MDZ14" s="476"/>
      <c r="MEA14" s="476"/>
      <c r="MEB14" s="476"/>
      <c r="MEC14" s="476"/>
      <c r="MED14" s="476"/>
      <c r="MEE14" s="476"/>
      <c r="MEF14" s="476"/>
      <c r="MEG14" s="476"/>
      <c r="MEH14" s="476"/>
      <c r="MEI14" s="477"/>
      <c r="MEJ14" s="477"/>
      <c r="MEK14" s="463"/>
      <c r="MEL14" s="475"/>
      <c r="MEM14" s="476"/>
      <c r="MEN14" s="476"/>
      <c r="MEO14" s="476"/>
      <c r="MEP14" s="476"/>
      <c r="MEQ14" s="476"/>
      <c r="MER14" s="476"/>
      <c r="MES14" s="476"/>
      <c r="MET14" s="476"/>
      <c r="MEU14" s="476"/>
      <c r="MEV14" s="476"/>
      <c r="MEW14" s="476"/>
      <c r="MEX14" s="476"/>
      <c r="MEY14" s="477"/>
      <c r="MEZ14" s="477"/>
      <c r="MFA14" s="463"/>
      <c r="MFB14" s="475"/>
      <c r="MFC14" s="476"/>
      <c r="MFD14" s="476"/>
      <c r="MFE14" s="476"/>
      <c r="MFF14" s="476"/>
      <c r="MFG14" s="476"/>
      <c r="MFH14" s="476"/>
      <c r="MFI14" s="476"/>
      <c r="MFJ14" s="476"/>
      <c r="MFK14" s="476"/>
      <c r="MFL14" s="476"/>
      <c r="MFM14" s="476"/>
      <c r="MFN14" s="476"/>
      <c r="MFO14" s="477"/>
      <c r="MFP14" s="477"/>
      <c r="MFQ14" s="463"/>
      <c r="MFR14" s="475"/>
      <c r="MFS14" s="476"/>
      <c r="MFT14" s="476"/>
      <c r="MFU14" s="476"/>
      <c r="MFV14" s="476"/>
      <c r="MFW14" s="476"/>
      <c r="MFX14" s="476"/>
      <c r="MFY14" s="476"/>
      <c r="MFZ14" s="476"/>
      <c r="MGA14" s="476"/>
      <c r="MGB14" s="476"/>
      <c r="MGC14" s="476"/>
      <c r="MGD14" s="476"/>
      <c r="MGE14" s="477"/>
      <c r="MGF14" s="477"/>
      <c r="MGG14" s="463"/>
      <c r="MGH14" s="475"/>
      <c r="MGI14" s="476"/>
      <c r="MGJ14" s="476"/>
      <c r="MGK14" s="476"/>
      <c r="MGL14" s="476"/>
      <c r="MGM14" s="476"/>
      <c r="MGN14" s="476"/>
      <c r="MGO14" s="476"/>
      <c r="MGP14" s="476"/>
      <c r="MGQ14" s="476"/>
      <c r="MGR14" s="476"/>
      <c r="MGS14" s="476"/>
      <c r="MGT14" s="476"/>
      <c r="MGU14" s="477"/>
      <c r="MGV14" s="477"/>
      <c r="MGW14" s="463"/>
      <c r="MGX14" s="475"/>
      <c r="MGY14" s="476"/>
      <c r="MGZ14" s="476"/>
      <c r="MHA14" s="476"/>
      <c r="MHB14" s="476"/>
      <c r="MHC14" s="476"/>
      <c r="MHD14" s="476"/>
      <c r="MHE14" s="476"/>
      <c r="MHF14" s="476"/>
      <c r="MHG14" s="476"/>
      <c r="MHH14" s="476"/>
      <c r="MHI14" s="476"/>
      <c r="MHJ14" s="476"/>
      <c r="MHK14" s="477"/>
      <c r="MHL14" s="477"/>
      <c r="MHM14" s="463"/>
      <c r="MHN14" s="475"/>
      <c r="MHO14" s="476"/>
      <c r="MHP14" s="476"/>
      <c r="MHQ14" s="476"/>
      <c r="MHR14" s="476"/>
      <c r="MHS14" s="476"/>
      <c r="MHT14" s="476"/>
      <c r="MHU14" s="476"/>
      <c r="MHV14" s="476"/>
      <c r="MHW14" s="476"/>
      <c r="MHX14" s="476"/>
      <c r="MHY14" s="476"/>
      <c r="MHZ14" s="476"/>
      <c r="MIA14" s="477"/>
      <c r="MIB14" s="477"/>
      <c r="MIC14" s="463"/>
      <c r="MID14" s="475"/>
      <c r="MIE14" s="476"/>
      <c r="MIF14" s="476"/>
      <c r="MIG14" s="476"/>
      <c r="MIH14" s="476"/>
      <c r="MII14" s="476"/>
      <c r="MIJ14" s="476"/>
      <c r="MIK14" s="476"/>
      <c r="MIL14" s="476"/>
      <c r="MIM14" s="476"/>
      <c r="MIN14" s="476"/>
      <c r="MIO14" s="476"/>
      <c r="MIP14" s="476"/>
      <c r="MIQ14" s="477"/>
      <c r="MIR14" s="477"/>
      <c r="MIS14" s="463"/>
      <c r="MIT14" s="475"/>
      <c r="MIU14" s="476"/>
      <c r="MIV14" s="476"/>
      <c r="MIW14" s="476"/>
      <c r="MIX14" s="476"/>
      <c r="MIY14" s="476"/>
      <c r="MIZ14" s="476"/>
      <c r="MJA14" s="476"/>
      <c r="MJB14" s="476"/>
      <c r="MJC14" s="476"/>
      <c r="MJD14" s="476"/>
      <c r="MJE14" s="476"/>
      <c r="MJF14" s="476"/>
      <c r="MJG14" s="477"/>
      <c r="MJH14" s="477"/>
      <c r="MJI14" s="463"/>
      <c r="MJJ14" s="475"/>
      <c r="MJK14" s="476"/>
      <c r="MJL14" s="476"/>
      <c r="MJM14" s="476"/>
      <c r="MJN14" s="476"/>
      <c r="MJO14" s="476"/>
      <c r="MJP14" s="476"/>
      <c r="MJQ14" s="476"/>
      <c r="MJR14" s="476"/>
      <c r="MJS14" s="476"/>
      <c r="MJT14" s="476"/>
      <c r="MJU14" s="476"/>
      <c r="MJV14" s="476"/>
      <c r="MJW14" s="477"/>
      <c r="MJX14" s="477"/>
      <c r="MJY14" s="463"/>
      <c r="MJZ14" s="475"/>
      <c r="MKA14" s="476"/>
      <c r="MKB14" s="476"/>
      <c r="MKC14" s="476"/>
      <c r="MKD14" s="476"/>
      <c r="MKE14" s="476"/>
      <c r="MKF14" s="476"/>
      <c r="MKG14" s="476"/>
      <c r="MKH14" s="476"/>
      <c r="MKI14" s="476"/>
      <c r="MKJ14" s="476"/>
      <c r="MKK14" s="476"/>
      <c r="MKL14" s="476"/>
      <c r="MKM14" s="477"/>
      <c r="MKN14" s="477"/>
      <c r="MKO14" s="463"/>
      <c r="MKP14" s="475"/>
      <c r="MKQ14" s="476"/>
      <c r="MKR14" s="476"/>
      <c r="MKS14" s="476"/>
      <c r="MKT14" s="476"/>
      <c r="MKU14" s="476"/>
      <c r="MKV14" s="476"/>
      <c r="MKW14" s="476"/>
      <c r="MKX14" s="476"/>
      <c r="MKY14" s="476"/>
      <c r="MKZ14" s="476"/>
      <c r="MLA14" s="476"/>
      <c r="MLB14" s="476"/>
      <c r="MLC14" s="477"/>
      <c r="MLD14" s="477"/>
      <c r="MLE14" s="463"/>
      <c r="MLF14" s="475"/>
      <c r="MLG14" s="476"/>
      <c r="MLH14" s="476"/>
      <c r="MLI14" s="476"/>
      <c r="MLJ14" s="476"/>
      <c r="MLK14" s="476"/>
      <c r="MLL14" s="476"/>
      <c r="MLM14" s="476"/>
      <c r="MLN14" s="476"/>
      <c r="MLO14" s="476"/>
      <c r="MLP14" s="476"/>
      <c r="MLQ14" s="476"/>
      <c r="MLR14" s="476"/>
      <c r="MLS14" s="477"/>
      <c r="MLT14" s="477"/>
      <c r="MLU14" s="463"/>
      <c r="MLV14" s="475"/>
      <c r="MLW14" s="476"/>
      <c r="MLX14" s="476"/>
      <c r="MLY14" s="476"/>
      <c r="MLZ14" s="476"/>
      <c r="MMA14" s="476"/>
      <c r="MMB14" s="476"/>
      <c r="MMC14" s="476"/>
      <c r="MMD14" s="476"/>
      <c r="MME14" s="476"/>
      <c r="MMF14" s="476"/>
      <c r="MMG14" s="476"/>
      <c r="MMH14" s="476"/>
      <c r="MMI14" s="477"/>
      <c r="MMJ14" s="477"/>
      <c r="MMK14" s="463"/>
      <c r="MML14" s="475"/>
      <c r="MMM14" s="476"/>
      <c r="MMN14" s="476"/>
      <c r="MMO14" s="476"/>
      <c r="MMP14" s="476"/>
      <c r="MMQ14" s="476"/>
      <c r="MMR14" s="476"/>
      <c r="MMS14" s="476"/>
      <c r="MMT14" s="476"/>
      <c r="MMU14" s="476"/>
      <c r="MMV14" s="476"/>
      <c r="MMW14" s="476"/>
      <c r="MMX14" s="476"/>
      <c r="MMY14" s="477"/>
      <c r="MMZ14" s="477"/>
      <c r="MNA14" s="463"/>
      <c r="MNB14" s="475"/>
      <c r="MNC14" s="476"/>
      <c r="MND14" s="476"/>
      <c r="MNE14" s="476"/>
      <c r="MNF14" s="476"/>
      <c r="MNG14" s="476"/>
      <c r="MNH14" s="476"/>
      <c r="MNI14" s="476"/>
      <c r="MNJ14" s="476"/>
      <c r="MNK14" s="476"/>
      <c r="MNL14" s="476"/>
      <c r="MNM14" s="476"/>
      <c r="MNN14" s="476"/>
      <c r="MNO14" s="477"/>
      <c r="MNP14" s="477"/>
      <c r="MNQ14" s="463"/>
      <c r="MNR14" s="475"/>
      <c r="MNS14" s="476"/>
      <c r="MNT14" s="476"/>
      <c r="MNU14" s="476"/>
      <c r="MNV14" s="476"/>
      <c r="MNW14" s="476"/>
      <c r="MNX14" s="476"/>
      <c r="MNY14" s="476"/>
      <c r="MNZ14" s="476"/>
      <c r="MOA14" s="476"/>
      <c r="MOB14" s="476"/>
      <c r="MOC14" s="476"/>
      <c r="MOD14" s="476"/>
      <c r="MOE14" s="477"/>
      <c r="MOF14" s="477"/>
      <c r="MOG14" s="463"/>
      <c r="MOH14" s="475"/>
      <c r="MOI14" s="476"/>
      <c r="MOJ14" s="476"/>
      <c r="MOK14" s="476"/>
      <c r="MOL14" s="476"/>
      <c r="MOM14" s="476"/>
      <c r="MON14" s="476"/>
      <c r="MOO14" s="476"/>
      <c r="MOP14" s="476"/>
      <c r="MOQ14" s="476"/>
      <c r="MOR14" s="476"/>
      <c r="MOS14" s="476"/>
      <c r="MOT14" s="476"/>
      <c r="MOU14" s="477"/>
      <c r="MOV14" s="477"/>
      <c r="MOW14" s="463"/>
      <c r="MOX14" s="475"/>
      <c r="MOY14" s="476"/>
      <c r="MOZ14" s="476"/>
      <c r="MPA14" s="476"/>
      <c r="MPB14" s="476"/>
      <c r="MPC14" s="476"/>
      <c r="MPD14" s="476"/>
      <c r="MPE14" s="476"/>
      <c r="MPF14" s="476"/>
      <c r="MPG14" s="476"/>
      <c r="MPH14" s="476"/>
      <c r="MPI14" s="476"/>
      <c r="MPJ14" s="476"/>
      <c r="MPK14" s="477"/>
      <c r="MPL14" s="477"/>
      <c r="MPM14" s="463"/>
      <c r="MPN14" s="475"/>
      <c r="MPO14" s="476"/>
      <c r="MPP14" s="476"/>
      <c r="MPQ14" s="476"/>
      <c r="MPR14" s="476"/>
      <c r="MPS14" s="476"/>
      <c r="MPT14" s="476"/>
      <c r="MPU14" s="476"/>
      <c r="MPV14" s="476"/>
      <c r="MPW14" s="476"/>
      <c r="MPX14" s="476"/>
      <c r="MPY14" s="476"/>
      <c r="MPZ14" s="476"/>
      <c r="MQA14" s="477"/>
      <c r="MQB14" s="477"/>
      <c r="MQC14" s="463"/>
      <c r="MQD14" s="475"/>
      <c r="MQE14" s="476"/>
      <c r="MQF14" s="476"/>
      <c r="MQG14" s="476"/>
      <c r="MQH14" s="476"/>
      <c r="MQI14" s="476"/>
      <c r="MQJ14" s="476"/>
      <c r="MQK14" s="476"/>
      <c r="MQL14" s="476"/>
      <c r="MQM14" s="476"/>
      <c r="MQN14" s="476"/>
      <c r="MQO14" s="476"/>
      <c r="MQP14" s="476"/>
      <c r="MQQ14" s="477"/>
      <c r="MQR14" s="477"/>
      <c r="MQS14" s="463"/>
      <c r="MQT14" s="475"/>
      <c r="MQU14" s="476"/>
      <c r="MQV14" s="476"/>
      <c r="MQW14" s="476"/>
      <c r="MQX14" s="476"/>
      <c r="MQY14" s="476"/>
      <c r="MQZ14" s="476"/>
      <c r="MRA14" s="476"/>
      <c r="MRB14" s="476"/>
      <c r="MRC14" s="476"/>
      <c r="MRD14" s="476"/>
      <c r="MRE14" s="476"/>
      <c r="MRF14" s="476"/>
      <c r="MRG14" s="477"/>
      <c r="MRH14" s="477"/>
      <c r="MRI14" s="463"/>
      <c r="MRJ14" s="475"/>
      <c r="MRK14" s="476"/>
      <c r="MRL14" s="476"/>
      <c r="MRM14" s="476"/>
      <c r="MRN14" s="476"/>
      <c r="MRO14" s="476"/>
      <c r="MRP14" s="476"/>
      <c r="MRQ14" s="476"/>
      <c r="MRR14" s="476"/>
      <c r="MRS14" s="476"/>
      <c r="MRT14" s="476"/>
      <c r="MRU14" s="476"/>
      <c r="MRV14" s="476"/>
      <c r="MRW14" s="477"/>
      <c r="MRX14" s="477"/>
      <c r="MRY14" s="463"/>
      <c r="MRZ14" s="475"/>
      <c r="MSA14" s="476"/>
      <c r="MSB14" s="476"/>
      <c r="MSC14" s="476"/>
      <c r="MSD14" s="476"/>
      <c r="MSE14" s="476"/>
      <c r="MSF14" s="476"/>
      <c r="MSG14" s="476"/>
      <c r="MSH14" s="476"/>
      <c r="MSI14" s="476"/>
      <c r="MSJ14" s="476"/>
      <c r="MSK14" s="476"/>
      <c r="MSL14" s="476"/>
      <c r="MSM14" s="477"/>
      <c r="MSN14" s="477"/>
      <c r="MSO14" s="463"/>
      <c r="MSP14" s="475"/>
      <c r="MSQ14" s="476"/>
      <c r="MSR14" s="476"/>
      <c r="MSS14" s="476"/>
      <c r="MST14" s="476"/>
      <c r="MSU14" s="476"/>
      <c r="MSV14" s="476"/>
      <c r="MSW14" s="476"/>
      <c r="MSX14" s="476"/>
      <c r="MSY14" s="476"/>
      <c r="MSZ14" s="476"/>
      <c r="MTA14" s="476"/>
      <c r="MTB14" s="476"/>
      <c r="MTC14" s="477"/>
      <c r="MTD14" s="477"/>
      <c r="MTE14" s="463"/>
      <c r="MTF14" s="475"/>
      <c r="MTG14" s="476"/>
      <c r="MTH14" s="476"/>
      <c r="MTI14" s="476"/>
      <c r="MTJ14" s="476"/>
      <c r="MTK14" s="476"/>
      <c r="MTL14" s="476"/>
      <c r="MTM14" s="476"/>
      <c r="MTN14" s="476"/>
      <c r="MTO14" s="476"/>
      <c r="MTP14" s="476"/>
      <c r="MTQ14" s="476"/>
      <c r="MTR14" s="476"/>
      <c r="MTS14" s="477"/>
      <c r="MTT14" s="477"/>
      <c r="MTU14" s="463"/>
      <c r="MTV14" s="475"/>
      <c r="MTW14" s="476"/>
      <c r="MTX14" s="476"/>
      <c r="MTY14" s="476"/>
      <c r="MTZ14" s="476"/>
      <c r="MUA14" s="476"/>
      <c r="MUB14" s="476"/>
      <c r="MUC14" s="476"/>
      <c r="MUD14" s="476"/>
      <c r="MUE14" s="476"/>
      <c r="MUF14" s="476"/>
      <c r="MUG14" s="476"/>
      <c r="MUH14" s="476"/>
      <c r="MUI14" s="477"/>
      <c r="MUJ14" s="477"/>
      <c r="MUK14" s="463"/>
      <c r="MUL14" s="475"/>
      <c r="MUM14" s="476"/>
      <c r="MUN14" s="476"/>
      <c r="MUO14" s="476"/>
      <c r="MUP14" s="476"/>
      <c r="MUQ14" s="476"/>
      <c r="MUR14" s="476"/>
      <c r="MUS14" s="476"/>
      <c r="MUT14" s="476"/>
      <c r="MUU14" s="476"/>
      <c r="MUV14" s="476"/>
      <c r="MUW14" s="476"/>
      <c r="MUX14" s="476"/>
      <c r="MUY14" s="477"/>
      <c r="MUZ14" s="477"/>
      <c r="MVA14" s="463"/>
      <c r="MVB14" s="475"/>
      <c r="MVC14" s="476"/>
      <c r="MVD14" s="476"/>
      <c r="MVE14" s="476"/>
      <c r="MVF14" s="476"/>
      <c r="MVG14" s="476"/>
      <c r="MVH14" s="476"/>
      <c r="MVI14" s="476"/>
      <c r="MVJ14" s="476"/>
      <c r="MVK14" s="476"/>
      <c r="MVL14" s="476"/>
      <c r="MVM14" s="476"/>
      <c r="MVN14" s="476"/>
      <c r="MVO14" s="477"/>
      <c r="MVP14" s="477"/>
      <c r="MVQ14" s="463"/>
      <c r="MVR14" s="475"/>
      <c r="MVS14" s="476"/>
      <c r="MVT14" s="476"/>
      <c r="MVU14" s="476"/>
      <c r="MVV14" s="476"/>
      <c r="MVW14" s="476"/>
      <c r="MVX14" s="476"/>
      <c r="MVY14" s="476"/>
      <c r="MVZ14" s="476"/>
      <c r="MWA14" s="476"/>
      <c r="MWB14" s="476"/>
      <c r="MWC14" s="476"/>
      <c r="MWD14" s="476"/>
      <c r="MWE14" s="477"/>
      <c r="MWF14" s="477"/>
      <c r="MWG14" s="463"/>
      <c r="MWH14" s="475"/>
      <c r="MWI14" s="476"/>
      <c r="MWJ14" s="476"/>
      <c r="MWK14" s="476"/>
      <c r="MWL14" s="476"/>
      <c r="MWM14" s="476"/>
      <c r="MWN14" s="476"/>
      <c r="MWO14" s="476"/>
      <c r="MWP14" s="476"/>
      <c r="MWQ14" s="476"/>
      <c r="MWR14" s="476"/>
      <c r="MWS14" s="476"/>
      <c r="MWT14" s="476"/>
      <c r="MWU14" s="477"/>
      <c r="MWV14" s="477"/>
      <c r="MWW14" s="463"/>
      <c r="MWX14" s="475"/>
      <c r="MWY14" s="476"/>
      <c r="MWZ14" s="476"/>
      <c r="MXA14" s="476"/>
      <c r="MXB14" s="476"/>
      <c r="MXC14" s="476"/>
      <c r="MXD14" s="476"/>
      <c r="MXE14" s="476"/>
      <c r="MXF14" s="476"/>
      <c r="MXG14" s="476"/>
      <c r="MXH14" s="476"/>
      <c r="MXI14" s="476"/>
      <c r="MXJ14" s="476"/>
      <c r="MXK14" s="477"/>
      <c r="MXL14" s="477"/>
      <c r="MXM14" s="463"/>
      <c r="MXN14" s="475"/>
      <c r="MXO14" s="476"/>
      <c r="MXP14" s="476"/>
      <c r="MXQ14" s="476"/>
      <c r="MXR14" s="476"/>
      <c r="MXS14" s="476"/>
      <c r="MXT14" s="476"/>
      <c r="MXU14" s="476"/>
      <c r="MXV14" s="476"/>
      <c r="MXW14" s="476"/>
      <c r="MXX14" s="476"/>
      <c r="MXY14" s="476"/>
      <c r="MXZ14" s="476"/>
      <c r="MYA14" s="477"/>
      <c r="MYB14" s="477"/>
      <c r="MYC14" s="463"/>
      <c r="MYD14" s="475"/>
      <c r="MYE14" s="476"/>
      <c r="MYF14" s="476"/>
      <c r="MYG14" s="476"/>
      <c r="MYH14" s="476"/>
      <c r="MYI14" s="476"/>
      <c r="MYJ14" s="476"/>
      <c r="MYK14" s="476"/>
      <c r="MYL14" s="476"/>
      <c r="MYM14" s="476"/>
      <c r="MYN14" s="476"/>
      <c r="MYO14" s="476"/>
      <c r="MYP14" s="476"/>
      <c r="MYQ14" s="477"/>
      <c r="MYR14" s="477"/>
      <c r="MYS14" s="463"/>
      <c r="MYT14" s="475"/>
      <c r="MYU14" s="476"/>
      <c r="MYV14" s="476"/>
      <c r="MYW14" s="476"/>
      <c r="MYX14" s="476"/>
      <c r="MYY14" s="476"/>
      <c r="MYZ14" s="476"/>
      <c r="MZA14" s="476"/>
      <c r="MZB14" s="476"/>
      <c r="MZC14" s="476"/>
      <c r="MZD14" s="476"/>
      <c r="MZE14" s="476"/>
      <c r="MZF14" s="476"/>
      <c r="MZG14" s="477"/>
      <c r="MZH14" s="477"/>
      <c r="MZI14" s="463"/>
      <c r="MZJ14" s="475"/>
      <c r="MZK14" s="476"/>
      <c r="MZL14" s="476"/>
      <c r="MZM14" s="476"/>
      <c r="MZN14" s="476"/>
      <c r="MZO14" s="476"/>
      <c r="MZP14" s="476"/>
      <c r="MZQ14" s="476"/>
      <c r="MZR14" s="476"/>
      <c r="MZS14" s="476"/>
      <c r="MZT14" s="476"/>
      <c r="MZU14" s="476"/>
      <c r="MZV14" s="476"/>
      <c r="MZW14" s="477"/>
      <c r="MZX14" s="477"/>
      <c r="MZY14" s="463"/>
      <c r="MZZ14" s="475"/>
      <c r="NAA14" s="476"/>
      <c r="NAB14" s="476"/>
      <c r="NAC14" s="476"/>
      <c r="NAD14" s="476"/>
      <c r="NAE14" s="476"/>
      <c r="NAF14" s="476"/>
      <c r="NAG14" s="476"/>
      <c r="NAH14" s="476"/>
      <c r="NAI14" s="476"/>
      <c r="NAJ14" s="476"/>
      <c r="NAK14" s="476"/>
      <c r="NAL14" s="476"/>
      <c r="NAM14" s="477"/>
      <c r="NAN14" s="477"/>
      <c r="NAO14" s="463"/>
      <c r="NAP14" s="475"/>
      <c r="NAQ14" s="476"/>
      <c r="NAR14" s="476"/>
      <c r="NAS14" s="476"/>
      <c r="NAT14" s="476"/>
      <c r="NAU14" s="476"/>
      <c r="NAV14" s="476"/>
      <c r="NAW14" s="476"/>
      <c r="NAX14" s="476"/>
      <c r="NAY14" s="476"/>
      <c r="NAZ14" s="476"/>
      <c r="NBA14" s="476"/>
      <c r="NBB14" s="476"/>
      <c r="NBC14" s="477"/>
      <c r="NBD14" s="477"/>
      <c r="NBE14" s="463"/>
      <c r="NBF14" s="475"/>
      <c r="NBG14" s="476"/>
      <c r="NBH14" s="476"/>
      <c r="NBI14" s="476"/>
      <c r="NBJ14" s="476"/>
      <c r="NBK14" s="476"/>
      <c r="NBL14" s="476"/>
      <c r="NBM14" s="476"/>
      <c r="NBN14" s="476"/>
      <c r="NBO14" s="476"/>
      <c r="NBP14" s="476"/>
      <c r="NBQ14" s="476"/>
      <c r="NBR14" s="476"/>
      <c r="NBS14" s="477"/>
      <c r="NBT14" s="477"/>
      <c r="NBU14" s="463"/>
      <c r="NBV14" s="475"/>
      <c r="NBW14" s="476"/>
      <c r="NBX14" s="476"/>
      <c r="NBY14" s="476"/>
      <c r="NBZ14" s="476"/>
      <c r="NCA14" s="476"/>
      <c r="NCB14" s="476"/>
      <c r="NCC14" s="476"/>
      <c r="NCD14" s="476"/>
      <c r="NCE14" s="476"/>
      <c r="NCF14" s="476"/>
      <c r="NCG14" s="476"/>
      <c r="NCH14" s="476"/>
      <c r="NCI14" s="477"/>
      <c r="NCJ14" s="477"/>
      <c r="NCK14" s="463"/>
      <c r="NCL14" s="475"/>
      <c r="NCM14" s="476"/>
      <c r="NCN14" s="476"/>
      <c r="NCO14" s="476"/>
      <c r="NCP14" s="476"/>
      <c r="NCQ14" s="476"/>
      <c r="NCR14" s="476"/>
      <c r="NCS14" s="476"/>
      <c r="NCT14" s="476"/>
      <c r="NCU14" s="476"/>
      <c r="NCV14" s="476"/>
      <c r="NCW14" s="476"/>
      <c r="NCX14" s="476"/>
      <c r="NCY14" s="477"/>
      <c r="NCZ14" s="477"/>
      <c r="NDA14" s="463"/>
      <c r="NDB14" s="475"/>
      <c r="NDC14" s="476"/>
      <c r="NDD14" s="476"/>
      <c r="NDE14" s="476"/>
      <c r="NDF14" s="476"/>
      <c r="NDG14" s="476"/>
      <c r="NDH14" s="476"/>
      <c r="NDI14" s="476"/>
      <c r="NDJ14" s="476"/>
      <c r="NDK14" s="476"/>
      <c r="NDL14" s="476"/>
      <c r="NDM14" s="476"/>
      <c r="NDN14" s="476"/>
      <c r="NDO14" s="477"/>
      <c r="NDP14" s="477"/>
      <c r="NDQ14" s="463"/>
      <c r="NDR14" s="475"/>
      <c r="NDS14" s="476"/>
      <c r="NDT14" s="476"/>
      <c r="NDU14" s="476"/>
      <c r="NDV14" s="476"/>
      <c r="NDW14" s="476"/>
      <c r="NDX14" s="476"/>
      <c r="NDY14" s="476"/>
      <c r="NDZ14" s="476"/>
      <c r="NEA14" s="476"/>
      <c r="NEB14" s="476"/>
      <c r="NEC14" s="476"/>
      <c r="NED14" s="476"/>
      <c r="NEE14" s="477"/>
      <c r="NEF14" s="477"/>
      <c r="NEG14" s="463"/>
      <c r="NEH14" s="475"/>
      <c r="NEI14" s="476"/>
      <c r="NEJ14" s="476"/>
      <c r="NEK14" s="476"/>
      <c r="NEL14" s="476"/>
      <c r="NEM14" s="476"/>
      <c r="NEN14" s="476"/>
      <c r="NEO14" s="476"/>
      <c r="NEP14" s="476"/>
      <c r="NEQ14" s="476"/>
      <c r="NER14" s="476"/>
      <c r="NES14" s="476"/>
      <c r="NET14" s="476"/>
      <c r="NEU14" s="477"/>
      <c r="NEV14" s="477"/>
      <c r="NEW14" s="463"/>
      <c r="NEX14" s="475"/>
      <c r="NEY14" s="476"/>
      <c r="NEZ14" s="476"/>
      <c r="NFA14" s="476"/>
      <c r="NFB14" s="476"/>
      <c r="NFC14" s="476"/>
      <c r="NFD14" s="476"/>
      <c r="NFE14" s="476"/>
      <c r="NFF14" s="476"/>
      <c r="NFG14" s="476"/>
      <c r="NFH14" s="476"/>
      <c r="NFI14" s="476"/>
      <c r="NFJ14" s="476"/>
      <c r="NFK14" s="477"/>
      <c r="NFL14" s="477"/>
      <c r="NFM14" s="463"/>
      <c r="NFN14" s="475"/>
      <c r="NFO14" s="476"/>
      <c r="NFP14" s="476"/>
      <c r="NFQ14" s="476"/>
      <c r="NFR14" s="476"/>
      <c r="NFS14" s="476"/>
      <c r="NFT14" s="476"/>
      <c r="NFU14" s="476"/>
      <c r="NFV14" s="476"/>
      <c r="NFW14" s="476"/>
      <c r="NFX14" s="476"/>
      <c r="NFY14" s="476"/>
      <c r="NFZ14" s="476"/>
      <c r="NGA14" s="477"/>
      <c r="NGB14" s="477"/>
      <c r="NGC14" s="463"/>
      <c r="NGD14" s="475"/>
      <c r="NGE14" s="476"/>
      <c r="NGF14" s="476"/>
      <c r="NGG14" s="476"/>
      <c r="NGH14" s="476"/>
      <c r="NGI14" s="476"/>
      <c r="NGJ14" s="476"/>
      <c r="NGK14" s="476"/>
      <c r="NGL14" s="476"/>
      <c r="NGM14" s="476"/>
      <c r="NGN14" s="476"/>
      <c r="NGO14" s="476"/>
      <c r="NGP14" s="476"/>
      <c r="NGQ14" s="477"/>
      <c r="NGR14" s="477"/>
      <c r="NGS14" s="463"/>
      <c r="NGT14" s="475"/>
      <c r="NGU14" s="476"/>
      <c r="NGV14" s="476"/>
      <c r="NGW14" s="476"/>
      <c r="NGX14" s="476"/>
      <c r="NGY14" s="476"/>
      <c r="NGZ14" s="476"/>
      <c r="NHA14" s="476"/>
      <c r="NHB14" s="476"/>
      <c r="NHC14" s="476"/>
      <c r="NHD14" s="476"/>
      <c r="NHE14" s="476"/>
      <c r="NHF14" s="476"/>
      <c r="NHG14" s="477"/>
      <c r="NHH14" s="477"/>
      <c r="NHI14" s="463"/>
      <c r="NHJ14" s="475"/>
      <c r="NHK14" s="476"/>
      <c r="NHL14" s="476"/>
      <c r="NHM14" s="476"/>
      <c r="NHN14" s="476"/>
      <c r="NHO14" s="476"/>
      <c r="NHP14" s="476"/>
      <c r="NHQ14" s="476"/>
      <c r="NHR14" s="476"/>
      <c r="NHS14" s="476"/>
      <c r="NHT14" s="476"/>
      <c r="NHU14" s="476"/>
      <c r="NHV14" s="476"/>
      <c r="NHW14" s="477"/>
      <c r="NHX14" s="477"/>
      <c r="NHY14" s="463"/>
      <c r="NHZ14" s="475"/>
      <c r="NIA14" s="476"/>
      <c r="NIB14" s="476"/>
      <c r="NIC14" s="476"/>
      <c r="NID14" s="476"/>
      <c r="NIE14" s="476"/>
      <c r="NIF14" s="476"/>
      <c r="NIG14" s="476"/>
      <c r="NIH14" s="476"/>
      <c r="NII14" s="476"/>
      <c r="NIJ14" s="476"/>
      <c r="NIK14" s="476"/>
      <c r="NIL14" s="476"/>
      <c r="NIM14" s="477"/>
      <c r="NIN14" s="477"/>
      <c r="NIO14" s="463"/>
      <c r="NIP14" s="475"/>
      <c r="NIQ14" s="476"/>
      <c r="NIR14" s="476"/>
      <c r="NIS14" s="476"/>
      <c r="NIT14" s="476"/>
      <c r="NIU14" s="476"/>
      <c r="NIV14" s="476"/>
      <c r="NIW14" s="476"/>
      <c r="NIX14" s="476"/>
      <c r="NIY14" s="476"/>
      <c r="NIZ14" s="476"/>
      <c r="NJA14" s="476"/>
      <c r="NJB14" s="476"/>
      <c r="NJC14" s="477"/>
      <c r="NJD14" s="477"/>
      <c r="NJE14" s="463"/>
      <c r="NJF14" s="475"/>
      <c r="NJG14" s="476"/>
      <c r="NJH14" s="476"/>
      <c r="NJI14" s="476"/>
      <c r="NJJ14" s="476"/>
      <c r="NJK14" s="476"/>
      <c r="NJL14" s="476"/>
      <c r="NJM14" s="476"/>
      <c r="NJN14" s="476"/>
      <c r="NJO14" s="476"/>
      <c r="NJP14" s="476"/>
      <c r="NJQ14" s="476"/>
      <c r="NJR14" s="476"/>
      <c r="NJS14" s="477"/>
      <c r="NJT14" s="477"/>
      <c r="NJU14" s="463"/>
      <c r="NJV14" s="475"/>
      <c r="NJW14" s="476"/>
      <c r="NJX14" s="476"/>
      <c r="NJY14" s="476"/>
      <c r="NJZ14" s="476"/>
      <c r="NKA14" s="476"/>
      <c r="NKB14" s="476"/>
      <c r="NKC14" s="476"/>
      <c r="NKD14" s="476"/>
      <c r="NKE14" s="476"/>
      <c r="NKF14" s="476"/>
      <c r="NKG14" s="476"/>
      <c r="NKH14" s="476"/>
      <c r="NKI14" s="477"/>
      <c r="NKJ14" s="477"/>
      <c r="NKK14" s="463"/>
      <c r="NKL14" s="475"/>
      <c r="NKM14" s="476"/>
      <c r="NKN14" s="476"/>
      <c r="NKO14" s="476"/>
      <c r="NKP14" s="476"/>
      <c r="NKQ14" s="476"/>
      <c r="NKR14" s="476"/>
      <c r="NKS14" s="476"/>
      <c r="NKT14" s="476"/>
      <c r="NKU14" s="476"/>
      <c r="NKV14" s="476"/>
      <c r="NKW14" s="476"/>
      <c r="NKX14" s="476"/>
      <c r="NKY14" s="477"/>
      <c r="NKZ14" s="477"/>
      <c r="NLA14" s="463"/>
      <c r="NLB14" s="475"/>
      <c r="NLC14" s="476"/>
      <c r="NLD14" s="476"/>
      <c r="NLE14" s="476"/>
      <c r="NLF14" s="476"/>
      <c r="NLG14" s="476"/>
      <c r="NLH14" s="476"/>
      <c r="NLI14" s="476"/>
      <c r="NLJ14" s="476"/>
      <c r="NLK14" s="476"/>
      <c r="NLL14" s="476"/>
      <c r="NLM14" s="476"/>
      <c r="NLN14" s="476"/>
      <c r="NLO14" s="477"/>
      <c r="NLP14" s="477"/>
      <c r="NLQ14" s="463"/>
      <c r="NLR14" s="475"/>
      <c r="NLS14" s="476"/>
      <c r="NLT14" s="476"/>
      <c r="NLU14" s="476"/>
      <c r="NLV14" s="476"/>
      <c r="NLW14" s="476"/>
      <c r="NLX14" s="476"/>
      <c r="NLY14" s="476"/>
      <c r="NLZ14" s="476"/>
      <c r="NMA14" s="476"/>
      <c r="NMB14" s="476"/>
      <c r="NMC14" s="476"/>
      <c r="NMD14" s="476"/>
      <c r="NME14" s="477"/>
      <c r="NMF14" s="477"/>
      <c r="NMG14" s="463"/>
      <c r="NMH14" s="475"/>
      <c r="NMI14" s="476"/>
      <c r="NMJ14" s="476"/>
      <c r="NMK14" s="476"/>
      <c r="NML14" s="476"/>
      <c r="NMM14" s="476"/>
      <c r="NMN14" s="476"/>
      <c r="NMO14" s="476"/>
      <c r="NMP14" s="476"/>
      <c r="NMQ14" s="476"/>
      <c r="NMR14" s="476"/>
      <c r="NMS14" s="476"/>
      <c r="NMT14" s="476"/>
      <c r="NMU14" s="477"/>
      <c r="NMV14" s="477"/>
      <c r="NMW14" s="463"/>
      <c r="NMX14" s="475"/>
      <c r="NMY14" s="476"/>
      <c r="NMZ14" s="476"/>
      <c r="NNA14" s="476"/>
      <c r="NNB14" s="476"/>
      <c r="NNC14" s="476"/>
      <c r="NND14" s="476"/>
      <c r="NNE14" s="476"/>
      <c r="NNF14" s="476"/>
      <c r="NNG14" s="476"/>
      <c r="NNH14" s="476"/>
      <c r="NNI14" s="476"/>
      <c r="NNJ14" s="476"/>
      <c r="NNK14" s="477"/>
      <c r="NNL14" s="477"/>
      <c r="NNM14" s="463"/>
      <c r="NNN14" s="475"/>
      <c r="NNO14" s="476"/>
      <c r="NNP14" s="476"/>
      <c r="NNQ14" s="476"/>
      <c r="NNR14" s="476"/>
      <c r="NNS14" s="476"/>
      <c r="NNT14" s="476"/>
      <c r="NNU14" s="476"/>
      <c r="NNV14" s="476"/>
      <c r="NNW14" s="476"/>
      <c r="NNX14" s="476"/>
      <c r="NNY14" s="476"/>
      <c r="NNZ14" s="476"/>
      <c r="NOA14" s="477"/>
      <c r="NOB14" s="477"/>
      <c r="NOC14" s="463"/>
      <c r="NOD14" s="475"/>
      <c r="NOE14" s="476"/>
      <c r="NOF14" s="476"/>
      <c r="NOG14" s="476"/>
      <c r="NOH14" s="476"/>
      <c r="NOI14" s="476"/>
      <c r="NOJ14" s="476"/>
      <c r="NOK14" s="476"/>
      <c r="NOL14" s="476"/>
      <c r="NOM14" s="476"/>
      <c r="NON14" s="476"/>
      <c r="NOO14" s="476"/>
      <c r="NOP14" s="476"/>
      <c r="NOQ14" s="477"/>
      <c r="NOR14" s="477"/>
      <c r="NOS14" s="463"/>
      <c r="NOT14" s="475"/>
      <c r="NOU14" s="476"/>
      <c r="NOV14" s="476"/>
      <c r="NOW14" s="476"/>
      <c r="NOX14" s="476"/>
      <c r="NOY14" s="476"/>
      <c r="NOZ14" s="476"/>
      <c r="NPA14" s="476"/>
      <c r="NPB14" s="476"/>
      <c r="NPC14" s="476"/>
      <c r="NPD14" s="476"/>
      <c r="NPE14" s="476"/>
      <c r="NPF14" s="476"/>
      <c r="NPG14" s="477"/>
      <c r="NPH14" s="477"/>
      <c r="NPI14" s="463"/>
      <c r="NPJ14" s="475"/>
      <c r="NPK14" s="476"/>
      <c r="NPL14" s="476"/>
      <c r="NPM14" s="476"/>
      <c r="NPN14" s="476"/>
      <c r="NPO14" s="476"/>
      <c r="NPP14" s="476"/>
      <c r="NPQ14" s="476"/>
      <c r="NPR14" s="476"/>
      <c r="NPS14" s="476"/>
      <c r="NPT14" s="476"/>
      <c r="NPU14" s="476"/>
      <c r="NPV14" s="476"/>
      <c r="NPW14" s="477"/>
      <c r="NPX14" s="477"/>
      <c r="NPY14" s="463"/>
      <c r="NPZ14" s="475"/>
      <c r="NQA14" s="476"/>
      <c r="NQB14" s="476"/>
      <c r="NQC14" s="476"/>
      <c r="NQD14" s="476"/>
      <c r="NQE14" s="476"/>
      <c r="NQF14" s="476"/>
      <c r="NQG14" s="476"/>
      <c r="NQH14" s="476"/>
      <c r="NQI14" s="476"/>
      <c r="NQJ14" s="476"/>
      <c r="NQK14" s="476"/>
      <c r="NQL14" s="476"/>
      <c r="NQM14" s="477"/>
      <c r="NQN14" s="477"/>
      <c r="NQO14" s="463"/>
      <c r="NQP14" s="475"/>
      <c r="NQQ14" s="476"/>
      <c r="NQR14" s="476"/>
      <c r="NQS14" s="476"/>
      <c r="NQT14" s="476"/>
      <c r="NQU14" s="476"/>
      <c r="NQV14" s="476"/>
      <c r="NQW14" s="476"/>
      <c r="NQX14" s="476"/>
      <c r="NQY14" s="476"/>
      <c r="NQZ14" s="476"/>
      <c r="NRA14" s="476"/>
      <c r="NRB14" s="476"/>
      <c r="NRC14" s="477"/>
      <c r="NRD14" s="477"/>
      <c r="NRE14" s="463"/>
      <c r="NRF14" s="475"/>
      <c r="NRG14" s="476"/>
      <c r="NRH14" s="476"/>
      <c r="NRI14" s="476"/>
      <c r="NRJ14" s="476"/>
      <c r="NRK14" s="476"/>
      <c r="NRL14" s="476"/>
      <c r="NRM14" s="476"/>
      <c r="NRN14" s="476"/>
      <c r="NRO14" s="476"/>
      <c r="NRP14" s="476"/>
      <c r="NRQ14" s="476"/>
      <c r="NRR14" s="476"/>
      <c r="NRS14" s="477"/>
      <c r="NRT14" s="477"/>
      <c r="NRU14" s="463"/>
      <c r="NRV14" s="475"/>
      <c r="NRW14" s="476"/>
      <c r="NRX14" s="476"/>
      <c r="NRY14" s="476"/>
      <c r="NRZ14" s="476"/>
      <c r="NSA14" s="476"/>
      <c r="NSB14" s="476"/>
      <c r="NSC14" s="476"/>
      <c r="NSD14" s="476"/>
      <c r="NSE14" s="476"/>
      <c r="NSF14" s="476"/>
      <c r="NSG14" s="476"/>
      <c r="NSH14" s="476"/>
      <c r="NSI14" s="477"/>
      <c r="NSJ14" s="477"/>
      <c r="NSK14" s="463"/>
      <c r="NSL14" s="475"/>
      <c r="NSM14" s="476"/>
      <c r="NSN14" s="476"/>
      <c r="NSO14" s="476"/>
      <c r="NSP14" s="476"/>
      <c r="NSQ14" s="476"/>
      <c r="NSR14" s="476"/>
      <c r="NSS14" s="476"/>
      <c r="NST14" s="476"/>
      <c r="NSU14" s="476"/>
      <c r="NSV14" s="476"/>
      <c r="NSW14" s="476"/>
      <c r="NSX14" s="476"/>
      <c r="NSY14" s="477"/>
      <c r="NSZ14" s="477"/>
      <c r="NTA14" s="463"/>
      <c r="NTB14" s="475"/>
      <c r="NTC14" s="476"/>
      <c r="NTD14" s="476"/>
      <c r="NTE14" s="476"/>
      <c r="NTF14" s="476"/>
      <c r="NTG14" s="476"/>
      <c r="NTH14" s="476"/>
      <c r="NTI14" s="476"/>
      <c r="NTJ14" s="476"/>
      <c r="NTK14" s="476"/>
      <c r="NTL14" s="476"/>
      <c r="NTM14" s="476"/>
      <c r="NTN14" s="476"/>
      <c r="NTO14" s="477"/>
      <c r="NTP14" s="477"/>
      <c r="NTQ14" s="463"/>
      <c r="NTR14" s="475"/>
      <c r="NTS14" s="476"/>
      <c r="NTT14" s="476"/>
      <c r="NTU14" s="476"/>
      <c r="NTV14" s="476"/>
      <c r="NTW14" s="476"/>
      <c r="NTX14" s="476"/>
      <c r="NTY14" s="476"/>
      <c r="NTZ14" s="476"/>
      <c r="NUA14" s="476"/>
      <c r="NUB14" s="476"/>
      <c r="NUC14" s="476"/>
      <c r="NUD14" s="476"/>
      <c r="NUE14" s="477"/>
      <c r="NUF14" s="477"/>
      <c r="NUG14" s="463"/>
      <c r="NUH14" s="475"/>
      <c r="NUI14" s="476"/>
      <c r="NUJ14" s="476"/>
      <c r="NUK14" s="476"/>
      <c r="NUL14" s="476"/>
      <c r="NUM14" s="476"/>
      <c r="NUN14" s="476"/>
      <c r="NUO14" s="476"/>
      <c r="NUP14" s="476"/>
      <c r="NUQ14" s="476"/>
      <c r="NUR14" s="476"/>
      <c r="NUS14" s="476"/>
      <c r="NUT14" s="476"/>
      <c r="NUU14" s="477"/>
      <c r="NUV14" s="477"/>
      <c r="NUW14" s="463"/>
      <c r="NUX14" s="475"/>
      <c r="NUY14" s="476"/>
      <c r="NUZ14" s="476"/>
      <c r="NVA14" s="476"/>
      <c r="NVB14" s="476"/>
      <c r="NVC14" s="476"/>
      <c r="NVD14" s="476"/>
      <c r="NVE14" s="476"/>
      <c r="NVF14" s="476"/>
      <c r="NVG14" s="476"/>
      <c r="NVH14" s="476"/>
      <c r="NVI14" s="476"/>
      <c r="NVJ14" s="476"/>
      <c r="NVK14" s="477"/>
      <c r="NVL14" s="477"/>
      <c r="NVM14" s="463"/>
      <c r="NVN14" s="475"/>
      <c r="NVO14" s="476"/>
      <c r="NVP14" s="476"/>
      <c r="NVQ14" s="476"/>
      <c r="NVR14" s="476"/>
      <c r="NVS14" s="476"/>
      <c r="NVT14" s="476"/>
      <c r="NVU14" s="476"/>
      <c r="NVV14" s="476"/>
      <c r="NVW14" s="476"/>
      <c r="NVX14" s="476"/>
      <c r="NVY14" s="476"/>
      <c r="NVZ14" s="476"/>
      <c r="NWA14" s="477"/>
      <c r="NWB14" s="477"/>
      <c r="NWC14" s="463"/>
      <c r="NWD14" s="475"/>
      <c r="NWE14" s="476"/>
      <c r="NWF14" s="476"/>
      <c r="NWG14" s="476"/>
      <c r="NWH14" s="476"/>
      <c r="NWI14" s="476"/>
      <c r="NWJ14" s="476"/>
      <c r="NWK14" s="476"/>
      <c r="NWL14" s="476"/>
      <c r="NWM14" s="476"/>
      <c r="NWN14" s="476"/>
      <c r="NWO14" s="476"/>
      <c r="NWP14" s="476"/>
      <c r="NWQ14" s="477"/>
      <c r="NWR14" s="477"/>
      <c r="NWS14" s="463"/>
      <c r="NWT14" s="475"/>
      <c r="NWU14" s="476"/>
      <c r="NWV14" s="476"/>
      <c r="NWW14" s="476"/>
      <c r="NWX14" s="476"/>
      <c r="NWY14" s="476"/>
      <c r="NWZ14" s="476"/>
      <c r="NXA14" s="476"/>
      <c r="NXB14" s="476"/>
      <c r="NXC14" s="476"/>
      <c r="NXD14" s="476"/>
      <c r="NXE14" s="476"/>
      <c r="NXF14" s="476"/>
      <c r="NXG14" s="477"/>
      <c r="NXH14" s="477"/>
      <c r="NXI14" s="463"/>
      <c r="NXJ14" s="475"/>
      <c r="NXK14" s="476"/>
      <c r="NXL14" s="476"/>
      <c r="NXM14" s="476"/>
      <c r="NXN14" s="476"/>
      <c r="NXO14" s="476"/>
      <c r="NXP14" s="476"/>
      <c r="NXQ14" s="476"/>
      <c r="NXR14" s="476"/>
      <c r="NXS14" s="476"/>
      <c r="NXT14" s="476"/>
      <c r="NXU14" s="476"/>
      <c r="NXV14" s="476"/>
      <c r="NXW14" s="477"/>
      <c r="NXX14" s="477"/>
      <c r="NXY14" s="463"/>
      <c r="NXZ14" s="475"/>
      <c r="NYA14" s="476"/>
      <c r="NYB14" s="476"/>
      <c r="NYC14" s="476"/>
      <c r="NYD14" s="476"/>
      <c r="NYE14" s="476"/>
      <c r="NYF14" s="476"/>
      <c r="NYG14" s="476"/>
      <c r="NYH14" s="476"/>
      <c r="NYI14" s="476"/>
      <c r="NYJ14" s="476"/>
      <c r="NYK14" s="476"/>
      <c r="NYL14" s="476"/>
      <c r="NYM14" s="477"/>
      <c r="NYN14" s="477"/>
      <c r="NYO14" s="463"/>
      <c r="NYP14" s="475"/>
      <c r="NYQ14" s="476"/>
      <c r="NYR14" s="476"/>
      <c r="NYS14" s="476"/>
      <c r="NYT14" s="476"/>
      <c r="NYU14" s="476"/>
      <c r="NYV14" s="476"/>
      <c r="NYW14" s="476"/>
      <c r="NYX14" s="476"/>
      <c r="NYY14" s="476"/>
      <c r="NYZ14" s="476"/>
      <c r="NZA14" s="476"/>
      <c r="NZB14" s="476"/>
      <c r="NZC14" s="477"/>
      <c r="NZD14" s="477"/>
      <c r="NZE14" s="463"/>
      <c r="NZF14" s="475"/>
      <c r="NZG14" s="476"/>
      <c r="NZH14" s="476"/>
      <c r="NZI14" s="476"/>
      <c r="NZJ14" s="476"/>
      <c r="NZK14" s="476"/>
      <c r="NZL14" s="476"/>
      <c r="NZM14" s="476"/>
      <c r="NZN14" s="476"/>
      <c r="NZO14" s="476"/>
      <c r="NZP14" s="476"/>
      <c r="NZQ14" s="476"/>
      <c r="NZR14" s="476"/>
      <c r="NZS14" s="477"/>
      <c r="NZT14" s="477"/>
      <c r="NZU14" s="463"/>
      <c r="NZV14" s="475"/>
      <c r="NZW14" s="476"/>
      <c r="NZX14" s="476"/>
      <c r="NZY14" s="476"/>
      <c r="NZZ14" s="476"/>
      <c r="OAA14" s="476"/>
      <c r="OAB14" s="476"/>
      <c r="OAC14" s="476"/>
      <c r="OAD14" s="476"/>
      <c r="OAE14" s="476"/>
      <c r="OAF14" s="476"/>
      <c r="OAG14" s="476"/>
      <c r="OAH14" s="476"/>
      <c r="OAI14" s="477"/>
      <c r="OAJ14" s="477"/>
      <c r="OAK14" s="463"/>
      <c r="OAL14" s="475"/>
      <c r="OAM14" s="476"/>
      <c r="OAN14" s="476"/>
      <c r="OAO14" s="476"/>
      <c r="OAP14" s="476"/>
      <c r="OAQ14" s="476"/>
      <c r="OAR14" s="476"/>
      <c r="OAS14" s="476"/>
      <c r="OAT14" s="476"/>
      <c r="OAU14" s="476"/>
      <c r="OAV14" s="476"/>
      <c r="OAW14" s="476"/>
      <c r="OAX14" s="476"/>
      <c r="OAY14" s="477"/>
      <c r="OAZ14" s="477"/>
      <c r="OBA14" s="463"/>
      <c r="OBB14" s="475"/>
      <c r="OBC14" s="476"/>
      <c r="OBD14" s="476"/>
      <c r="OBE14" s="476"/>
      <c r="OBF14" s="476"/>
      <c r="OBG14" s="476"/>
      <c r="OBH14" s="476"/>
      <c r="OBI14" s="476"/>
      <c r="OBJ14" s="476"/>
      <c r="OBK14" s="476"/>
      <c r="OBL14" s="476"/>
      <c r="OBM14" s="476"/>
      <c r="OBN14" s="476"/>
      <c r="OBO14" s="477"/>
      <c r="OBP14" s="477"/>
      <c r="OBQ14" s="463"/>
      <c r="OBR14" s="475"/>
      <c r="OBS14" s="476"/>
      <c r="OBT14" s="476"/>
      <c r="OBU14" s="476"/>
      <c r="OBV14" s="476"/>
      <c r="OBW14" s="476"/>
      <c r="OBX14" s="476"/>
      <c r="OBY14" s="476"/>
      <c r="OBZ14" s="476"/>
      <c r="OCA14" s="476"/>
      <c r="OCB14" s="476"/>
      <c r="OCC14" s="476"/>
      <c r="OCD14" s="476"/>
      <c r="OCE14" s="477"/>
      <c r="OCF14" s="477"/>
      <c r="OCG14" s="463"/>
      <c r="OCH14" s="475"/>
      <c r="OCI14" s="476"/>
      <c r="OCJ14" s="476"/>
      <c r="OCK14" s="476"/>
      <c r="OCL14" s="476"/>
      <c r="OCM14" s="476"/>
      <c r="OCN14" s="476"/>
      <c r="OCO14" s="476"/>
      <c r="OCP14" s="476"/>
      <c r="OCQ14" s="476"/>
      <c r="OCR14" s="476"/>
      <c r="OCS14" s="476"/>
      <c r="OCT14" s="476"/>
      <c r="OCU14" s="477"/>
      <c r="OCV14" s="477"/>
      <c r="OCW14" s="463"/>
      <c r="OCX14" s="475"/>
      <c r="OCY14" s="476"/>
      <c r="OCZ14" s="476"/>
      <c r="ODA14" s="476"/>
      <c r="ODB14" s="476"/>
      <c r="ODC14" s="476"/>
      <c r="ODD14" s="476"/>
      <c r="ODE14" s="476"/>
      <c r="ODF14" s="476"/>
      <c r="ODG14" s="476"/>
      <c r="ODH14" s="476"/>
      <c r="ODI14" s="476"/>
      <c r="ODJ14" s="476"/>
      <c r="ODK14" s="477"/>
      <c r="ODL14" s="477"/>
      <c r="ODM14" s="463"/>
      <c r="ODN14" s="475"/>
      <c r="ODO14" s="476"/>
      <c r="ODP14" s="476"/>
      <c r="ODQ14" s="476"/>
      <c r="ODR14" s="476"/>
      <c r="ODS14" s="476"/>
      <c r="ODT14" s="476"/>
      <c r="ODU14" s="476"/>
      <c r="ODV14" s="476"/>
      <c r="ODW14" s="476"/>
      <c r="ODX14" s="476"/>
      <c r="ODY14" s="476"/>
      <c r="ODZ14" s="476"/>
      <c r="OEA14" s="477"/>
      <c r="OEB14" s="477"/>
      <c r="OEC14" s="463"/>
      <c r="OED14" s="475"/>
      <c r="OEE14" s="476"/>
      <c r="OEF14" s="476"/>
      <c r="OEG14" s="476"/>
      <c r="OEH14" s="476"/>
      <c r="OEI14" s="476"/>
      <c r="OEJ14" s="476"/>
      <c r="OEK14" s="476"/>
      <c r="OEL14" s="476"/>
      <c r="OEM14" s="476"/>
      <c r="OEN14" s="476"/>
      <c r="OEO14" s="476"/>
      <c r="OEP14" s="476"/>
      <c r="OEQ14" s="477"/>
      <c r="OER14" s="477"/>
      <c r="OES14" s="463"/>
      <c r="OET14" s="475"/>
      <c r="OEU14" s="476"/>
      <c r="OEV14" s="476"/>
      <c r="OEW14" s="476"/>
      <c r="OEX14" s="476"/>
      <c r="OEY14" s="476"/>
      <c r="OEZ14" s="476"/>
      <c r="OFA14" s="476"/>
      <c r="OFB14" s="476"/>
      <c r="OFC14" s="476"/>
      <c r="OFD14" s="476"/>
      <c r="OFE14" s="476"/>
      <c r="OFF14" s="476"/>
      <c r="OFG14" s="477"/>
      <c r="OFH14" s="477"/>
      <c r="OFI14" s="463"/>
      <c r="OFJ14" s="475"/>
      <c r="OFK14" s="476"/>
      <c r="OFL14" s="476"/>
      <c r="OFM14" s="476"/>
      <c r="OFN14" s="476"/>
      <c r="OFO14" s="476"/>
      <c r="OFP14" s="476"/>
      <c r="OFQ14" s="476"/>
      <c r="OFR14" s="476"/>
      <c r="OFS14" s="476"/>
      <c r="OFT14" s="476"/>
      <c r="OFU14" s="476"/>
      <c r="OFV14" s="476"/>
      <c r="OFW14" s="477"/>
      <c r="OFX14" s="477"/>
      <c r="OFY14" s="463"/>
      <c r="OFZ14" s="475"/>
      <c r="OGA14" s="476"/>
      <c r="OGB14" s="476"/>
      <c r="OGC14" s="476"/>
      <c r="OGD14" s="476"/>
      <c r="OGE14" s="476"/>
      <c r="OGF14" s="476"/>
      <c r="OGG14" s="476"/>
      <c r="OGH14" s="476"/>
      <c r="OGI14" s="476"/>
      <c r="OGJ14" s="476"/>
      <c r="OGK14" s="476"/>
      <c r="OGL14" s="476"/>
      <c r="OGM14" s="477"/>
      <c r="OGN14" s="477"/>
      <c r="OGO14" s="463"/>
      <c r="OGP14" s="475"/>
      <c r="OGQ14" s="476"/>
      <c r="OGR14" s="476"/>
      <c r="OGS14" s="476"/>
      <c r="OGT14" s="476"/>
      <c r="OGU14" s="476"/>
      <c r="OGV14" s="476"/>
      <c r="OGW14" s="476"/>
      <c r="OGX14" s="476"/>
      <c r="OGY14" s="476"/>
      <c r="OGZ14" s="476"/>
      <c r="OHA14" s="476"/>
      <c r="OHB14" s="476"/>
      <c r="OHC14" s="477"/>
      <c r="OHD14" s="477"/>
      <c r="OHE14" s="463"/>
      <c r="OHF14" s="475"/>
      <c r="OHG14" s="476"/>
      <c r="OHH14" s="476"/>
      <c r="OHI14" s="476"/>
      <c r="OHJ14" s="476"/>
      <c r="OHK14" s="476"/>
      <c r="OHL14" s="476"/>
      <c r="OHM14" s="476"/>
      <c r="OHN14" s="476"/>
      <c r="OHO14" s="476"/>
      <c r="OHP14" s="476"/>
      <c r="OHQ14" s="476"/>
      <c r="OHR14" s="476"/>
      <c r="OHS14" s="477"/>
      <c r="OHT14" s="477"/>
      <c r="OHU14" s="463"/>
      <c r="OHV14" s="475"/>
      <c r="OHW14" s="476"/>
      <c r="OHX14" s="476"/>
      <c r="OHY14" s="476"/>
      <c r="OHZ14" s="476"/>
      <c r="OIA14" s="476"/>
      <c r="OIB14" s="476"/>
      <c r="OIC14" s="476"/>
      <c r="OID14" s="476"/>
      <c r="OIE14" s="476"/>
      <c r="OIF14" s="476"/>
      <c r="OIG14" s="476"/>
      <c r="OIH14" s="476"/>
      <c r="OII14" s="477"/>
      <c r="OIJ14" s="477"/>
      <c r="OIK14" s="463"/>
      <c r="OIL14" s="475"/>
      <c r="OIM14" s="476"/>
      <c r="OIN14" s="476"/>
      <c r="OIO14" s="476"/>
      <c r="OIP14" s="476"/>
      <c r="OIQ14" s="476"/>
      <c r="OIR14" s="476"/>
      <c r="OIS14" s="476"/>
      <c r="OIT14" s="476"/>
      <c r="OIU14" s="476"/>
      <c r="OIV14" s="476"/>
      <c r="OIW14" s="476"/>
      <c r="OIX14" s="476"/>
      <c r="OIY14" s="477"/>
      <c r="OIZ14" s="477"/>
      <c r="OJA14" s="463"/>
      <c r="OJB14" s="475"/>
      <c r="OJC14" s="476"/>
      <c r="OJD14" s="476"/>
      <c r="OJE14" s="476"/>
      <c r="OJF14" s="476"/>
      <c r="OJG14" s="476"/>
      <c r="OJH14" s="476"/>
      <c r="OJI14" s="476"/>
      <c r="OJJ14" s="476"/>
      <c r="OJK14" s="476"/>
      <c r="OJL14" s="476"/>
      <c r="OJM14" s="476"/>
      <c r="OJN14" s="476"/>
      <c r="OJO14" s="477"/>
      <c r="OJP14" s="477"/>
      <c r="OJQ14" s="463"/>
      <c r="OJR14" s="475"/>
      <c r="OJS14" s="476"/>
      <c r="OJT14" s="476"/>
      <c r="OJU14" s="476"/>
      <c r="OJV14" s="476"/>
      <c r="OJW14" s="476"/>
      <c r="OJX14" s="476"/>
      <c r="OJY14" s="476"/>
      <c r="OJZ14" s="476"/>
      <c r="OKA14" s="476"/>
      <c r="OKB14" s="476"/>
      <c r="OKC14" s="476"/>
      <c r="OKD14" s="476"/>
      <c r="OKE14" s="477"/>
      <c r="OKF14" s="477"/>
      <c r="OKG14" s="463"/>
      <c r="OKH14" s="475"/>
      <c r="OKI14" s="476"/>
      <c r="OKJ14" s="476"/>
      <c r="OKK14" s="476"/>
      <c r="OKL14" s="476"/>
      <c r="OKM14" s="476"/>
      <c r="OKN14" s="476"/>
      <c r="OKO14" s="476"/>
      <c r="OKP14" s="476"/>
      <c r="OKQ14" s="476"/>
      <c r="OKR14" s="476"/>
      <c r="OKS14" s="476"/>
      <c r="OKT14" s="476"/>
      <c r="OKU14" s="477"/>
      <c r="OKV14" s="477"/>
      <c r="OKW14" s="463"/>
      <c r="OKX14" s="475"/>
      <c r="OKY14" s="476"/>
      <c r="OKZ14" s="476"/>
      <c r="OLA14" s="476"/>
      <c r="OLB14" s="476"/>
      <c r="OLC14" s="476"/>
      <c r="OLD14" s="476"/>
      <c r="OLE14" s="476"/>
      <c r="OLF14" s="476"/>
      <c r="OLG14" s="476"/>
      <c r="OLH14" s="476"/>
      <c r="OLI14" s="476"/>
      <c r="OLJ14" s="476"/>
      <c r="OLK14" s="477"/>
      <c r="OLL14" s="477"/>
      <c r="OLM14" s="463"/>
      <c r="OLN14" s="475"/>
      <c r="OLO14" s="476"/>
      <c r="OLP14" s="476"/>
      <c r="OLQ14" s="476"/>
      <c r="OLR14" s="476"/>
      <c r="OLS14" s="476"/>
      <c r="OLT14" s="476"/>
      <c r="OLU14" s="476"/>
      <c r="OLV14" s="476"/>
      <c r="OLW14" s="476"/>
      <c r="OLX14" s="476"/>
      <c r="OLY14" s="476"/>
      <c r="OLZ14" s="476"/>
      <c r="OMA14" s="477"/>
      <c r="OMB14" s="477"/>
      <c r="OMC14" s="463"/>
      <c r="OMD14" s="475"/>
      <c r="OME14" s="476"/>
      <c r="OMF14" s="476"/>
      <c r="OMG14" s="476"/>
      <c r="OMH14" s="476"/>
      <c r="OMI14" s="476"/>
      <c r="OMJ14" s="476"/>
      <c r="OMK14" s="476"/>
      <c r="OML14" s="476"/>
      <c r="OMM14" s="476"/>
      <c r="OMN14" s="476"/>
      <c r="OMO14" s="476"/>
      <c r="OMP14" s="476"/>
      <c r="OMQ14" s="477"/>
      <c r="OMR14" s="477"/>
      <c r="OMS14" s="463"/>
      <c r="OMT14" s="475"/>
      <c r="OMU14" s="476"/>
      <c r="OMV14" s="476"/>
      <c r="OMW14" s="476"/>
      <c r="OMX14" s="476"/>
      <c r="OMY14" s="476"/>
      <c r="OMZ14" s="476"/>
      <c r="ONA14" s="476"/>
      <c r="ONB14" s="476"/>
      <c r="ONC14" s="476"/>
      <c r="OND14" s="476"/>
      <c r="ONE14" s="476"/>
      <c r="ONF14" s="476"/>
      <c r="ONG14" s="477"/>
      <c r="ONH14" s="477"/>
      <c r="ONI14" s="463"/>
      <c r="ONJ14" s="475"/>
      <c r="ONK14" s="476"/>
      <c r="ONL14" s="476"/>
      <c r="ONM14" s="476"/>
      <c r="ONN14" s="476"/>
      <c r="ONO14" s="476"/>
      <c r="ONP14" s="476"/>
      <c r="ONQ14" s="476"/>
      <c r="ONR14" s="476"/>
      <c r="ONS14" s="476"/>
      <c r="ONT14" s="476"/>
      <c r="ONU14" s="476"/>
      <c r="ONV14" s="476"/>
      <c r="ONW14" s="477"/>
      <c r="ONX14" s="477"/>
      <c r="ONY14" s="463"/>
      <c r="ONZ14" s="475"/>
      <c r="OOA14" s="476"/>
      <c r="OOB14" s="476"/>
      <c r="OOC14" s="476"/>
      <c r="OOD14" s="476"/>
      <c r="OOE14" s="476"/>
      <c r="OOF14" s="476"/>
      <c r="OOG14" s="476"/>
      <c r="OOH14" s="476"/>
      <c r="OOI14" s="476"/>
      <c r="OOJ14" s="476"/>
      <c r="OOK14" s="476"/>
      <c r="OOL14" s="476"/>
      <c r="OOM14" s="477"/>
      <c r="OON14" s="477"/>
      <c r="OOO14" s="463"/>
      <c r="OOP14" s="475"/>
      <c r="OOQ14" s="476"/>
      <c r="OOR14" s="476"/>
      <c r="OOS14" s="476"/>
      <c r="OOT14" s="476"/>
      <c r="OOU14" s="476"/>
      <c r="OOV14" s="476"/>
      <c r="OOW14" s="476"/>
      <c r="OOX14" s="476"/>
      <c r="OOY14" s="476"/>
      <c r="OOZ14" s="476"/>
      <c r="OPA14" s="476"/>
      <c r="OPB14" s="476"/>
      <c r="OPC14" s="477"/>
      <c r="OPD14" s="477"/>
      <c r="OPE14" s="463"/>
      <c r="OPF14" s="475"/>
      <c r="OPG14" s="476"/>
      <c r="OPH14" s="476"/>
      <c r="OPI14" s="476"/>
      <c r="OPJ14" s="476"/>
      <c r="OPK14" s="476"/>
      <c r="OPL14" s="476"/>
      <c r="OPM14" s="476"/>
      <c r="OPN14" s="476"/>
      <c r="OPO14" s="476"/>
      <c r="OPP14" s="476"/>
      <c r="OPQ14" s="476"/>
      <c r="OPR14" s="476"/>
      <c r="OPS14" s="477"/>
      <c r="OPT14" s="477"/>
      <c r="OPU14" s="463"/>
      <c r="OPV14" s="475"/>
      <c r="OPW14" s="476"/>
      <c r="OPX14" s="476"/>
      <c r="OPY14" s="476"/>
      <c r="OPZ14" s="476"/>
      <c r="OQA14" s="476"/>
      <c r="OQB14" s="476"/>
      <c r="OQC14" s="476"/>
      <c r="OQD14" s="476"/>
      <c r="OQE14" s="476"/>
      <c r="OQF14" s="476"/>
      <c r="OQG14" s="476"/>
      <c r="OQH14" s="476"/>
      <c r="OQI14" s="477"/>
      <c r="OQJ14" s="477"/>
      <c r="OQK14" s="463"/>
      <c r="OQL14" s="475"/>
      <c r="OQM14" s="476"/>
      <c r="OQN14" s="476"/>
      <c r="OQO14" s="476"/>
      <c r="OQP14" s="476"/>
      <c r="OQQ14" s="476"/>
      <c r="OQR14" s="476"/>
      <c r="OQS14" s="476"/>
      <c r="OQT14" s="476"/>
      <c r="OQU14" s="476"/>
      <c r="OQV14" s="476"/>
      <c r="OQW14" s="476"/>
      <c r="OQX14" s="476"/>
      <c r="OQY14" s="477"/>
      <c r="OQZ14" s="477"/>
      <c r="ORA14" s="463"/>
      <c r="ORB14" s="475"/>
      <c r="ORC14" s="476"/>
      <c r="ORD14" s="476"/>
      <c r="ORE14" s="476"/>
      <c r="ORF14" s="476"/>
      <c r="ORG14" s="476"/>
      <c r="ORH14" s="476"/>
      <c r="ORI14" s="476"/>
      <c r="ORJ14" s="476"/>
      <c r="ORK14" s="476"/>
      <c r="ORL14" s="476"/>
      <c r="ORM14" s="476"/>
      <c r="ORN14" s="476"/>
      <c r="ORO14" s="477"/>
      <c r="ORP14" s="477"/>
      <c r="ORQ14" s="463"/>
      <c r="ORR14" s="475"/>
      <c r="ORS14" s="476"/>
      <c r="ORT14" s="476"/>
      <c r="ORU14" s="476"/>
      <c r="ORV14" s="476"/>
      <c r="ORW14" s="476"/>
      <c r="ORX14" s="476"/>
      <c r="ORY14" s="476"/>
      <c r="ORZ14" s="476"/>
      <c r="OSA14" s="476"/>
      <c r="OSB14" s="476"/>
      <c r="OSC14" s="476"/>
      <c r="OSD14" s="476"/>
      <c r="OSE14" s="477"/>
      <c r="OSF14" s="477"/>
      <c r="OSG14" s="463"/>
      <c r="OSH14" s="475"/>
      <c r="OSI14" s="476"/>
      <c r="OSJ14" s="476"/>
      <c r="OSK14" s="476"/>
      <c r="OSL14" s="476"/>
      <c r="OSM14" s="476"/>
      <c r="OSN14" s="476"/>
      <c r="OSO14" s="476"/>
      <c r="OSP14" s="476"/>
      <c r="OSQ14" s="476"/>
      <c r="OSR14" s="476"/>
      <c r="OSS14" s="476"/>
      <c r="OST14" s="476"/>
      <c r="OSU14" s="477"/>
      <c r="OSV14" s="477"/>
      <c r="OSW14" s="463"/>
      <c r="OSX14" s="475"/>
      <c r="OSY14" s="476"/>
      <c r="OSZ14" s="476"/>
      <c r="OTA14" s="476"/>
      <c r="OTB14" s="476"/>
      <c r="OTC14" s="476"/>
      <c r="OTD14" s="476"/>
      <c r="OTE14" s="476"/>
      <c r="OTF14" s="476"/>
      <c r="OTG14" s="476"/>
      <c r="OTH14" s="476"/>
      <c r="OTI14" s="476"/>
      <c r="OTJ14" s="476"/>
      <c r="OTK14" s="477"/>
      <c r="OTL14" s="477"/>
      <c r="OTM14" s="463"/>
      <c r="OTN14" s="475"/>
      <c r="OTO14" s="476"/>
      <c r="OTP14" s="476"/>
      <c r="OTQ14" s="476"/>
      <c r="OTR14" s="476"/>
      <c r="OTS14" s="476"/>
      <c r="OTT14" s="476"/>
      <c r="OTU14" s="476"/>
      <c r="OTV14" s="476"/>
      <c r="OTW14" s="476"/>
      <c r="OTX14" s="476"/>
      <c r="OTY14" s="476"/>
      <c r="OTZ14" s="476"/>
      <c r="OUA14" s="477"/>
      <c r="OUB14" s="477"/>
      <c r="OUC14" s="463"/>
      <c r="OUD14" s="475"/>
      <c r="OUE14" s="476"/>
      <c r="OUF14" s="476"/>
      <c r="OUG14" s="476"/>
      <c r="OUH14" s="476"/>
      <c r="OUI14" s="476"/>
      <c r="OUJ14" s="476"/>
      <c r="OUK14" s="476"/>
      <c r="OUL14" s="476"/>
      <c r="OUM14" s="476"/>
      <c r="OUN14" s="476"/>
      <c r="OUO14" s="476"/>
      <c r="OUP14" s="476"/>
      <c r="OUQ14" s="477"/>
      <c r="OUR14" s="477"/>
      <c r="OUS14" s="463"/>
      <c r="OUT14" s="475"/>
      <c r="OUU14" s="476"/>
      <c r="OUV14" s="476"/>
      <c r="OUW14" s="476"/>
      <c r="OUX14" s="476"/>
      <c r="OUY14" s="476"/>
      <c r="OUZ14" s="476"/>
      <c r="OVA14" s="476"/>
      <c r="OVB14" s="476"/>
      <c r="OVC14" s="476"/>
      <c r="OVD14" s="476"/>
      <c r="OVE14" s="476"/>
      <c r="OVF14" s="476"/>
      <c r="OVG14" s="477"/>
      <c r="OVH14" s="477"/>
      <c r="OVI14" s="463"/>
      <c r="OVJ14" s="475"/>
      <c r="OVK14" s="476"/>
      <c r="OVL14" s="476"/>
      <c r="OVM14" s="476"/>
      <c r="OVN14" s="476"/>
      <c r="OVO14" s="476"/>
      <c r="OVP14" s="476"/>
      <c r="OVQ14" s="476"/>
      <c r="OVR14" s="476"/>
      <c r="OVS14" s="476"/>
      <c r="OVT14" s="476"/>
      <c r="OVU14" s="476"/>
      <c r="OVV14" s="476"/>
      <c r="OVW14" s="477"/>
      <c r="OVX14" s="477"/>
      <c r="OVY14" s="463"/>
      <c r="OVZ14" s="475"/>
      <c r="OWA14" s="476"/>
      <c r="OWB14" s="476"/>
      <c r="OWC14" s="476"/>
      <c r="OWD14" s="476"/>
      <c r="OWE14" s="476"/>
      <c r="OWF14" s="476"/>
      <c r="OWG14" s="476"/>
      <c r="OWH14" s="476"/>
      <c r="OWI14" s="476"/>
      <c r="OWJ14" s="476"/>
      <c r="OWK14" s="476"/>
      <c r="OWL14" s="476"/>
      <c r="OWM14" s="477"/>
      <c r="OWN14" s="477"/>
      <c r="OWO14" s="463"/>
      <c r="OWP14" s="475"/>
      <c r="OWQ14" s="476"/>
      <c r="OWR14" s="476"/>
      <c r="OWS14" s="476"/>
      <c r="OWT14" s="476"/>
      <c r="OWU14" s="476"/>
      <c r="OWV14" s="476"/>
      <c r="OWW14" s="476"/>
      <c r="OWX14" s="476"/>
      <c r="OWY14" s="476"/>
      <c r="OWZ14" s="476"/>
      <c r="OXA14" s="476"/>
      <c r="OXB14" s="476"/>
      <c r="OXC14" s="477"/>
      <c r="OXD14" s="477"/>
      <c r="OXE14" s="463"/>
      <c r="OXF14" s="475"/>
      <c r="OXG14" s="476"/>
      <c r="OXH14" s="476"/>
      <c r="OXI14" s="476"/>
      <c r="OXJ14" s="476"/>
      <c r="OXK14" s="476"/>
      <c r="OXL14" s="476"/>
      <c r="OXM14" s="476"/>
      <c r="OXN14" s="476"/>
      <c r="OXO14" s="476"/>
      <c r="OXP14" s="476"/>
      <c r="OXQ14" s="476"/>
      <c r="OXR14" s="476"/>
      <c r="OXS14" s="477"/>
      <c r="OXT14" s="477"/>
      <c r="OXU14" s="463"/>
      <c r="OXV14" s="475"/>
      <c r="OXW14" s="476"/>
      <c r="OXX14" s="476"/>
      <c r="OXY14" s="476"/>
      <c r="OXZ14" s="476"/>
      <c r="OYA14" s="476"/>
      <c r="OYB14" s="476"/>
      <c r="OYC14" s="476"/>
      <c r="OYD14" s="476"/>
      <c r="OYE14" s="476"/>
      <c r="OYF14" s="476"/>
      <c r="OYG14" s="476"/>
      <c r="OYH14" s="476"/>
      <c r="OYI14" s="477"/>
      <c r="OYJ14" s="477"/>
      <c r="OYK14" s="463"/>
      <c r="OYL14" s="475"/>
      <c r="OYM14" s="476"/>
      <c r="OYN14" s="476"/>
      <c r="OYO14" s="476"/>
      <c r="OYP14" s="476"/>
      <c r="OYQ14" s="476"/>
      <c r="OYR14" s="476"/>
      <c r="OYS14" s="476"/>
      <c r="OYT14" s="476"/>
      <c r="OYU14" s="476"/>
      <c r="OYV14" s="476"/>
      <c r="OYW14" s="476"/>
      <c r="OYX14" s="476"/>
      <c r="OYY14" s="477"/>
      <c r="OYZ14" s="477"/>
      <c r="OZA14" s="463"/>
      <c r="OZB14" s="475"/>
      <c r="OZC14" s="476"/>
      <c r="OZD14" s="476"/>
      <c r="OZE14" s="476"/>
      <c r="OZF14" s="476"/>
      <c r="OZG14" s="476"/>
      <c r="OZH14" s="476"/>
      <c r="OZI14" s="476"/>
      <c r="OZJ14" s="476"/>
      <c r="OZK14" s="476"/>
      <c r="OZL14" s="476"/>
      <c r="OZM14" s="476"/>
      <c r="OZN14" s="476"/>
      <c r="OZO14" s="477"/>
      <c r="OZP14" s="477"/>
      <c r="OZQ14" s="463"/>
      <c r="OZR14" s="475"/>
      <c r="OZS14" s="476"/>
      <c r="OZT14" s="476"/>
      <c r="OZU14" s="476"/>
      <c r="OZV14" s="476"/>
      <c r="OZW14" s="476"/>
      <c r="OZX14" s="476"/>
      <c r="OZY14" s="476"/>
      <c r="OZZ14" s="476"/>
      <c r="PAA14" s="476"/>
      <c r="PAB14" s="476"/>
      <c r="PAC14" s="476"/>
      <c r="PAD14" s="476"/>
      <c r="PAE14" s="477"/>
      <c r="PAF14" s="477"/>
      <c r="PAG14" s="463"/>
      <c r="PAH14" s="475"/>
      <c r="PAI14" s="476"/>
      <c r="PAJ14" s="476"/>
      <c r="PAK14" s="476"/>
      <c r="PAL14" s="476"/>
      <c r="PAM14" s="476"/>
      <c r="PAN14" s="476"/>
      <c r="PAO14" s="476"/>
      <c r="PAP14" s="476"/>
      <c r="PAQ14" s="476"/>
      <c r="PAR14" s="476"/>
      <c r="PAS14" s="476"/>
      <c r="PAT14" s="476"/>
      <c r="PAU14" s="477"/>
      <c r="PAV14" s="477"/>
      <c r="PAW14" s="463"/>
      <c r="PAX14" s="475"/>
      <c r="PAY14" s="476"/>
      <c r="PAZ14" s="476"/>
      <c r="PBA14" s="476"/>
      <c r="PBB14" s="476"/>
      <c r="PBC14" s="476"/>
      <c r="PBD14" s="476"/>
      <c r="PBE14" s="476"/>
      <c r="PBF14" s="476"/>
      <c r="PBG14" s="476"/>
      <c r="PBH14" s="476"/>
      <c r="PBI14" s="476"/>
      <c r="PBJ14" s="476"/>
      <c r="PBK14" s="477"/>
      <c r="PBL14" s="477"/>
      <c r="PBM14" s="463"/>
      <c r="PBN14" s="475"/>
      <c r="PBO14" s="476"/>
      <c r="PBP14" s="476"/>
      <c r="PBQ14" s="476"/>
      <c r="PBR14" s="476"/>
      <c r="PBS14" s="476"/>
      <c r="PBT14" s="476"/>
      <c r="PBU14" s="476"/>
      <c r="PBV14" s="476"/>
      <c r="PBW14" s="476"/>
      <c r="PBX14" s="476"/>
      <c r="PBY14" s="476"/>
      <c r="PBZ14" s="476"/>
      <c r="PCA14" s="477"/>
      <c r="PCB14" s="477"/>
      <c r="PCC14" s="463"/>
      <c r="PCD14" s="475"/>
      <c r="PCE14" s="476"/>
      <c r="PCF14" s="476"/>
      <c r="PCG14" s="476"/>
      <c r="PCH14" s="476"/>
      <c r="PCI14" s="476"/>
      <c r="PCJ14" s="476"/>
      <c r="PCK14" s="476"/>
      <c r="PCL14" s="476"/>
      <c r="PCM14" s="476"/>
      <c r="PCN14" s="476"/>
      <c r="PCO14" s="476"/>
      <c r="PCP14" s="476"/>
      <c r="PCQ14" s="477"/>
      <c r="PCR14" s="477"/>
      <c r="PCS14" s="463"/>
      <c r="PCT14" s="475"/>
      <c r="PCU14" s="476"/>
      <c r="PCV14" s="476"/>
      <c r="PCW14" s="476"/>
      <c r="PCX14" s="476"/>
      <c r="PCY14" s="476"/>
      <c r="PCZ14" s="476"/>
      <c r="PDA14" s="476"/>
      <c r="PDB14" s="476"/>
      <c r="PDC14" s="476"/>
      <c r="PDD14" s="476"/>
      <c r="PDE14" s="476"/>
      <c r="PDF14" s="476"/>
      <c r="PDG14" s="477"/>
      <c r="PDH14" s="477"/>
      <c r="PDI14" s="463"/>
      <c r="PDJ14" s="475"/>
      <c r="PDK14" s="476"/>
      <c r="PDL14" s="476"/>
      <c r="PDM14" s="476"/>
      <c r="PDN14" s="476"/>
      <c r="PDO14" s="476"/>
      <c r="PDP14" s="476"/>
      <c r="PDQ14" s="476"/>
      <c r="PDR14" s="476"/>
      <c r="PDS14" s="476"/>
      <c r="PDT14" s="476"/>
      <c r="PDU14" s="476"/>
      <c r="PDV14" s="476"/>
      <c r="PDW14" s="477"/>
      <c r="PDX14" s="477"/>
      <c r="PDY14" s="463"/>
      <c r="PDZ14" s="475"/>
      <c r="PEA14" s="476"/>
      <c r="PEB14" s="476"/>
      <c r="PEC14" s="476"/>
      <c r="PED14" s="476"/>
      <c r="PEE14" s="476"/>
      <c r="PEF14" s="476"/>
      <c r="PEG14" s="476"/>
      <c r="PEH14" s="476"/>
      <c r="PEI14" s="476"/>
      <c r="PEJ14" s="476"/>
      <c r="PEK14" s="476"/>
      <c r="PEL14" s="476"/>
      <c r="PEM14" s="477"/>
      <c r="PEN14" s="477"/>
      <c r="PEO14" s="463"/>
      <c r="PEP14" s="475"/>
      <c r="PEQ14" s="476"/>
      <c r="PER14" s="476"/>
      <c r="PES14" s="476"/>
      <c r="PET14" s="476"/>
      <c r="PEU14" s="476"/>
      <c r="PEV14" s="476"/>
      <c r="PEW14" s="476"/>
      <c r="PEX14" s="476"/>
      <c r="PEY14" s="476"/>
      <c r="PEZ14" s="476"/>
      <c r="PFA14" s="476"/>
      <c r="PFB14" s="476"/>
      <c r="PFC14" s="477"/>
      <c r="PFD14" s="477"/>
      <c r="PFE14" s="463"/>
      <c r="PFF14" s="475"/>
      <c r="PFG14" s="476"/>
      <c r="PFH14" s="476"/>
      <c r="PFI14" s="476"/>
      <c r="PFJ14" s="476"/>
      <c r="PFK14" s="476"/>
      <c r="PFL14" s="476"/>
      <c r="PFM14" s="476"/>
      <c r="PFN14" s="476"/>
      <c r="PFO14" s="476"/>
      <c r="PFP14" s="476"/>
      <c r="PFQ14" s="476"/>
      <c r="PFR14" s="476"/>
      <c r="PFS14" s="477"/>
      <c r="PFT14" s="477"/>
      <c r="PFU14" s="463"/>
      <c r="PFV14" s="475"/>
      <c r="PFW14" s="476"/>
      <c r="PFX14" s="476"/>
      <c r="PFY14" s="476"/>
      <c r="PFZ14" s="476"/>
      <c r="PGA14" s="476"/>
      <c r="PGB14" s="476"/>
      <c r="PGC14" s="476"/>
      <c r="PGD14" s="476"/>
      <c r="PGE14" s="476"/>
      <c r="PGF14" s="476"/>
      <c r="PGG14" s="476"/>
      <c r="PGH14" s="476"/>
      <c r="PGI14" s="477"/>
      <c r="PGJ14" s="477"/>
      <c r="PGK14" s="463"/>
      <c r="PGL14" s="475"/>
      <c r="PGM14" s="476"/>
      <c r="PGN14" s="476"/>
      <c r="PGO14" s="476"/>
      <c r="PGP14" s="476"/>
      <c r="PGQ14" s="476"/>
      <c r="PGR14" s="476"/>
      <c r="PGS14" s="476"/>
      <c r="PGT14" s="476"/>
      <c r="PGU14" s="476"/>
      <c r="PGV14" s="476"/>
      <c r="PGW14" s="476"/>
      <c r="PGX14" s="476"/>
      <c r="PGY14" s="477"/>
      <c r="PGZ14" s="477"/>
      <c r="PHA14" s="463"/>
      <c r="PHB14" s="475"/>
      <c r="PHC14" s="476"/>
      <c r="PHD14" s="476"/>
      <c r="PHE14" s="476"/>
      <c r="PHF14" s="476"/>
      <c r="PHG14" s="476"/>
      <c r="PHH14" s="476"/>
      <c r="PHI14" s="476"/>
      <c r="PHJ14" s="476"/>
      <c r="PHK14" s="476"/>
      <c r="PHL14" s="476"/>
      <c r="PHM14" s="476"/>
      <c r="PHN14" s="476"/>
      <c r="PHO14" s="477"/>
      <c r="PHP14" s="477"/>
      <c r="PHQ14" s="463"/>
      <c r="PHR14" s="475"/>
      <c r="PHS14" s="476"/>
      <c r="PHT14" s="476"/>
      <c r="PHU14" s="476"/>
      <c r="PHV14" s="476"/>
      <c r="PHW14" s="476"/>
      <c r="PHX14" s="476"/>
      <c r="PHY14" s="476"/>
      <c r="PHZ14" s="476"/>
      <c r="PIA14" s="476"/>
      <c r="PIB14" s="476"/>
      <c r="PIC14" s="476"/>
      <c r="PID14" s="476"/>
      <c r="PIE14" s="477"/>
      <c r="PIF14" s="477"/>
      <c r="PIG14" s="463"/>
      <c r="PIH14" s="475"/>
      <c r="PII14" s="476"/>
      <c r="PIJ14" s="476"/>
      <c r="PIK14" s="476"/>
      <c r="PIL14" s="476"/>
      <c r="PIM14" s="476"/>
      <c r="PIN14" s="476"/>
      <c r="PIO14" s="476"/>
      <c r="PIP14" s="476"/>
      <c r="PIQ14" s="476"/>
      <c r="PIR14" s="476"/>
      <c r="PIS14" s="476"/>
      <c r="PIT14" s="476"/>
      <c r="PIU14" s="477"/>
      <c r="PIV14" s="477"/>
      <c r="PIW14" s="463"/>
      <c r="PIX14" s="475"/>
      <c r="PIY14" s="476"/>
      <c r="PIZ14" s="476"/>
      <c r="PJA14" s="476"/>
      <c r="PJB14" s="476"/>
      <c r="PJC14" s="476"/>
      <c r="PJD14" s="476"/>
      <c r="PJE14" s="476"/>
      <c r="PJF14" s="476"/>
      <c r="PJG14" s="476"/>
      <c r="PJH14" s="476"/>
      <c r="PJI14" s="476"/>
      <c r="PJJ14" s="476"/>
      <c r="PJK14" s="477"/>
      <c r="PJL14" s="477"/>
      <c r="PJM14" s="463"/>
      <c r="PJN14" s="475"/>
      <c r="PJO14" s="476"/>
      <c r="PJP14" s="476"/>
      <c r="PJQ14" s="476"/>
      <c r="PJR14" s="476"/>
      <c r="PJS14" s="476"/>
      <c r="PJT14" s="476"/>
      <c r="PJU14" s="476"/>
      <c r="PJV14" s="476"/>
      <c r="PJW14" s="476"/>
      <c r="PJX14" s="476"/>
      <c r="PJY14" s="476"/>
      <c r="PJZ14" s="476"/>
      <c r="PKA14" s="477"/>
      <c r="PKB14" s="477"/>
      <c r="PKC14" s="463"/>
      <c r="PKD14" s="475"/>
      <c r="PKE14" s="476"/>
      <c r="PKF14" s="476"/>
      <c r="PKG14" s="476"/>
      <c r="PKH14" s="476"/>
      <c r="PKI14" s="476"/>
      <c r="PKJ14" s="476"/>
      <c r="PKK14" s="476"/>
      <c r="PKL14" s="476"/>
      <c r="PKM14" s="476"/>
      <c r="PKN14" s="476"/>
      <c r="PKO14" s="476"/>
      <c r="PKP14" s="476"/>
      <c r="PKQ14" s="477"/>
      <c r="PKR14" s="477"/>
      <c r="PKS14" s="463"/>
      <c r="PKT14" s="475"/>
      <c r="PKU14" s="476"/>
      <c r="PKV14" s="476"/>
      <c r="PKW14" s="476"/>
      <c r="PKX14" s="476"/>
      <c r="PKY14" s="476"/>
      <c r="PKZ14" s="476"/>
      <c r="PLA14" s="476"/>
      <c r="PLB14" s="476"/>
      <c r="PLC14" s="476"/>
      <c r="PLD14" s="476"/>
      <c r="PLE14" s="476"/>
      <c r="PLF14" s="476"/>
      <c r="PLG14" s="477"/>
      <c r="PLH14" s="477"/>
      <c r="PLI14" s="463"/>
      <c r="PLJ14" s="475"/>
      <c r="PLK14" s="476"/>
      <c r="PLL14" s="476"/>
      <c r="PLM14" s="476"/>
      <c r="PLN14" s="476"/>
      <c r="PLO14" s="476"/>
      <c r="PLP14" s="476"/>
      <c r="PLQ14" s="476"/>
      <c r="PLR14" s="476"/>
      <c r="PLS14" s="476"/>
      <c r="PLT14" s="476"/>
      <c r="PLU14" s="476"/>
      <c r="PLV14" s="476"/>
      <c r="PLW14" s="477"/>
      <c r="PLX14" s="477"/>
      <c r="PLY14" s="463"/>
      <c r="PLZ14" s="475"/>
      <c r="PMA14" s="476"/>
      <c r="PMB14" s="476"/>
      <c r="PMC14" s="476"/>
      <c r="PMD14" s="476"/>
      <c r="PME14" s="476"/>
      <c r="PMF14" s="476"/>
      <c r="PMG14" s="476"/>
      <c r="PMH14" s="476"/>
      <c r="PMI14" s="476"/>
      <c r="PMJ14" s="476"/>
      <c r="PMK14" s="476"/>
      <c r="PML14" s="476"/>
      <c r="PMM14" s="477"/>
      <c r="PMN14" s="477"/>
      <c r="PMO14" s="463"/>
      <c r="PMP14" s="475"/>
      <c r="PMQ14" s="476"/>
      <c r="PMR14" s="476"/>
      <c r="PMS14" s="476"/>
      <c r="PMT14" s="476"/>
      <c r="PMU14" s="476"/>
      <c r="PMV14" s="476"/>
      <c r="PMW14" s="476"/>
      <c r="PMX14" s="476"/>
      <c r="PMY14" s="476"/>
      <c r="PMZ14" s="476"/>
      <c r="PNA14" s="476"/>
      <c r="PNB14" s="476"/>
      <c r="PNC14" s="477"/>
      <c r="PND14" s="477"/>
      <c r="PNE14" s="463"/>
      <c r="PNF14" s="475"/>
      <c r="PNG14" s="476"/>
      <c r="PNH14" s="476"/>
      <c r="PNI14" s="476"/>
      <c r="PNJ14" s="476"/>
      <c r="PNK14" s="476"/>
      <c r="PNL14" s="476"/>
      <c r="PNM14" s="476"/>
      <c r="PNN14" s="476"/>
      <c r="PNO14" s="476"/>
      <c r="PNP14" s="476"/>
      <c r="PNQ14" s="476"/>
      <c r="PNR14" s="476"/>
      <c r="PNS14" s="477"/>
      <c r="PNT14" s="477"/>
      <c r="PNU14" s="463"/>
      <c r="PNV14" s="475"/>
      <c r="PNW14" s="476"/>
      <c r="PNX14" s="476"/>
      <c r="PNY14" s="476"/>
      <c r="PNZ14" s="476"/>
      <c r="POA14" s="476"/>
      <c r="POB14" s="476"/>
      <c r="POC14" s="476"/>
      <c r="POD14" s="476"/>
      <c r="POE14" s="476"/>
      <c r="POF14" s="476"/>
      <c r="POG14" s="476"/>
      <c r="POH14" s="476"/>
      <c r="POI14" s="477"/>
      <c r="POJ14" s="477"/>
      <c r="POK14" s="463"/>
      <c r="POL14" s="475"/>
      <c r="POM14" s="476"/>
      <c r="PON14" s="476"/>
      <c r="POO14" s="476"/>
      <c r="POP14" s="476"/>
      <c r="POQ14" s="476"/>
      <c r="POR14" s="476"/>
      <c r="POS14" s="476"/>
      <c r="POT14" s="476"/>
      <c r="POU14" s="476"/>
      <c r="POV14" s="476"/>
      <c r="POW14" s="476"/>
      <c r="POX14" s="476"/>
      <c r="POY14" s="477"/>
      <c r="POZ14" s="477"/>
      <c r="PPA14" s="463"/>
      <c r="PPB14" s="475"/>
      <c r="PPC14" s="476"/>
      <c r="PPD14" s="476"/>
      <c r="PPE14" s="476"/>
      <c r="PPF14" s="476"/>
      <c r="PPG14" s="476"/>
      <c r="PPH14" s="476"/>
      <c r="PPI14" s="476"/>
      <c r="PPJ14" s="476"/>
      <c r="PPK14" s="476"/>
      <c r="PPL14" s="476"/>
      <c r="PPM14" s="476"/>
      <c r="PPN14" s="476"/>
      <c r="PPO14" s="477"/>
      <c r="PPP14" s="477"/>
      <c r="PPQ14" s="463"/>
      <c r="PPR14" s="475"/>
      <c r="PPS14" s="476"/>
      <c r="PPT14" s="476"/>
      <c r="PPU14" s="476"/>
      <c r="PPV14" s="476"/>
      <c r="PPW14" s="476"/>
      <c r="PPX14" s="476"/>
      <c r="PPY14" s="476"/>
      <c r="PPZ14" s="476"/>
      <c r="PQA14" s="476"/>
      <c r="PQB14" s="476"/>
      <c r="PQC14" s="476"/>
      <c r="PQD14" s="476"/>
      <c r="PQE14" s="477"/>
      <c r="PQF14" s="477"/>
      <c r="PQG14" s="463"/>
      <c r="PQH14" s="475"/>
      <c r="PQI14" s="476"/>
      <c r="PQJ14" s="476"/>
      <c r="PQK14" s="476"/>
      <c r="PQL14" s="476"/>
      <c r="PQM14" s="476"/>
      <c r="PQN14" s="476"/>
      <c r="PQO14" s="476"/>
      <c r="PQP14" s="476"/>
      <c r="PQQ14" s="476"/>
      <c r="PQR14" s="476"/>
      <c r="PQS14" s="476"/>
      <c r="PQT14" s="476"/>
      <c r="PQU14" s="477"/>
      <c r="PQV14" s="477"/>
      <c r="PQW14" s="463"/>
      <c r="PQX14" s="475"/>
      <c r="PQY14" s="476"/>
      <c r="PQZ14" s="476"/>
      <c r="PRA14" s="476"/>
      <c r="PRB14" s="476"/>
      <c r="PRC14" s="476"/>
      <c r="PRD14" s="476"/>
      <c r="PRE14" s="476"/>
      <c r="PRF14" s="476"/>
      <c r="PRG14" s="476"/>
      <c r="PRH14" s="476"/>
      <c r="PRI14" s="476"/>
      <c r="PRJ14" s="476"/>
      <c r="PRK14" s="477"/>
      <c r="PRL14" s="477"/>
      <c r="PRM14" s="463"/>
      <c r="PRN14" s="475"/>
      <c r="PRO14" s="476"/>
      <c r="PRP14" s="476"/>
      <c r="PRQ14" s="476"/>
      <c r="PRR14" s="476"/>
      <c r="PRS14" s="476"/>
      <c r="PRT14" s="476"/>
      <c r="PRU14" s="476"/>
      <c r="PRV14" s="476"/>
      <c r="PRW14" s="476"/>
      <c r="PRX14" s="476"/>
      <c r="PRY14" s="476"/>
      <c r="PRZ14" s="476"/>
      <c r="PSA14" s="477"/>
      <c r="PSB14" s="477"/>
      <c r="PSC14" s="463"/>
      <c r="PSD14" s="475"/>
      <c r="PSE14" s="476"/>
      <c r="PSF14" s="476"/>
      <c r="PSG14" s="476"/>
      <c r="PSH14" s="476"/>
      <c r="PSI14" s="476"/>
      <c r="PSJ14" s="476"/>
      <c r="PSK14" s="476"/>
      <c r="PSL14" s="476"/>
      <c r="PSM14" s="476"/>
      <c r="PSN14" s="476"/>
      <c r="PSO14" s="476"/>
      <c r="PSP14" s="476"/>
      <c r="PSQ14" s="477"/>
      <c r="PSR14" s="477"/>
      <c r="PSS14" s="463"/>
      <c r="PST14" s="475"/>
      <c r="PSU14" s="476"/>
      <c r="PSV14" s="476"/>
      <c r="PSW14" s="476"/>
      <c r="PSX14" s="476"/>
      <c r="PSY14" s="476"/>
      <c r="PSZ14" s="476"/>
      <c r="PTA14" s="476"/>
      <c r="PTB14" s="476"/>
      <c r="PTC14" s="476"/>
      <c r="PTD14" s="476"/>
      <c r="PTE14" s="476"/>
      <c r="PTF14" s="476"/>
      <c r="PTG14" s="477"/>
      <c r="PTH14" s="477"/>
      <c r="PTI14" s="463"/>
      <c r="PTJ14" s="475"/>
      <c r="PTK14" s="476"/>
      <c r="PTL14" s="476"/>
      <c r="PTM14" s="476"/>
      <c r="PTN14" s="476"/>
      <c r="PTO14" s="476"/>
      <c r="PTP14" s="476"/>
      <c r="PTQ14" s="476"/>
      <c r="PTR14" s="476"/>
      <c r="PTS14" s="476"/>
      <c r="PTT14" s="476"/>
      <c r="PTU14" s="476"/>
      <c r="PTV14" s="476"/>
      <c r="PTW14" s="477"/>
      <c r="PTX14" s="477"/>
      <c r="PTY14" s="463"/>
      <c r="PTZ14" s="475"/>
      <c r="PUA14" s="476"/>
      <c r="PUB14" s="476"/>
      <c r="PUC14" s="476"/>
      <c r="PUD14" s="476"/>
      <c r="PUE14" s="476"/>
      <c r="PUF14" s="476"/>
      <c r="PUG14" s="476"/>
      <c r="PUH14" s="476"/>
      <c r="PUI14" s="476"/>
      <c r="PUJ14" s="476"/>
      <c r="PUK14" s="476"/>
      <c r="PUL14" s="476"/>
      <c r="PUM14" s="477"/>
      <c r="PUN14" s="477"/>
      <c r="PUO14" s="463"/>
      <c r="PUP14" s="475"/>
      <c r="PUQ14" s="476"/>
      <c r="PUR14" s="476"/>
      <c r="PUS14" s="476"/>
      <c r="PUT14" s="476"/>
      <c r="PUU14" s="476"/>
      <c r="PUV14" s="476"/>
      <c r="PUW14" s="476"/>
      <c r="PUX14" s="476"/>
      <c r="PUY14" s="476"/>
      <c r="PUZ14" s="476"/>
      <c r="PVA14" s="476"/>
      <c r="PVB14" s="476"/>
      <c r="PVC14" s="477"/>
      <c r="PVD14" s="477"/>
      <c r="PVE14" s="463"/>
      <c r="PVF14" s="475"/>
      <c r="PVG14" s="476"/>
      <c r="PVH14" s="476"/>
      <c r="PVI14" s="476"/>
      <c r="PVJ14" s="476"/>
      <c r="PVK14" s="476"/>
      <c r="PVL14" s="476"/>
      <c r="PVM14" s="476"/>
      <c r="PVN14" s="476"/>
      <c r="PVO14" s="476"/>
      <c r="PVP14" s="476"/>
      <c r="PVQ14" s="476"/>
      <c r="PVR14" s="476"/>
      <c r="PVS14" s="477"/>
      <c r="PVT14" s="477"/>
      <c r="PVU14" s="463"/>
      <c r="PVV14" s="475"/>
      <c r="PVW14" s="476"/>
      <c r="PVX14" s="476"/>
      <c r="PVY14" s="476"/>
      <c r="PVZ14" s="476"/>
      <c r="PWA14" s="476"/>
      <c r="PWB14" s="476"/>
      <c r="PWC14" s="476"/>
      <c r="PWD14" s="476"/>
      <c r="PWE14" s="476"/>
      <c r="PWF14" s="476"/>
      <c r="PWG14" s="476"/>
      <c r="PWH14" s="476"/>
      <c r="PWI14" s="477"/>
      <c r="PWJ14" s="477"/>
      <c r="PWK14" s="463"/>
      <c r="PWL14" s="475"/>
      <c r="PWM14" s="476"/>
      <c r="PWN14" s="476"/>
      <c r="PWO14" s="476"/>
      <c r="PWP14" s="476"/>
      <c r="PWQ14" s="476"/>
      <c r="PWR14" s="476"/>
      <c r="PWS14" s="476"/>
      <c r="PWT14" s="476"/>
      <c r="PWU14" s="476"/>
      <c r="PWV14" s="476"/>
      <c r="PWW14" s="476"/>
      <c r="PWX14" s="476"/>
      <c r="PWY14" s="477"/>
      <c r="PWZ14" s="477"/>
      <c r="PXA14" s="463"/>
      <c r="PXB14" s="475"/>
      <c r="PXC14" s="476"/>
      <c r="PXD14" s="476"/>
      <c r="PXE14" s="476"/>
      <c r="PXF14" s="476"/>
      <c r="PXG14" s="476"/>
      <c r="PXH14" s="476"/>
      <c r="PXI14" s="476"/>
      <c r="PXJ14" s="476"/>
      <c r="PXK14" s="476"/>
      <c r="PXL14" s="476"/>
      <c r="PXM14" s="476"/>
      <c r="PXN14" s="476"/>
      <c r="PXO14" s="477"/>
      <c r="PXP14" s="477"/>
      <c r="PXQ14" s="463"/>
      <c r="PXR14" s="475"/>
      <c r="PXS14" s="476"/>
      <c r="PXT14" s="476"/>
      <c r="PXU14" s="476"/>
      <c r="PXV14" s="476"/>
      <c r="PXW14" s="476"/>
      <c r="PXX14" s="476"/>
      <c r="PXY14" s="476"/>
      <c r="PXZ14" s="476"/>
      <c r="PYA14" s="476"/>
      <c r="PYB14" s="476"/>
      <c r="PYC14" s="476"/>
      <c r="PYD14" s="476"/>
      <c r="PYE14" s="477"/>
      <c r="PYF14" s="477"/>
      <c r="PYG14" s="463"/>
      <c r="PYH14" s="475"/>
      <c r="PYI14" s="476"/>
      <c r="PYJ14" s="476"/>
      <c r="PYK14" s="476"/>
      <c r="PYL14" s="476"/>
      <c r="PYM14" s="476"/>
      <c r="PYN14" s="476"/>
      <c r="PYO14" s="476"/>
      <c r="PYP14" s="476"/>
      <c r="PYQ14" s="476"/>
      <c r="PYR14" s="476"/>
      <c r="PYS14" s="476"/>
      <c r="PYT14" s="476"/>
      <c r="PYU14" s="477"/>
      <c r="PYV14" s="477"/>
      <c r="PYW14" s="463"/>
      <c r="PYX14" s="475"/>
      <c r="PYY14" s="476"/>
      <c r="PYZ14" s="476"/>
      <c r="PZA14" s="476"/>
      <c r="PZB14" s="476"/>
      <c r="PZC14" s="476"/>
      <c r="PZD14" s="476"/>
      <c r="PZE14" s="476"/>
      <c r="PZF14" s="476"/>
      <c r="PZG14" s="476"/>
      <c r="PZH14" s="476"/>
      <c r="PZI14" s="476"/>
      <c r="PZJ14" s="476"/>
      <c r="PZK14" s="477"/>
      <c r="PZL14" s="477"/>
      <c r="PZM14" s="463"/>
      <c r="PZN14" s="475"/>
      <c r="PZO14" s="476"/>
      <c r="PZP14" s="476"/>
      <c r="PZQ14" s="476"/>
      <c r="PZR14" s="476"/>
      <c r="PZS14" s="476"/>
      <c r="PZT14" s="476"/>
      <c r="PZU14" s="476"/>
      <c r="PZV14" s="476"/>
      <c r="PZW14" s="476"/>
      <c r="PZX14" s="476"/>
      <c r="PZY14" s="476"/>
      <c r="PZZ14" s="476"/>
      <c r="QAA14" s="477"/>
      <c r="QAB14" s="477"/>
      <c r="QAC14" s="463"/>
      <c r="QAD14" s="475"/>
      <c r="QAE14" s="476"/>
      <c r="QAF14" s="476"/>
      <c r="QAG14" s="476"/>
      <c r="QAH14" s="476"/>
      <c r="QAI14" s="476"/>
      <c r="QAJ14" s="476"/>
      <c r="QAK14" s="476"/>
      <c r="QAL14" s="476"/>
      <c r="QAM14" s="476"/>
      <c r="QAN14" s="476"/>
      <c r="QAO14" s="476"/>
      <c r="QAP14" s="476"/>
      <c r="QAQ14" s="477"/>
      <c r="QAR14" s="477"/>
      <c r="QAS14" s="463"/>
      <c r="QAT14" s="475"/>
      <c r="QAU14" s="476"/>
      <c r="QAV14" s="476"/>
      <c r="QAW14" s="476"/>
      <c r="QAX14" s="476"/>
      <c r="QAY14" s="476"/>
      <c r="QAZ14" s="476"/>
      <c r="QBA14" s="476"/>
      <c r="QBB14" s="476"/>
      <c r="QBC14" s="476"/>
      <c r="QBD14" s="476"/>
      <c r="QBE14" s="476"/>
      <c r="QBF14" s="476"/>
      <c r="QBG14" s="477"/>
      <c r="QBH14" s="477"/>
      <c r="QBI14" s="463"/>
      <c r="QBJ14" s="475"/>
      <c r="QBK14" s="476"/>
      <c r="QBL14" s="476"/>
      <c r="QBM14" s="476"/>
      <c r="QBN14" s="476"/>
      <c r="QBO14" s="476"/>
      <c r="QBP14" s="476"/>
      <c r="QBQ14" s="476"/>
      <c r="QBR14" s="476"/>
      <c r="QBS14" s="476"/>
      <c r="QBT14" s="476"/>
      <c r="QBU14" s="476"/>
      <c r="QBV14" s="476"/>
      <c r="QBW14" s="477"/>
      <c r="QBX14" s="477"/>
      <c r="QBY14" s="463"/>
      <c r="QBZ14" s="475"/>
      <c r="QCA14" s="476"/>
      <c r="QCB14" s="476"/>
      <c r="QCC14" s="476"/>
      <c r="QCD14" s="476"/>
      <c r="QCE14" s="476"/>
      <c r="QCF14" s="476"/>
      <c r="QCG14" s="476"/>
      <c r="QCH14" s="476"/>
      <c r="QCI14" s="476"/>
      <c r="QCJ14" s="476"/>
      <c r="QCK14" s="476"/>
      <c r="QCL14" s="476"/>
      <c r="QCM14" s="477"/>
      <c r="QCN14" s="477"/>
      <c r="QCO14" s="463"/>
      <c r="QCP14" s="475"/>
      <c r="QCQ14" s="476"/>
      <c r="QCR14" s="476"/>
      <c r="QCS14" s="476"/>
      <c r="QCT14" s="476"/>
      <c r="QCU14" s="476"/>
      <c r="QCV14" s="476"/>
      <c r="QCW14" s="476"/>
      <c r="QCX14" s="476"/>
      <c r="QCY14" s="476"/>
      <c r="QCZ14" s="476"/>
      <c r="QDA14" s="476"/>
      <c r="QDB14" s="476"/>
      <c r="QDC14" s="477"/>
      <c r="QDD14" s="477"/>
      <c r="QDE14" s="463"/>
      <c r="QDF14" s="475"/>
      <c r="QDG14" s="476"/>
      <c r="QDH14" s="476"/>
      <c r="QDI14" s="476"/>
      <c r="QDJ14" s="476"/>
      <c r="QDK14" s="476"/>
      <c r="QDL14" s="476"/>
      <c r="QDM14" s="476"/>
      <c r="QDN14" s="476"/>
      <c r="QDO14" s="476"/>
      <c r="QDP14" s="476"/>
      <c r="QDQ14" s="476"/>
      <c r="QDR14" s="476"/>
      <c r="QDS14" s="477"/>
      <c r="QDT14" s="477"/>
      <c r="QDU14" s="463"/>
      <c r="QDV14" s="475"/>
      <c r="QDW14" s="476"/>
      <c r="QDX14" s="476"/>
      <c r="QDY14" s="476"/>
      <c r="QDZ14" s="476"/>
      <c r="QEA14" s="476"/>
      <c r="QEB14" s="476"/>
      <c r="QEC14" s="476"/>
      <c r="QED14" s="476"/>
      <c r="QEE14" s="476"/>
      <c r="QEF14" s="476"/>
      <c r="QEG14" s="476"/>
      <c r="QEH14" s="476"/>
      <c r="QEI14" s="477"/>
      <c r="QEJ14" s="477"/>
      <c r="QEK14" s="463"/>
      <c r="QEL14" s="475"/>
      <c r="QEM14" s="476"/>
      <c r="QEN14" s="476"/>
      <c r="QEO14" s="476"/>
      <c r="QEP14" s="476"/>
      <c r="QEQ14" s="476"/>
      <c r="QER14" s="476"/>
      <c r="QES14" s="476"/>
      <c r="QET14" s="476"/>
      <c r="QEU14" s="476"/>
      <c r="QEV14" s="476"/>
      <c r="QEW14" s="476"/>
      <c r="QEX14" s="476"/>
      <c r="QEY14" s="477"/>
      <c r="QEZ14" s="477"/>
      <c r="QFA14" s="463"/>
      <c r="QFB14" s="475"/>
      <c r="QFC14" s="476"/>
      <c r="QFD14" s="476"/>
      <c r="QFE14" s="476"/>
      <c r="QFF14" s="476"/>
      <c r="QFG14" s="476"/>
      <c r="QFH14" s="476"/>
      <c r="QFI14" s="476"/>
      <c r="QFJ14" s="476"/>
      <c r="QFK14" s="476"/>
      <c r="QFL14" s="476"/>
      <c r="QFM14" s="476"/>
      <c r="QFN14" s="476"/>
      <c r="QFO14" s="477"/>
      <c r="QFP14" s="477"/>
      <c r="QFQ14" s="463"/>
      <c r="QFR14" s="475"/>
      <c r="QFS14" s="476"/>
      <c r="QFT14" s="476"/>
      <c r="QFU14" s="476"/>
      <c r="QFV14" s="476"/>
      <c r="QFW14" s="476"/>
      <c r="QFX14" s="476"/>
      <c r="QFY14" s="476"/>
      <c r="QFZ14" s="476"/>
      <c r="QGA14" s="476"/>
      <c r="QGB14" s="476"/>
      <c r="QGC14" s="476"/>
      <c r="QGD14" s="476"/>
      <c r="QGE14" s="477"/>
      <c r="QGF14" s="477"/>
      <c r="QGG14" s="463"/>
      <c r="QGH14" s="475"/>
      <c r="QGI14" s="476"/>
      <c r="QGJ14" s="476"/>
      <c r="QGK14" s="476"/>
      <c r="QGL14" s="476"/>
      <c r="QGM14" s="476"/>
      <c r="QGN14" s="476"/>
      <c r="QGO14" s="476"/>
      <c r="QGP14" s="476"/>
      <c r="QGQ14" s="476"/>
      <c r="QGR14" s="476"/>
      <c r="QGS14" s="476"/>
      <c r="QGT14" s="476"/>
      <c r="QGU14" s="477"/>
      <c r="QGV14" s="477"/>
      <c r="QGW14" s="463"/>
      <c r="QGX14" s="475"/>
      <c r="QGY14" s="476"/>
      <c r="QGZ14" s="476"/>
      <c r="QHA14" s="476"/>
      <c r="QHB14" s="476"/>
      <c r="QHC14" s="476"/>
      <c r="QHD14" s="476"/>
      <c r="QHE14" s="476"/>
      <c r="QHF14" s="476"/>
      <c r="QHG14" s="476"/>
      <c r="QHH14" s="476"/>
      <c r="QHI14" s="476"/>
      <c r="QHJ14" s="476"/>
      <c r="QHK14" s="477"/>
      <c r="QHL14" s="477"/>
      <c r="QHM14" s="463"/>
      <c r="QHN14" s="475"/>
      <c r="QHO14" s="476"/>
      <c r="QHP14" s="476"/>
      <c r="QHQ14" s="476"/>
      <c r="QHR14" s="476"/>
      <c r="QHS14" s="476"/>
      <c r="QHT14" s="476"/>
      <c r="QHU14" s="476"/>
      <c r="QHV14" s="476"/>
      <c r="QHW14" s="476"/>
      <c r="QHX14" s="476"/>
      <c r="QHY14" s="476"/>
      <c r="QHZ14" s="476"/>
      <c r="QIA14" s="477"/>
      <c r="QIB14" s="477"/>
      <c r="QIC14" s="463"/>
      <c r="QID14" s="475"/>
      <c r="QIE14" s="476"/>
      <c r="QIF14" s="476"/>
      <c r="QIG14" s="476"/>
      <c r="QIH14" s="476"/>
      <c r="QII14" s="476"/>
      <c r="QIJ14" s="476"/>
      <c r="QIK14" s="476"/>
      <c r="QIL14" s="476"/>
      <c r="QIM14" s="476"/>
      <c r="QIN14" s="476"/>
      <c r="QIO14" s="476"/>
      <c r="QIP14" s="476"/>
      <c r="QIQ14" s="477"/>
      <c r="QIR14" s="477"/>
      <c r="QIS14" s="463"/>
      <c r="QIT14" s="475"/>
      <c r="QIU14" s="476"/>
      <c r="QIV14" s="476"/>
      <c r="QIW14" s="476"/>
      <c r="QIX14" s="476"/>
      <c r="QIY14" s="476"/>
      <c r="QIZ14" s="476"/>
      <c r="QJA14" s="476"/>
      <c r="QJB14" s="476"/>
      <c r="QJC14" s="476"/>
      <c r="QJD14" s="476"/>
      <c r="QJE14" s="476"/>
      <c r="QJF14" s="476"/>
      <c r="QJG14" s="477"/>
      <c r="QJH14" s="477"/>
      <c r="QJI14" s="463"/>
      <c r="QJJ14" s="475"/>
      <c r="QJK14" s="476"/>
      <c r="QJL14" s="476"/>
      <c r="QJM14" s="476"/>
      <c r="QJN14" s="476"/>
      <c r="QJO14" s="476"/>
      <c r="QJP14" s="476"/>
      <c r="QJQ14" s="476"/>
      <c r="QJR14" s="476"/>
      <c r="QJS14" s="476"/>
      <c r="QJT14" s="476"/>
      <c r="QJU14" s="476"/>
      <c r="QJV14" s="476"/>
      <c r="QJW14" s="477"/>
      <c r="QJX14" s="477"/>
      <c r="QJY14" s="463"/>
      <c r="QJZ14" s="475"/>
      <c r="QKA14" s="476"/>
      <c r="QKB14" s="476"/>
      <c r="QKC14" s="476"/>
      <c r="QKD14" s="476"/>
      <c r="QKE14" s="476"/>
      <c r="QKF14" s="476"/>
      <c r="QKG14" s="476"/>
      <c r="QKH14" s="476"/>
      <c r="QKI14" s="476"/>
      <c r="QKJ14" s="476"/>
      <c r="QKK14" s="476"/>
      <c r="QKL14" s="476"/>
      <c r="QKM14" s="477"/>
      <c r="QKN14" s="477"/>
      <c r="QKO14" s="463"/>
      <c r="QKP14" s="475"/>
      <c r="QKQ14" s="476"/>
      <c r="QKR14" s="476"/>
      <c r="QKS14" s="476"/>
      <c r="QKT14" s="476"/>
      <c r="QKU14" s="476"/>
      <c r="QKV14" s="476"/>
      <c r="QKW14" s="476"/>
      <c r="QKX14" s="476"/>
      <c r="QKY14" s="476"/>
      <c r="QKZ14" s="476"/>
      <c r="QLA14" s="476"/>
      <c r="QLB14" s="476"/>
      <c r="QLC14" s="477"/>
      <c r="QLD14" s="477"/>
      <c r="QLE14" s="463"/>
      <c r="QLF14" s="475"/>
      <c r="QLG14" s="476"/>
      <c r="QLH14" s="476"/>
      <c r="QLI14" s="476"/>
      <c r="QLJ14" s="476"/>
      <c r="QLK14" s="476"/>
      <c r="QLL14" s="476"/>
      <c r="QLM14" s="476"/>
      <c r="QLN14" s="476"/>
      <c r="QLO14" s="476"/>
      <c r="QLP14" s="476"/>
      <c r="QLQ14" s="476"/>
      <c r="QLR14" s="476"/>
      <c r="QLS14" s="477"/>
      <c r="QLT14" s="477"/>
      <c r="QLU14" s="463"/>
      <c r="QLV14" s="475"/>
      <c r="QLW14" s="476"/>
      <c r="QLX14" s="476"/>
      <c r="QLY14" s="476"/>
      <c r="QLZ14" s="476"/>
      <c r="QMA14" s="476"/>
      <c r="QMB14" s="476"/>
      <c r="QMC14" s="476"/>
      <c r="QMD14" s="476"/>
      <c r="QME14" s="476"/>
      <c r="QMF14" s="476"/>
      <c r="QMG14" s="476"/>
      <c r="QMH14" s="476"/>
      <c r="QMI14" s="477"/>
      <c r="QMJ14" s="477"/>
      <c r="QMK14" s="463"/>
      <c r="QML14" s="475"/>
      <c r="QMM14" s="476"/>
      <c r="QMN14" s="476"/>
      <c r="QMO14" s="476"/>
      <c r="QMP14" s="476"/>
      <c r="QMQ14" s="476"/>
      <c r="QMR14" s="476"/>
      <c r="QMS14" s="476"/>
      <c r="QMT14" s="476"/>
      <c r="QMU14" s="476"/>
      <c r="QMV14" s="476"/>
      <c r="QMW14" s="476"/>
      <c r="QMX14" s="476"/>
      <c r="QMY14" s="477"/>
      <c r="QMZ14" s="477"/>
      <c r="QNA14" s="463"/>
      <c r="QNB14" s="475"/>
      <c r="QNC14" s="476"/>
      <c r="QND14" s="476"/>
      <c r="QNE14" s="476"/>
      <c r="QNF14" s="476"/>
      <c r="QNG14" s="476"/>
      <c r="QNH14" s="476"/>
      <c r="QNI14" s="476"/>
      <c r="QNJ14" s="476"/>
      <c r="QNK14" s="476"/>
      <c r="QNL14" s="476"/>
      <c r="QNM14" s="476"/>
      <c r="QNN14" s="476"/>
      <c r="QNO14" s="477"/>
      <c r="QNP14" s="477"/>
      <c r="QNQ14" s="463"/>
      <c r="QNR14" s="475"/>
      <c r="QNS14" s="476"/>
      <c r="QNT14" s="476"/>
      <c r="QNU14" s="476"/>
      <c r="QNV14" s="476"/>
      <c r="QNW14" s="476"/>
      <c r="QNX14" s="476"/>
      <c r="QNY14" s="476"/>
      <c r="QNZ14" s="476"/>
      <c r="QOA14" s="476"/>
      <c r="QOB14" s="476"/>
      <c r="QOC14" s="476"/>
      <c r="QOD14" s="476"/>
      <c r="QOE14" s="477"/>
      <c r="QOF14" s="477"/>
      <c r="QOG14" s="463"/>
      <c r="QOH14" s="475"/>
      <c r="QOI14" s="476"/>
      <c r="QOJ14" s="476"/>
      <c r="QOK14" s="476"/>
      <c r="QOL14" s="476"/>
      <c r="QOM14" s="476"/>
      <c r="QON14" s="476"/>
      <c r="QOO14" s="476"/>
      <c r="QOP14" s="476"/>
      <c r="QOQ14" s="476"/>
      <c r="QOR14" s="476"/>
      <c r="QOS14" s="476"/>
      <c r="QOT14" s="476"/>
      <c r="QOU14" s="477"/>
      <c r="QOV14" s="477"/>
      <c r="QOW14" s="463"/>
      <c r="QOX14" s="475"/>
      <c r="QOY14" s="476"/>
      <c r="QOZ14" s="476"/>
      <c r="QPA14" s="476"/>
      <c r="QPB14" s="476"/>
      <c r="QPC14" s="476"/>
      <c r="QPD14" s="476"/>
      <c r="QPE14" s="476"/>
      <c r="QPF14" s="476"/>
      <c r="QPG14" s="476"/>
      <c r="QPH14" s="476"/>
      <c r="QPI14" s="476"/>
      <c r="QPJ14" s="476"/>
      <c r="QPK14" s="477"/>
      <c r="QPL14" s="477"/>
      <c r="QPM14" s="463"/>
      <c r="QPN14" s="475"/>
      <c r="QPO14" s="476"/>
      <c r="QPP14" s="476"/>
      <c r="QPQ14" s="476"/>
      <c r="QPR14" s="476"/>
      <c r="QPS14" s="476"/>
      <c r="QPT14" s="476"/>
      <c r="QPU14" s="476"/>
      <c r="QPV14" s="476"/>
      <c r="QPW14" s="476"/>
      <c r="QPX14" s="476"/>
      <c r="QPY14" s="476"/>
      <c r="QPZ14" s="476"/>
      <c r="QQA14" s="477"/>
      <c r="QQB14" s="477"/>
      <c r="QQC14" s="463"/>
      <c r="QQD14" s="475"/>
      <c r="QQE14" s="476"/>
      <c r="QQF14" s="476"/>
      <c r="QQG14" s="476"/>
      <c r="QQH14" s="476"/>
      <c r="QQI14" s="476"/>
      <c r="QQJ14" s="476"/>
      <c r="QQK14" s="476"/>
      <c r="QQL14" s="476"/>
      <c r="QQM14" s="476"/>
      <c r="QQN14" s="476"/>
      <c r="QQO14" s="476"/>
      <c r="QQP14" s="476"/>
      <c r="QQQ14" s="477"/>
      <c r="QQR14" s="477"/>
      <c r="QQS14" s="463"/>
      <c r="QQT14" s="475"/>
      <c r="QQU14" s="476"/>
      <c r="QQV14" s="476"/>
      <c r="QQW14" s="476"/>
      <c r="QQX14" s="476"/>
      <c r="QQY14" s="476"/>
      <c r="QQZ14" s="476"/>
      <c r="QRA14" s="476"/>
      <c r="QRB14" s="476"/>
      <c r="QRC14" s="476"/>
      <c r="QRD14" s="476"/>
      <c r="QRE14" s="476"/>
      <c r="QRF14" s="476"/>
      <c r="QRG14" s="477"/>
      <c r="QRH14" s="477"/>
      <c r="QRI14" s="463"/>
      <c r="QRJ14" s="475"/>
      <c r="QRK14" s="476"/>
      <c r="QRL14" s="476"/>
      <c r="QRM14" s="476"/>
      <c r="QRN14" s="476"/>
      <c r="QRO14" s="476"/>
      <c r="QRP14" s="476"/>
      <c r="QRQ14" s="476"/>
      <c r="QRR14" s="476"/>
      <c r="QRS14" s="476"/>
      <c r="QRT14" s="476"/>
      <c r="QRU14" s="476"/>
      <c r="QRV14" s="476"/>
      <c r="QRW14" s="477"/>
      <c r="QRX14" s="477"/>
      <c r="QRY14" s="463"/>
      <c r="QRZ14" s="475"/>
      <c r="QSA14" s="476"/>
      <c r="QSB14" s="476"/>
      <c r="QSC14" s="476"/>
      <c r="QSD14" s="476"/>
      <c r="QSE14" s="476"/>
      <c r="QSF14" s="476"/>
      <c r="QSG14" s="476"/>
      <c r="QSH14" s="476"/>
      <c r="QSI14" s="476"/>
      <c r="QSJ14" s="476"/>
      <c r="QSK14" s="476"/>
      <c r="QSL14" s="476"/>
      <c r="QSM14" s="477"/>
      <c r="QSN14" s="477"/>
      <c r="QSO14" s="463"/>
      <c r="QSP14" s="475"/>
      <c r="QSQ14" s="476"/>
      <c r="QSR14" s="476"/>
      <c r="QSS14" s="476"/>
      <c r="QST14" s="476"/>
      <c r="QSU14" s="476"/>
      <c r="QSV14" s="476"/>
      <c r="QSW14" s="476"/>
      <c r="QSX14" s="476"/>
      <c r="QSY14" s="476"/>
      <c r="QSZ14" s="476"/>
      <c r="QTA14" s="476"/>
      <c r="QTB14" s="476"/>
      <c r="QTC14" s="477"/>
      <c r="QTD14" s="477"/>
      <c r="QTE14" s="463"/>
      <c r="QTF14" s="475"/>
      <c r="QTG14" s="476"/>
      <c r="QTH14" s="476"/>
      <c r="QTI14" s="476"/>
      <c r="QTJ14" s="476"/>
      <c r="QTK14" s="476"/>
      <c r="QTL14" s="476"/>
      <c r="QTM14" s="476"/>
      <c r="QTN14" s="476"/>
      <c r="QTO14" s="476"/>
      <c r="QTP14" s="476"/>
      <c r="QTQ14" s="476"/>
      <c r="QTR14" s="476"/>
      <c r="QTS14" s="477"/>
      <c r="QTT14" s="477"/>
      <c r="QTU14" s="463"/>
      <c r="QTV14" s="475"/>
      <c r="QTW14" s="476"/>
      <c r="QTX14" s="476"/>
      <c r="QTY14" s="476"/>
      <c r="QTZ14" s="476"/>
      <c r="QUA14" s="476"/>
      <c r="QUB14" s="476"/>
      <c r="QUC14" s="476"/>
      <c r="QUD14" s="476"/>
      <c r="QUE14" s="476"/>
      <c r="QUF14" s="476"/>
      <c r="QUG14" s="476"/>
      <c r="QUH14" s="476"/>
      <c r="QUI14" s="477"/>
      <c r="QUJ14" s="477"/>
      <c r="QUK14" s="463"/>
      <c r="QUL14" s="475"/>
      <c r="QUM14" s="476"/>
      <c r="QUN14" s="476"/>
      <c r="QUO14" s="476"/>
      <c r="QUP14" s="476"/>
      <c r="QUQ14" s="476"/>
      <c r="QUR14" s="476"/>
      <c r="QUS14" s="476"/>
      <c r="QUT14" s="476"/>
      <c r="QUU14" s="476"/>
      <c r="QUV14" s="476"/>
      <c r="QUW14" s="476"/>
      <c r="QUX14" s="476"/>
      <c r="QUY14" s="477"/>
      <c r="QUZ14" s="477"/>
      <c r="QVA14" s="463"/>
      <c r="QVB14" s="475"/>
      <c r="QVC14" s="476"/>
      <c r="QVD14" s="476"/>
      <c r="QVE14" s="476"/>
      <c r="QVF14" s="476"/>
      <c r="QVG14" s="476"/>
      <c r="QVH14" s="476"/>
      <c r="QVI14" s="476"/>
      <c r="QVJ14" s="476"/>
      <c r="QVK14" s="476"/>
      <c r="QVL14" s="476"/>
      <c r="QVM14" s="476"/>
      <c r="QVN14" s="476"/>
      <c r="QVO14" s="477"/>
      <c r="QVP14" s="477"/>
      <c r="QVQ14" s="463"/>
      <c r="QVR14" s="475"/>
      <c r="QVS14" s="476"/>
      <c r="QVT14" s="476"/>
      <c r="QVU14" s="476"/>
      <c r="QVV14" s="476"/>
      <c r="QVW14" s="476"/>
      <c r="QVX14" s="476"/>
      <c r="QVY14" s="476"/>
      <c r="QVZ14" s="476"/>
      <c r="QWA14" s="476"/>
      <c r="QWB14" s="476"/>
      <c r="QWC14" s="476"/>
      <c r="QWD14" s="476"/>
      <c r="QWE14" s="477"/>
      <c r="QWF14" s="477"/>
      <c r="QWG14" s="463"/>
      <c r="QWH14" s="475"/>
      <c r="QWI14" s="476"/>
      <c r="QWJ14" s="476"/>
      <c r="QWK14" s="476"/>
      <c r="QWL14" s="476"/>
      <c r="QWM14" s="476"/>
      <c r="QWN14" s="476"/>
      <c r="QWO14" s="476"/>
      <c r="QWP14" s="476"/>
      <c r="QWQ14" s="476"/>
      <c r="QWR14" s="476"/>
      <c r="QWS14" s="476"/>
      <c r="QWT14" s="476"/>
      <c r="QWU14" s="477"/>
      <c r="QWV14" s="477"/>
      <c r="QWW14" s="463"/>
      <c r="QWX14" s="475"/>
      <c r="QWY14" s="476"/>
      <c r="QWZ14" s="476"/>
      <c r="QXA14" s="476"/>
      <c r="QXB14" s="476"/>
      <c r="QXC14" s="476"/>
      <c r="QXD14" s="476"/>
      <c r="QXE14" s="476"/>
      <c r="QXF14" s="476"/>
      <c r="QXG14" s="476"/>
      <c r="QXH14" s="476"/>
      <c r="QXI14" s="476"/>
      <c r="QXJ14" s="476"/>
      <c r="QXK14" s="477"/>
      <c r="QXL14" s="477"/>
      <c r="QXM14" s="463"/>
      <c r="QXN14" s="475"/>
      <c r="QXO14" s="476"/>
      <c r="QXP14" s="476"/>
      <c r="QXQ14" s="476"/>
      <c r="QXR14" s="476"/>
      <c r="QXS14" s="476"/>
      <c r="QXT14" s="476"/>
      <c r="QXU14" s="476"/>
      <c r="QXV14" s="476"/>
      <c r="QXW14" s="476"/>
      <c r="QXX14" s="476"/>
      <c r="QXY14" s="476"/>
      <c r="QXZ14" s="476"/>
      <c r="QYA14" s="477"/>
      <c r="QYB14" s="477"/>
      <c r="QYC14" s="463"/>
      <c r="QYD14" s="475"/>
      <c r="QYE14" s="476"/>
      <c r="QYF14" s="476"/>
      <c r="QYG14" s="476"/>
      <c r="QYH14" s="476"/>
      <c r="QYI14" s="476"/>
      <c r="QYJ14" s="476"/>
      <c r="QYK14" s="476"/>
      <c r="QYL14" s="476"/>
      <c r="QYM14" s="476"/>
      <c r="QYN14" s="476"/>
      <c r="QYO14" s="476"/>
      <c r="QYP14" s="476"/>
      <c r="QYQ14" s="477"/>
      <c r="QYR14" s="477"/>
      <c r="QYS14" s="463"/>
      <c r="QYT14" s="475"/>
      <c r="QYU14" s="476"/>
      <c r="QYV14" s="476"/>
      <c r="QYW14" s="476"/>
      <c r="QYX14" s="476"/>
      <c r="QYY14" s="476"/>
      <c r="QYZ14" s="476"/>
      <c r="QZA14" s="476"/>
      <c r="QZB14" s="476"/>
      <c r="QZC14" s="476"/>
      <c r="QZD14" s="476"/>
      <c r="QZE14" s="476"/>
      <c r="QZF14" s="476"/>
      <c r="QZG14" s="477"/>
      <c r="QZH14" s="477"/>
      <c r="QZI14" s="463"/>
      <c r="QZJ14" s="475"/>
      <c r="QZK14" s="476"/>
      <c r="QZL14" s="476"/>
      <c r="QZM14" s="476"/>
      <c r="QZN14" s="476"/>
      <c r="QZO14" s="476"/>
      <c r="QZP14" s="476"/>
      <c r="QZQ14" s="476"/>
      <c r="QZR14" s="476"/>
      <c r="QZS14" s="476"/>
      <c r="QZT14" s="476"/>
      <c r="QZU14" s="476"/>
      <c r="QZV14" s="476"/>
      <c r="QZW14" s="477"/>
      <c r="QZX14" s="477"/>
      <c r="QZY14" s="463"/>
      <c r="QZZ14" s="475"/>
      <c r="RAA14" s="476"/>
      <c r="RAB14" s="476"/>
      <c r="RAC14" s="476"/>
      <c r="RAD14" s="476"/>
      <c r="RAE14" s="476"/>
      <c r="RAF14" s="476"/>
      <c r="RAG14" s="476"/>
      <c r="RAH14" s="476"/>
      <c r="RAI14" s="476"/>
      <c r="RAJ14" s="476"/>
      <c r="RAK14" s="476"/>
      <c r="RAL14" s="476"/>
      <c r="RAM14" s="477"/>
      <c r="RAN14" s="477"/>
      <c r="RAO14" s="463"/>
      <c r="RAP14" s="475"/>
      <c r="RAQ14" s="476"/>
      <c r="RAR14" s="476"/>
      <c r="RAS14" s="476"/>
      <c r="RAT14" s="476"/>
      <c r="RAU14" s="476"/>
      <c r="RAV14" s="476"/>
      <c r="RAW14" s="476"/>
      <c r="RAX14" s="476"/>
      <c r="RAY14" s="476"/>
      <c r="RAZ14" s="476"/>
      <c r="RBA14" s="476"/>
      <c r="RBB14" s="476"/>
      <c r="RBC14" s="477"/>
      <c r="RBD14" s="477"/>
      <c r="RBE14" s="463"/>
      <c r="RBF14" s="475"/>
      <c r="RBG14" s="476"/>
      <c r="RBH14" s="476"/>
      <c r="RBI14" s="476"/>
      <c r="RBJ14" s="476"/>
      <c r="RBK14" s="476"/>
      <c r="RBL14" s="476"/>
      <c r="RBM14" s="476"/>
      <c r="RBN14" s="476"/>
      <c r="RBO14" s="476"/>
      <c r="RBP14" s="476"/>
      <c r="RBQ14" s="476"/>
      <c r="RBR14" s="476"/>
      <c r="RBS14" s="477"/>
      <c r="RBT14" s="477"/>
      <c r="RBU14" s="463"/>
      <c r="RBV14" s="475"/>
      <c r="RBW14" s="476"/>
      <c r="RBX14" s="476"/>
      <c r="RBY14" s="476"/>
      <c r="RBZ14" s="476"/>
      <c r="RCA14" s="476"/>
      <c r="RCB14" s="476"/>
      <c r="RCC14" s="476"/>
      <c r="RCD14" s="476"/>
      <c r="RCE14" s="476"/>
      <c r="RCF14" s="476"/>
      <c r="RCG14" s="476"/>
      <c r="RCH14" s="476"/>
      <c r="RCI14" s="477"/>
      <c r="RCJ14" s="477"/>
      <c r="RCK14" s="463"/>
      <c r="RCL14" s="475"/>
      <c r="RCM14" s="476"/>
      <c r="RCN14" s="476"/>
      <c r="RCO14" s="476"/>
      <c r="RCP14" s="476"/>
      <c r="RCQ14" s="476"/>
      <c r="RCR14" s="476"/>
      <c r="RCS14" s="476"/>
      <c r="RCT14" s="476"/>
      <c r="RCU14" s="476"/>
      <c r="RCV14" s="476"/>
      <c r="RCW14" s="476"/>
      <c r="RCX14" s="476"/>
      <c r="RCY14" s="477"/>
      <c r="RCZ14" s="477"/>
      <c r="RDA14" s="463"/>
      <c r="RDB14" s="475"/>
      <c r="RDC14" s="476"/>
      <c r="RDD14" s="476"/>
      <c r="RDE14" s="476"/>
      <c r="RDF14" s="476"/>
      <c r="RDG14" s="476"/>
      <c r="RDH14" s="476"/>
      <c r="RDI14" s="476"/>
      <c r="RDJ14" s="476"/>
      <c r="RDK14" s="476"/>
      <c r="RDL14" s="476"/>
      <c r="RDM14" s="476"/>
      <c r="RDN14" s="476"/>
      <c r="RDO14" s="477"/>
      <c r="RDP14" s="477"/>
      <c r="RDQ14" s="463"/>
      <c r="RDR14" s="475"/>
      <c r="RDS14" s="476"/>
      <c r="RDT14" s="476"/>
      <c r="RDU14" s="476"/>
      <c r="RDV14" s="476"/>
      <c r="RDW14" s="476"/>
      <c r="RDX14" s="476"/>
      <c r="RDY14" s="476"/>
      <c r="RDZ14" s="476"/>
      <c r="REA14" s="476"/>
      <c r="REB14" s="476"/>
      <c r="REC14" s="476"/>
      <c r="RED14" s="476"/>
      <c r="REE14" s="477"/>
      <c r="REF14" s="477"/>
      <c r="REG14" s="463"/>
      <c r="REH14" s="475"/>
      <c r="REI14" s="476"/>
      <c r="REJ14" s="476"/>
      <c r="REK14" s="476"/>
      <c r="REL14" s="476"/>
      <c r="REM14" s="476"/>
      <c r="REN14" s="476"/>
      <c r="REO14" s="476"/>
      <c r="REP14" s="476"/>
      <c r="REQ14" s="476"/>
      <c r="RER14" s="476"/>
      <c r="RES14" s="476"/>
      <c r="RET14" s="476"/>
      <c r="REU14" s="477"/>
      <c r="REV14" s="477"/>
      <c r="REW14" s="463"/>
      <c r="REX14" s="475"/>
      <c r="REY14" s="476"/>
      <c r="REZ14" s="476"/>
      <c r="RFA14" s="476"/>
      <c r="RFB14" s="476"/>
      <c r="RFC14" s="476"/>
      <c r="RFD14" s="476"/>
      <c r="RFE14" s="476"/>
      <c r="RFF14" s="476"/>
      <c r="RFG14" s="476"/>
      <c r="RFH14" s="476"/>
      <c r="RFI14" s="476"/>
      <c r="RFJ14" s="476"/>
      <c r="RFK14" s="477"/>
      <c r="RFL14" s="477"/>
      <c r="RFM14" s="463"/>
      <c r="RFN14" s="475"/>
      <c r="RFO14" s="476"/>
      <c r="RFP14" s="476"/>
      <c r="RFQ14" s="476"/>
      <c r="RFR14" s="476"/>
      <c r="RFS14" s="476"/>
      <c r="RFT14" s="476"/>
      <c r="RFU14" s="476"/>
      <c r="RFV14" s="476"/>
      <c r="RFW14" s="476"/>
      <c r="RFX14" s="476"/>
      <c r="RFY14" s="476"/>
      <c r="RFZ14" s="476"/>
      <c r="RGA14" s="477"/>
      <c r="RGB14" s="477"/>
      <c r="RGC14" s="463"/>
      <c r="RGD14" s="475"/>
      <c r="RGE14" s="476"/>
      <c r="RGF14" s="476"/>
      <c r="RGG14" s="476"/>
      <c r="RGH14" s="476"/>
      <c r="RGI14" s="476"/>
      <c r="RGJ14" s="476"/>
      <c r="RGK14" s="476"/>
      <c r="RGL14" s="476"/>
      <c r="RGM14" s="476"/>
      <c r="RGN14" s="476"/>
      <c r="RGO14" s="476"/>
      <c r="RGP14" s="476"/>
      <c r="RGQ14" s="477"/>
      <c r="RGR14" s="477"/>
      <c r="RGS14" s="463"/>
      <c r="RGT14" s="475"/>
      <c r="RGU14" s="476"/>
      <c r="RGV14" s="476"/>
      <c r="RGW14" s="476"/>
      <c r="RGX14" s="476"/>
      <c r="RGY14" s="476"/>
      <c r="RGZ14" s="476"/>
      <c r="RHA14" s="476"/>
      <c r="RHB14" s="476"/>
      <c r="RHC14" s="476"/>
      <c r="RHD14" s="476"/>
      <c r="RHE14" s="476"/>
      <c r="RHF14" s="476"/>
      <c r="RHG14" s="477"/>
      <c r="RHH14" s="477"/>
      <c r="RHI14" s="463"/>
      <c r="RHJ14" s="475"/>
      <c r="RHK14" s="476"/>
      <c r="RHL14" s="476"/>
      <c r="RHM14" s="476"/>
      <c r="RHN14" s="476"/>
      <c r="RHO14" s="476"/>
      <c r="RHP14" s="476"/>
      <c r="RHQ14" s="476"/>
      <c r="RHR14" s="476"/>
      <c r="RHS14" s="476"/>
      <c r="RHT14" s="476"/>
      <c r="RHU14" s="476"/>
      <c r="RHV14" s="476"/>
      <c r="RHW14" s="477"/>
      <c r="RHX14" s="477"/>
      <c r="RHY14" s="463"/>
      <c r="RHZ14" s="475"/>
      <c r="RIA14" s="476"/>
      <c r="RIB14" s="476"/>
      <c r="RIC14" s="476"/>
      <c r="RID14" s="476"/>
      <c r="RIE14" s="476"/>
      <c r="RIF14" s="476"/>
      <c r="RIG14" s="476"/>
      <c r="RIH14" s="476"/>
      <c r="RII14" s="476"/>
      <c r="RIJ14" s="476"/>
      <c r="RIK14" s="476"/>
      <c r="RIL14" s="476"/>
      <c r="RIM14" s="477"/>
      <c r="RIN14" s="477"/>
      <c r="RIO14" s="463"/>
      <c r="RIP14" s="475"/>
      <c r="RIQ14" s="476"/>
      <c r="RIR14" s="476"/>
      <c r="RIS14" s="476"/>
      <c r="RIT14" s="476"/>
      <c r="RIU14" s="476"/>
      <c r="RIV14" s="476"/>
      <c r="RIW14" s="476"/>
      <c r="RIX14" s="476"/>
      <c r="RIY14" s="476"/>
      <c r="RIZ14" s="476"/>
      <c r="RJA14" s="476"/>
      <c r="RJB14" s="476"/>
      <c r="RJC14" s="477"/>
      <c r="RJD14" s="477"/>
      <c r="RJE14" s="463"/>
      <c r="RJF14" s="475"/>
      <c r="RJG14" s="476"/>
      <c r="RJH14" s="476"/>
      <c r="RJI14" s="476"/>
      <c r="RJJ14" s="476"/>
      <c r="RJK14" s="476"/>
      <c r="RJL14" s="476"/>
      <c r="RJM14" s="476"/>
      <c r="RJN14" s="476"/>
      <c r="RJO14" s="476"/>
      <c r="RJP14" s="476"/>
      <c r="RJQ14" s="476"/>
      <c r="RJR14" s="476"/>
      <c r="RJS14" s="477"/>
      <c r="RJT14" s="477"/>
      <c r="RJU14" s="463"/>
      <c r="RJV14" s="475"/>
      <c r="RJW14" s="476"/>
      <c r="RJX14" s="476"/>
      <c r="RJY14" s="476"/>
      <c r="RJZ14" s="476"/>
      <c r="RKA14" s="476"/>
      <c r="RKB14" s="476"/>
      <c r="RKC14" s="476"/>
      <c r="RKD14" s="476"/>
      <c r="RKE14" s="476"/>
      <c r="RKF14" s="476"/>
      <c r="RKG14" s="476"/>
      <c r="RKH14" s="476"/>
      <c r="RKI14" s="477"/>
      <c r="RKJ14" s="477"/>
      <c r="RKK14" s="463"/>
      <c r="RKL14" s="475"/>
      <c r="RKM14" s="476"/>
      <c r="RKN14" s="476"/>
      <c r="RKO14" s="476"/>
      <c r="RKP14" s="476"/>
      <c r="RKQ14" s="476"/>
      <c r="RKR14" s="476"/>
      <c r="RKS14" s="476"/>
      <c r="RKT14" s="476"/>
      <c r="RKU14" s="476"/>
      <c r="RKV14" s="476"/>
      <c r="RKW14" s="476"/>
      <c r="RKX14" s="476"/>
      <c r="RKY14" s="477"/>
      <c r="RKZ14" s="477"/>
      <c r="RLA14" s="463"/>
      <c r="RLB14" s="475"/>
      <c r="RLC14" s="476"/>
      <c r="RLD14" s="476"/>
      <c r="RLE14" s="476"/>
      <c r="RLF14" s="476"/>
      <c r="RLG14" s="476"/>
      <c r="RLH14" s="476"/>
      <c r="RLI14" s="476"/>
      <c r="RLJ14" s="476"/>
      <c r="RLK14" s="476"/>
      <c r="RLL14" s="476"/>
      <c r="RLM14" s="476"/>
      <c r="RLN14" s="476"/>
      <c r="RLO14" s="477"/>
      <c r="RLP14" s="477"/>
      <c r="RLQ14" s="463"/>
      <c r="RLR14" s="475"/>
      <c r="RLS14" s="476"/>
      <c r="RLT14" s="476"/>
      <c r="RLU14" s="476"/>
      <c r="RLV14" s="476"/>
      <c r="RLW14" s="476"/>
      <c r="RLX14" s="476"/>
      <c r="RLY14" s="476"/>
      <c r="RLZ14" s="476"/>
      <c r="RMA14" s="476"/>
      <c r="RMB14" s="476"/>
      <c r="RMC14" s="476"/>
      <c r="RMD14" s="476"/>
      <c r="RME14" s="477"/>
      <c r="RMF14" s="477"/>
      <c r="RMG14" s="463"/>
      <c r="RMH14" s="475"/>
      <c r="RMI14" s="476"/>
      <c r="RMJ14" s="476"/>
      <c r="RMK14" s="476"/>
      <c r="RML14" s="476"/>
      <c r="RMM14" s="476"/>
      <c r="RMN14" s="476"/>
      <c r="RMO14" s="476"/>
      <c r="RMP14" s="476"/>
      <c r="RMQ14" s="476"/>
      <c r="RMR14" s="476"/>
      <c r="RMS14" s="476"/>
      <c r="RMT14" s="476"/>
      <c r="RMU14" s="477"/>
      <c r="RMV14" s="477"/>
      <c r="RMW14" s="463"/>
      <c r="RMX14" s="475"/>
      <c r="RMY14" s="476"/>
      <c r="RMZ14" s="476"/>
      <c r="RNA14" s="476"/>
      <c r="RNB14" s="476"/>
      <c r="RNC14" s="476"/>
      <c r="RND14" s="476"/>
      <c r="RNE14" s="476"/>
      <c r="RNF14" s="476"/>
      <c r="RNG14" s="476"/>
      <c r="RNH14" s="476"/>
      <c r="RNI14" s="476"/>
      <c r="RNJ14" s="476"/>
      <c r="RNK14" s="477"/>
      <c r="RNL14" s="477"/>
      <c r="RNM14" s="463"/>
      <c r="RNN14" s="475"/>
      <c r="RNO14" s="476"/>
      <c r="RNP14" s="476"/>
      <c r="RNQ14" s="476"/>
      <c r="RNR14" s="476"/>
      <c r="RNS14" s="476"/>
      <c r="RNT14" s="476"/>
      <c r="RNU14" s="476"/>
      <c r="RNV14" s="476"/>
      <c r="RNW14" s="476"/>
      <c r="RNX14" s="476"/>
      <c r="RNY14" s="476"/>
      <c r="RNZ14" s="476"/>
      <c r="ROA14" s="477"/>
      <c r="ROB14" s="477"/>
      <c r="ROC14" s="463"/>
      <c r="ROD14" s="475"/>
      <c r="ROE14" s="476"/>
      <c r="ROF14" s="476"/>
      <c r="ROG14" s="476"/>
      <c r="ROH14" s="476"/>
      <c r="ROI14" s="476"/>
      <c r="ROJ14" s="476"/>
      <c r="ROK14" s="476"/>
      <c r="ROL14" s="476"/>
      <c r="ROM14" s="476"/>
      <c r="RON14" s="476"/>
      <c r="ROO14" s="476"/>
      <c r="ROP14" s="476"/>
      <c r="ROQ14" s="477"/>
      <c r="ROR14" s="477"/>
      <c r="ROS14" s="463"/>
      <c r="ROT14" s="475"/>
      <c r="ROU14" s="476"/>
      <c r="ROV14" s="476"/>
      <c r="ROW14" s="476"/>
      <c r="ROX14" s="476"/>
      <c r="ROY14" s="476"/>
      <c r="ROZ14" s="476"/>
      <c r="RPA14" s="476"/>
      <c r="RPB14" s="476"/>
      <c r="RPC14" s="476"/>
      <c r="RPD14" s="476"/>
      <c r="RPE14" s="476"/>
      <c r="RPF14" s="476"/>
      <c r="RPG14" s="477"/>
      <c r="RPH14" s="477"/>
      <c r="RPI14" s="463"/>
      <c r="RPJ14" s="475"/>
      <c r="RPK14" s="476"/>
      <c r="RPL14" s="476"/>
      <c r="RPM14" s="476"/>
      <c r="RPN14" s="476"/>
      <c r="RPO14" s="476"/>
      <c r="RPP14" s="476"/>
      <c r="RPQ14" s="476"/>
      <c r="RPR14" s="476"/>
      <c r="RPS14" s="476"/>
      <c r="RPT14" s="476"/>
      <c r="RPU14" s="476"/>
      <c r="RPV14" s="476"/>
      <c r="RPW14" s="477"/>
      <c r="RPX14" s="477"/>
      <c r="RPY14" s="463"/>
      <c r="RPZ14" s="475"/>
      <c r="RQA14" s="476"/>
      <c r="RQB14" s="476"/>
      <c r="RQC14" s="476"/>
      <c r="RQD14" s="476"/>
      <c r="RQE14" s="476"/>
      <c r="RQF14" s="476"/>
      <c r="RQG14" s="476"/>
      <c r="RQH14" s="476"/>
      <c r="RQI14" s="476"/>
      <c r="RQJ14" s="476"/>
      <c r="RQK14" s="476"/>
      <c r="RQL14" s="476"/>
      <c r="RQM14" s="477"/>
      <c r="RQN14" s="477"/>
      <c r="RQO14" s="463"/>
      <c r="RQP14" s="475"/>
      <c r="RQQ14" s="476"/>
      <c r="RQR14" s="476"/>
      <c r="RQS14" s="476"/>
      <c r="RQT14" s="476"/>
      <c r="RQU14" s="476"/>
      <c r="RQV14" s="476"/>
      <c r="RQW14" s="476"/>
      <c r="RQX14" s="476"/>
      <c r="RQY14" s="476"/>
      <c r="RQZ14" s="476"/>
      <c r="RRA14" s="476"/>
      <c r="RRB14" s="476"/>
      <c r="RRC14" s="477"/>
      <c r="RRD14" s="477"/>
      <c r="RRE14" s="463"/>
      <c r="RRF14" s="475"/>
      <c r="RRG14" s="476"/>
      <c r="RRH14" s="476"/>
      <c r="RRI14" s="476"/>
      <c r="RRJ14" s="476"/>
      <c r="RRK14" s="476"/>
      <c r="RRL14" s="476"/>
      <c r="RRM14" s="476"/>
      <c r="RRN14" s="476"/>
      <c r="RRO14" s="476"/>
      <c r="RRP14" s="476"/>
      <c r="RRQ14" s="476"/>
      <c r="RRR14" s="476"/>
      <c r="RRS14" s="477"/>
      <c r="RRT14" s="477"/>
      <c r="RRU14" s="463"/>
      <c r="RRV14" s="475"/>
      <c r="RRW14" s="476"/>
      <c r="RRX14" s="476"/>
      <c r="RRY14" s="476"/>
      <c r="RRZ14" s="476"/>
      <c r="RSA14" s="476"/>
      <c r="RSB14" s="476"/>
      <c r="RSC14" s="476"/>
      <c r="RSD14" s="476"/>
      <c r="RSE14" s="476"/>
      <c r="RSF14" s="476"/>
      <c r="RSG14" s="476"/>
      <c r="RSH14" s="476"/>
      <c r="RSI14" s="477"/>
      <c r="RSJ14" s="477"/>
      <c r="RSK14" s="463"/>
      <c r="RSL14" s="475"/>
      <c r="RSM14" s="476"/>
      <c r="RSN14" s="476"/>
      <c r="RSO14" s="476"/>
      <c r="RSP14" s="476"/>
      <c r="RSQ14" s="476"/>
      <c r="RSR14" s="476"/>
      <c r="RSS14" s="476"/>
      <c r="RST14" s="476"/>
      <c r="RSU14" s="476"/>
      <c r="RSV14" s="476"/>
      <c r="RSW14" s="476"/>
      <c r="RSX14" s="476"/>
      <c r="RSY14" s="477"/>
      <c r="RSZ14" s="477"/>
      <c r="RTA14" s="463"/>
      <c r="RTB14" s="475"/>
      <c r="RTC14" s="476"/>
      <c r="RTD14" s="476"/>
      <c r="RTE14" s="476"/>
      <c r="RTF14" s="476"/>
      <c r="RTG14" s="476"/>
      <c r="RTH14" s="476"/>
      <c r="RTI14" s="476"/>
      <c r="RTJ14" s="476"/>
      <c r="RTK14" s="476"/>
      <c r="RTL14" s="476"/>
      <c r="RTM14" s="476"/>
      <c r="RTN14" s="476"/>
      <c r="RTO14" s="477"/>
      <c r="RTP14" s="477"/>
      <c r="RTQ14" s="463"/>
      <c r="RTR14" s="475"/>
      <c r="RTS14" s="476"/>
      <c r="RTT14" s="476"/>
      <c r="RTU14" s="476"/>
      <c r="RTV14" s="476"/>
      <c r="RTW14" s="476"/>
      <c r="RTX14" s="476"/>
      <c r="RTY14" s="476"/>
      <c r="RTZ14" s="476"/>
      <c r="RUA14" s="476"/>
      <c r="RUB14" s="476"/>
      <c r="RUC14" s="476"/>
      <c r="RUD14" s="476"/>
      <c r="RUE14" s="477"/>
      <c r="RUF14" s="477"/>
      <c r="RUG14" s="463"/>
      <c r="RUH14" s="475"/>
      <c r="RUI14" s="476"/>
      <c r="RUJ14" s="476"/>
      <c r="RUK14" s="476"/>
      <c r="RUL14" s="476"/>
      <c r="RUM14" s="476"/>
      <c r="RUN14" s="476"/>
      <c r="RUO14" s="476"/>
      <c r="RUP14" s="476"/>
      <c r="RUQ14" s="476"/>
      <c r="RUR14" s="476"/>
      <c r="RUS14" s="476"/>
      <c r="RUT14" s="476"/>
      <c r="RUU14" s="477"/>
      <c r="RUV14" s="477"/>
      <c r="RUW14" s="463"/>
      <c r="RUX14" s="475"/>
      <c r="RUY14" s="476"/>
      <c r="RUZ14" s="476"/>
      <c r="RVA14" s="476"/>
      <c r="RVB14" s="476"/>
      <c r="RVC14" s="476"/>
      <c r="RVD14" s="476"/>
      <c r="RVE14" s="476"/>
      <c r="RVF14" s="476"/>
      <c r="RVG14" s="476"/>
      <c r="RVH14" s="476"/>
      <c r="RVI14" s="476"/>
      <c r="RVJ14" s="476"/>
      <c r="RVK14" s="477"/>
      <c r="RVL14" s="477"/>
      <c r="RVM14" s="463"/>
      <c r="RVN14" s="475"/>
      <c r="RVO14" s="476"/>
      <c r="RVP14" s="476"/>
      <c r="RVQ14" s="476"/>
      <c r="RVR14" s="476"/>
      <c r="RVS14" s="476"/>
      <c r="RVT14" s="476"/>
      <c r="RVU14" s="476"/>
      <c r="RVV14" s="476"/>
      <c r="RVW14" s="476"/>
      <c r="RVX14" s="476"/>
      <c r="RVY14" s="476"/>
      <c r="RVZ14" s="476"/>
      <c r="RWA14" s="477"/>
      <c r="RWB14" s="477"/>
      <c r="RWC14" s="463"/>
      <c r="RWD14" s="475"/>
      <c r="RWE14" s="476"/>
      <c r="RWF14" s="476"/>
      <c r="RWG14" s="476"/>
      <c r="RWH14" s="476"/>
      <c r="RWI14" s="476"/>
      <c r="RWJ14" s="476"/>
      <c r="RWK14" s="476"/>
      <c r="RWL14" s="476"/>
      <c r="RWM14" s="476"/>
      <c r="RWN14" s="476"/>
      <c r="RWO14" s="476"/>
      <c r="RWP14" s="476"/>
      <c r="RWQ14" s="477"/>
      <c r="RWR14" s="477"/>
      <c r="RWS14" s="463"/>
      <c r="RWT14" s="475"/>
      <c r="RWU14" s="476"/>
      <c r="RWV14" s="476"/>
      <c r="RWW14" s="476"/>
      <c r="RWX14" s="476"/>
      <c r="RWY14" s="476"/>
      <c r="RWZ14" s="476"/>
      <c r="RXA14" s="476"/>
      <c r="RXB14" s="476"/>
      <c r="RXC14" s="476"/>
      <c r="RXD14" s="476"/>
      <c r="RXE14" s="476"/>
      <c r="RXF14" s="476"/>
      <c r="RXG14" s="477"/>
      <c r="RXH14" s="477"/>
      <c r="RXI14" s="463"/>
      <c r="RXJ14" s="475"/>
      <c r="RXK14" s="476"/>
      <c r="RXL14" s="476"/>
      <c r="RXM14" s="476"/>
      <c r="RXN14" s="476"/>
      <c r="RXO14" s="476"/>
      <c r="RXP14" s="476"/>
      <c r="RXQ14" s="476"/>
      <c r="RXR14" s="476"/>
      <c r="RXS14" s="476"/>
      <c r="RXT14" s="476"/>
      <c r="RXU14" s="476"/>
      <c r="RXV14" s="476"/>
      <c r="RXW14" s="477"/>
      <c r="RXX14" s="477"/>
      <c r="RXY14" s="463"/>
      <c r="RXZ14" s="475"/>
      <c r="RYA14" s="476"/>
      <c r="RYB14" s="476"/>
      <c r="RYC14" s="476"/>
      <c r="RYD14" s="476"/>
      <c r="RYE14" s="476"/>
      <c r="RYF14" s="476"/>
      <c r="RYG14" s="476"/>
      <c r="RYH14" s="476"/>
      <c r="RYI14" s="476"/>
      <c r="RYJ14" s="476"/>
      <c r="RYK14" s="476"/>
      <c r="RYL14" s="476"/>
      <c r="RYM14" s="477"/>
      <c r="RYN14" s="477"/>
      <c r="RYO14" s="463"/>
      <c r="RYP14" s="475"/>
      <c r="RYQ14" s="476"/>
      <c r="RYR14" s="476"/>
      <c r="RYS14" s="476"/>
      <c r="RYT14" s="476"/>
      <c r="RYU14" s="476"/>
      <c r="RYV14" s="476"/>
      <c r="RYW14" s="476"/>
      <c r="RYX14" s="476"/>
      <c r="RYY14" s="476"/>
      <c r="RYZ14" s="476"/>
      <c r="RZA14" s="476"/>
      <c r="RZB14" s="476"/>
      <c r="RZC14" s="477"/>
      <c r="RZD14" s="477"/>
      <c r="RZE14" s="463"/>
      <c r="RZF14" s="475"/>
      <c r="RZG14" s="476"/>
      <c r="RZH14" s="476"/>
      <c r="RZI14" s="476"/>
      <c r="RZJ14" s="476"/>
      <c r="RZK14" s="476"/>
      <c r="RZL14" s="476"/>
      <c r="RZM14" s="476"/>
      <c r="RZN14" s="476"/>
      <c r="RZO14" s="476"/>
      <c r="RZP14" s="476"/>
      <c r="RZQ14" s="476"/>
      <c r="RZR14" s="476"/>
      <c r="RZS14" s="477"/>
      <c r="RZT14" s="477"/>
      <c r="RZU14" s="463"/>
      <c r="RZV14" s="475"/>
      <c r="RZW14" s="476"/>
      <c r="RZX14" s="476"/>
      <c r="RZY14" s="476"/>
      <c r="RZZ14" s="476"/>
      <c r="SAA14" s="476"/>
      <c r="SAB14" s="476"/>
      <c r="SAC14" s="476"/>
      <c r="SAD14" s="476"/>
      <c r="SAE14" s="476"/>
      <c r="SAF14" s="476"/>
      <c r="SAG14" s="476"/>
      <c r="SAH14" s="476"/>
      <c r="SAI14" s="477"/>
      <c r="SAJ14" s="477"/>
      <c r="SAK14" s="463"/>
      <c r="SAL14" s="475"/>
      <c r="SAM14" s="476"/>
      <c r="SAN14" s="476"/>
      <c r="SAO14" s="476"/>
      <c r="SAP14" s="476"/>
      <c r="SAQ14" s="476"/>
      <c r="SAR14" s="476"/>
      <c r="SAS14" s="476"/>
      <c r="SAT14" s="476"/>
      <c r="SAU14" s="476"/>
      <c r="SAV14" s="476"/>
      <c r="SAW14" s="476"/>
      <c r="SAX14" s="476"/>
      <c r="SAY14" s="477"/>
      <c r="SAZ14" s="477"/>
      <c r="SBA14" s="463"/>
      <c r="SBB14" s="475"/>
      <c r="SBC14" s="476"/>
      <c r="SBD14" s="476"/>
      <c r="SBE14" s="476"/>
      <c r="SBF14" s="476"/>
      <c r="SBG14" s="476"/>
      <c r="SBH14" s="476"/>
      <c r="SBI14" s="476"/>
      <c r="SBJ14" s="476"/>
      <c r="SBK14" s="476"/>
      <c r="SBL14" s="476"/>
      <c r="SBM14" s="476"/>
      <c r="SBN14" s="476"/>
      <c r="SBO14" s="477"/>
      <c r="SBP14" s="477"/>
      <c r="SBQ14" s="463"/>
      <c r="SBR14" s="475"/>
      <c r="SBS14" s="476"/>
      <c r="SBT14" s="476"/>
      <c r="SBU14" s="476"/>
      <c r="SBV14" s="476"/>
      <c r="SBW14" s="476"/>
      <c r="SBX14" s="476"/>
      <c r="SBY14" s="476"/>
      <c r="SBZ14" s="476"/>
      <c r="SCA14" s="476"/>
      <c r="SCB14" s="476"/>
      <c r="SCC14" s="476"/>
      <c r="SCD14" s="476"/>
      <c r="SCE14" s="477"/>
      <c r="SCF14" s="477"/>
      <c r="SCG14" s="463"/>
      <c r="SCH14" s="475"/>
      <c r="SCI14" s="476"/>
      <c r="SCJ14" s="476"/>
      <c r="SCK14" s="476"/>
      <c r="SCL14" s="476"/>
      <c r="SCM14" s="476"/>
      <c r="SCN14" s="476"/>
      <c r="SCO14" s="476"/>
      <c r="SCP14" s="476"/>
      <c r="SCQ14" s="476"/>
      <c r="SCR14" s="476"/>
      <c r="SCS14" s="476"/>
      <c r="SCT14" s="476"/>
      <c r="SCU14" s="477"/>
      <c r="SCV14" s="477"/>
      <c r="SCW14" s="463"/>
      <c r="SCX14" s="475"/>
      <c r="SCY14" s="476"/>
      <c r="SCZ14" s="476"/>
      <c r="SDA14" s="476"/>
      <c r="SDB14" s="476"/>
      <c r="SDC14" s="476"/>
      <c r="SDD14" s="476"/>
      <c r="SDE14" s="476"/>
      <c r="SDF14" s="476"/>
      <c r="SDG14" s="476"/>
      <c r="SDH14" s="476"/>
      <c r="SDI14" s="476"/>
      <c r="SDJ14" s="476"/>
      <c r="SDK14" s="477"/>
      <c r="SDL14" s="477"/>
      <c r="SDM14" s="463"/>
      <c r="SDN14" s="475"/>
      <c r="SDO14" s="476"/>
      <c r="SDP14" s="476"/>
      <c r="SDQ14" s="476"/>
      <c r="SDR14" s="476"/>
      <c r="SDS14" s="476"/>
      <c r="SDT14" s="476"/>
      <c r="SDU14" s="476"/>
      <c r="SDV14" s="476"/>
      <c r="SDW14" s="476"/>
      <c r="SDX14" s="476"/>
      <c r="SDY14" s="476"/>
      <c r="SDZ14" s="476"/>
      <c r="SEA14" s="477"/>
      <c r="SEB14" s="477"/>
      <c r="SEC14" s="463"/>
      <c r="SED14" s="475"/>
      <c r="SEE14" s="476"/>
      <c r="SEF14" s="476"/>
      <c r="SEG14" s="476"/>
      <c r="SEH14" s="476"/>
      <c r="SEI14" s="476"/>
      <c r="SEJ14" s="476"/>
      <c r="SEK14" s="476"/>
      <c r="SEL14" s="476"/>
      <c r="SEM14" s="476"/>
      <c r="SEN14" s="476"/>
      <c r="SEO14" s="476"/>
      <c r="SEP14" s="476"/>
      <c r="SEQ14" s="477"/>
      <c r="SER14" s="477"/>
      <c r="SES14" s="463"/>
      <c r="SET14" s="475"/>
      <c r="SEU14" s="476"/>
      <c r="SEV14" s="476"/>
      <c r="SEW14" s="476"/>
      <c r="SEX14" s="476"/>
      <c r="SEY14" s="476"/>
      <c r="SEZ14" s="476"/>
      <c r="SFA14" s="476"/>
      <c r="SFB14" s="476"/>
      <c r="SFC14" s="476"/>
      <c r="SFD14" s="476"/>
      <c r="SFE14" s="476"/>
      <c r="SFF14" s="476"/>
      <c r="SFG14" s="477"/>
      <c r="SFH14" s="477"/>
      <c r="SFI14" s="463"/>
      <c r="SFJ14" s="475"/>
      <c r="SFK14" s="476"/>
      <c r="SFL14" s="476"/>
      <c r="SFM14" s="476"/>
      <c r="SFN14" s="476"/>
      <c r="SFO14" s="476"/>
      <c r="SFP14" s="476"/>
      <c r="SFQ14" s="476"/>
      <c r="SFR14" s="476"/>
      <c r="SFS14" s="476"/>
      <c r="SFT14" s="476"/>
      <c r="SFU14" s="476"/>
      <c r="SFV14" s="476"/>
      <c r="SFW14" s="477"/>
      <c r="SFX14" s="477"/>
      <c r="SFY14" s="463"/>
      <c r="SFZ14" s="475"/>
      <c r="SGA14" s="476"/>
      <c r="SGB14" s="476"/>
      <c r="SGC14" s="476"/>
      <c r="SGD14" s="476"/>
      <c r="SGE14" s="476"/>
      <c r="SGF14" s="476"/>
      <c r="SGG14" s="476"/>
      <c r="SGH14" s="476"/>
      <c r="SGI14" s="476"/>
      <c r="SGJ14" s="476"/>
      <c r="SGK14" s="476"/>
      <c r="SGL14" s="476"/>
      <c r="SGM14" s="477"/>
      <c r="SGN14" s="477"/>
      <c r="SGO14" s="463"/>
      <c r="SGP14" s="475"/>
      <c r="SGQ14" s="476"/>
      <c r="SGR14" s="476"/>
      <c r="SGS14" s="476"/>
      <c r="SGT14" s="476"/>
      <c r="SGU14" s="476"/>
      <c r="SGV14" s="476"/>
      <c r="SGW14" s="476"/>
      <c r="SGX14" s="476"/>
      <c r="SGY14" s="476"/>
      <c r="SGZ14" s="476"/>
      <c r="SHA14" s="476"/>
      <c r="SHB14" s="476"/>
      <c r="SHC14" s="477"/>
      <c r="SHD14" s="477"/>
      <c r="SHE14" s="463"/>
      <c r="SHF14" s="475"/>
      <c r="SHG14" s="476"/>
      <c r="SHH14" s="476"/>
      <c r="SHI14" s="476"/>
      <c r="SHJ14" s="476"/>
      <c r="SHK14" s="476"/>
      <c r="SHL14" s="476"/>
      <c r="SHM14" s="476"/>
      <c r="SHN14" s="476"/>
      <c r="SHO14" s="476"/>
      <c r="SHP14" s="476"/>
      <c r="SHQ14" s="476"/>
      <c r="SHR14" s="476"/>
      <c r="SHS14" s="477"/>
      <c r="SHT14" s="477"/>
      <c r="SHU14" s="463"/>
      <c r="SHV14" s="475"/>
      <c r="SHW14" s="476"/>
      <c r="SHX14" s="476"/>
      <c r="SHY14" s="476"/>
      <c r="SHZ14" s="476"/>
      <c r="SIA14" s="476"/>
      <c r="SIB14" s="476"/>
      <c r="SIC14" s="476"/>
      <c r="SID14" s="476"/>
      <c r="SIE14" s="476"/>
      <c r="SIF14" s="476"/>
      <c r="SIG14" s="476"/>
      <c r="SIH14" s="476"/>
      <c r="SII14" s="477"/>
      <c r="SIJ14" s="477"/>
      <c r="SIK14" s="463"/>
      <c r="SIL14" s="475"/>
      <c r="SIM14" s="476"/>
      <c r="SIN14" s="476"/>
      <c r="SIO14" s="476"/>
      <c r="SIP14" s="476"/>
      <c r="SIQ14" s="476"/>
      <c r="SIR14" s="476"/>
      <c r="SIS14" s="476"/>
      <c r="SIT14" s="476"/>
      <c r="SIU14" s="476"/>
      <c r="SIV14" s="476"/>
      <c r="SIW14" s="476"/>
      <c r="SIX14" s="476"/>
      <c r="SIY14" s="477"/>
      <c r="SIZ14" s="477"/>
      <c r="SJA14" s="463"/>
      <c r="SJB14" s="475"/>
      <c r="SJC14" s="476"/>
      <c r="SJD14" s="476"/>
      <c r="SJE14" s="476"/>
      <c r="SJF14" s="476"/>
      <c r="SJG14" s="476"/>
      <c r="SJH14" s="476"/>
      <c r="SJI14" s="476"/>
      <c r="SJJ14" s="476"/>
      <c r="SJK14" s="476"/>
      <c r="SJL14" s="476"/>
      <c r="SJM14" s="476"/>
      <c r="SJN14" s="476"/>
      <c r="SJO14" s="477"/>
      <c r="SJP14" s="477"/>
      <c r="SJQ14" s="463"/>
      <c r="SJR14" s="475"/>
      <c r="SJS14" s="476"/>
      <c r="SJT14" s="476"/>
      <c r="SJU14" s="476"/>
      <c r="SJV14" s="476"/>
      <c r="SJW14" s="476"/>
      <c r="SJX14" s="476"/>
      <c r="SJY14" s="476"/>
      <c r="SJZ14" s="476"/>
      <c r="SKA14" s="476"/>
      <c r="SKB14" s="476"/>
      <c r="SKC14" s="476"/>
      <c r="SKD14" s="476"/>
      <c r="SKE14" s="477"/>
      <c r="SKF14" s="477"/>
      <c r="SKG14" s="463"/>
      <c r="SKH14" s="475"/>
      <c r="SKI14" s="476"/>
      <c r="SKJ14" s="476"/>
      <c r="SKK14" s="476"/>
      <c r="SKL14" s="476"/>
      <c r="SKM14" s="476"/>
      <c r="SKN14" s="476"/>
      <c r="SKO14" s="476"/>
      <c r="SKP14" s="476"/>
      <c r="SKQ14" s="476"/>
      <c r="SKR14" s="476"/>
      <c r="SKS14" s="476"/>
      <c r="SKT14" s="476"/>
      <c r="SKU14" s="477"/>
      <c r="SKV14" s="477"/>
      <c r="SKW14" s="463"/>
      <c r="SKX14" s="475"/>
      <c r="SKY14" s="476"/>
      <c r="SKZ14" s="476"/>
      <c r="SLA14" s="476"/>
      <c r="SLB14" s="476"/>
      <c r="SLC14" s="476"/>
      <c r="SLD14" s="476"/>
      <c r="SLE14" s="476"/>
      <c r="SLF14" s="476"/>
      <c r="SLG14" s="476"/>
      <c r="SLH14" s="476"/>
      <c r="SLI14" s="476"/>
      <c r="SLJ14" s="476"/>
      <c r="SLK14" s="477"/>
      <c r="SLL14" s="477"/>
      <c r="SLM14" s="463"/>
      <c r="SLN14" s="475"/>
      <c r="SLO14" s="476"/>
      <c r="SLP14" s="476"/>
      <c r="SLQ14" s="476"/>
      <c r="SLR14" s="476"/>
      <c r="SLS14" s="476"/>
      <c r="SLT14" s="476"/>
      <c r="SLU14" s="476"/>
      <c r="SLV14" s="476"/>
      <c r="SLW14" s="476"/>
      <c r="SLX14" s="476"/>
      <c r="SLY14" s="476"/>
      <c r="SLZ14" s="476"/>
      <c r="SMA14" s="477"/>
      <c r="SMB14" s="477"/>
      <c r="SMC14" s="463"/>
      <c r="SMD14" s="475"/>
      <c r="SME14" s="476"/>
      <c r="SMF14" s="476"/>
      <c r="SMG14" s="476"/>
      <c r="SMH14" s="476"/>
      <c r="SMI14" s="476"/>
      <c r="SMJ14" s="476"/>
      <c r="SMK14" s="476"/>
      <c r="SML14" s="476"/>
      <c r="SMM14" s="476"/>
      <c r="SMN14" s="476"/>
      <c r="SMO14" s="476"/>
      <c r="SMP14" s="476"/>
      <c r="SMQ14" s="477"/>
      <c r="SMR14" s="477"/>
      <c r="SMS14" s="463"/>
      <c r="SMT14" s="475"/>
      <c r="SMU14" s="476"/>
      <c r="SMV14" s="476"/>
      <c r="SMW14" s="476"/>
      <c r="SMX14" s="476"/>
      <c r="SMY14" s="476"/>
      <c r="SMZ14" s="476"/>
      <c r="SNA14" s="476"/>
      <c r="SNB14" s="476"/>
      <c r="SNC14" s="476"/>
      <c r="SND14" s="476"/>
      <c r="SNE14" s="476"/>
      <c r="SNF14" s="476"/>
      <c r="SNG14" s="477"/>
      <c r="SNH14" s="477"/>
      <c r="SNI14" s="463"/>
      <c r="SNJ14" s="475"/>
      <c r="SNK14" s="476"/>
      <c r="SNL14" s="476"/>
      <c r="SNM14" s="476"/>
      <c r="SNN14" s="476"/>
      <c r="SNO14" s="476"/>
      <c r="SNP14" s="476"/>
      <c r="SNQ14" s="476"/>
      <c r="SNR14" s="476"/>
      <c r="SNS14" s="476"/>
      <c r="SNT14" s="476"/>
      <c r="SNU14" s="476"/>
      <c r="SNV14" s="476"/>
      <c r="SNW14" s="477"/>
      <c r="SNX14" s="477"/>
      <c r="SNY14" s="463"/>
      <c r="SNZ14" s="475"/>
      <c r="SOA14" s="476"/>
      <c r="SOB14" s="476"/>
      <c r="SOC14" s="476"/>
      <c r="SOD14" s="476"/>
      <c r="SOE14" s="476"/>
      <c r="SOF14" s="476"/>
      <c r="SOG14" s="476"/>
      <c r="SOH14" s="476"/>
      <c r="SOI14" s="476"/>
      <c r="SOJ14" s="476"/>
      <c r="SOK14" s="476"/>
      <c r="SOL14" s="476"/>
      <c r="SOM14" s="477"/>
      <c r="SON14" s="477"/>
      <c r="SOO14" s="463"/>
      <c r="SOP14" s="475"/>
      <c r="SOQ14" s="476"/>
      <c r="SOR14" s="476"/>
      <c r="SOS14" s="476"/>
      <c r="SOT14" s="476"/>
      <c r="SOU14" s="476"/>
      <c r="SOV14" s="476"/>
      <c r="SOW14" s="476"/>
      <c r="SOX14" s="476"/>
      <c r="SOY14" s="476"/>
      <c r="SOZ14" s="476"/>
      <c r="SPA14" s="476"/>
      <c r="SPB14" s="476"/>
      <c r="SPC14" s="477"/>
      <c r="SPD14" s="477"/>
      <c r="SPE14" s="463"/>
      <c r="SPF14" s="475"/>
      <c r="SPG14" s="476"/>
      <c r="SPH14" s="476"/>
      <c r="SPI14" s="476"/>
      <c r="SPJ14" s="476"/>
      <c r="SPK14" s="476"/>
      <c r="SPL14" s="476"/>
      <c r="SPM14" s="476"/>
      <c r="SPN14" s="476"/>
      <c r="SPO14" s="476"/>
      <c r="SPP14" s="476"/>
      <c r="SPQ14" s="476"/>
      <c r="SPR14" s="476"/>
      <c r="SPS14" s="477"/>
      <c r="SPT14" s="477"/>
      <c r="SPU14" s="463"/>
      <c r="SPV14" s="475"/>
      <c r="SPW14" s="476"/>
      <c r="SPX14" s="476"/>
      <c r="SPY14" s="476"/>
      <c r="SPZ14" s="476"/>
      <c r="SQA14" s="476"/>
      <c r="SQB14" s="476"/>
      <c r="SQC14" s="476"/>
      <c r="SQD14" s="476"/>
      <c r="SQE14" s="476"/>
      <c r="SQF14" s="476"/>
      <c r="SQG14" s="476"/>
      <c r="SQH14" s="476"/>
      <c r="SQI14" s="477"/>
      <c r="SQJ14" s="477"/>
      <c r="SQK14" s="463"/>
      <c r="SQL14" s="475"/>
      <c r="SQM14" s="476"/>
      <c r="SQN14" s="476"/>
      <c r="SQO14" s="476"/>
      <c r="SQP14" s="476"/>
      <c r="SQQ14" s="476"/>
      <c r="SQR14" s="476"/>
      <c r="SQS14" s="476"/>
      <c r="SQT14" s="476"/>
      <c r="SQU14" s="476"/>
      <c r="SQV14" s="476"/>
      <c r="SQW14" s="476"/>
      <c r="SQX14" s="476"/>
      <c r="SQY14" s="477"/>
      <c r="SQZ14" s="477"/>
      <c r="SRA14" s="463"/>
      <c r="SRB14" s="475"/>
      <c r="SRC14" s="476"/>
      <c r="SRD14" s="476"/>
      <c r="SRE14" s="476"/>
      <c r="SRF14" s="476"/>
      <c r="SRG14" s="476"/>
      <c r="SRH14" s="476"/>
      <c r="SRI14" s="476"/>
      <c r="SRJ14" s="476"/>
      <c r="SRK14" s="476"/>
      <c r="SRL14" s="476"/>
      <c r="SRM14" s="476"/>
      <c r="SRN14" s="476"/>
      <c r="SRO14" s="477"/>
      <c r="SRP14" s="477"/>
      <c r="SRQ14" s="463"/>
      <c r="SRR14" s="475"/>
      <c r="SRS14" s="476"/>
      <c r="SRT14" s="476"/>
      <c r="SRU14" s="476"/>
      <c r="SRV14" s="476"/>
      <c r="SRW14" s="476"/>
      <c r="SRX14" s="476"/>
      <c r="SRY14" s="476"/>
      <c r="SRZ14" s="476"/>
      <c r="SSA14" s="476"/>
      <c r="SSB14" s="476"/>
      <c r="SSC14" s="476"/>
      <c r="SSD14" s="476"/>
      <c r="SSE14" s="477"/>
      <c r="SSF14" s="477"/>
      <c r="SSG14" s="463"/>
      <c r="SSH14" s="475"/>
      <c r="SSI14" s="476"/>
      <c r="SSJ14" s="476"/>
      <c r="SSK14" s="476"/>
      <c r="SSL14" s="476"/>
      <c r="SSM14" s="476"/>
      <c r="SSN14" s="476"/>
      <c r="SSO14" s="476"/>
      <c r="SSP14" s="476"/>
      <c r="SSQ14" s="476"/>
      <c r="SSR14" s="476"/>
      <c r="SSS14" s="476"/>
      <c r="SST14" s="476"/>
      <c r="SSU14" s="477"/>
      <c r="SSV14" s="477"/>
      <c r="SSW14" s="463"/>
      <c r="SSX14" s="475"/>
      <c r="SSY14" s="476"/>
      <c r="SSZ14" s="476"/>
      <c r="STA14" s="476"/>
      <c r="STB14" s="476"/>
      <c r="STC14" s="476"/>
      <c r="STD14" s="476"/>
      <c r="STE14" s="476"/>
      <c r="STF14" s="476"/>
      <c r="STG14" s="476"/>
      <c r="STH14" s="476"/>
      <c r="STI14" s="476"/>
      <c r="STJ14" s="476"/>
      <c r="STK14" s="477"/>
      <c r="STL14" s="477"/>
      <c r="STM14" s="463"/>
      <c r="STN14" s="475"/>
      <c r="STO14" s="476"/>
      <c r="STP14" s="476"/>
      <c r="STQ14" s="476"/>
      <c r="STR14" s="476"/>
      <c r="STS14" s="476"/>
      <c r="STT14" s="476"/>
      <c r="STU14" s="476"/>
      <c r="STV14" s="476"/>
      <c r="STW14" s="476"/>
      <c r="STX14" s="476"/>
      <c r="STY14" s="476"/>
      <c r="STZ14" s="476"/>
      <c r="SUA14" s="477"/>
      <c r="SUB14" s="477"/>
      <c r="SUC14" s="463"/>
      <c r="SUD14" s="475"/>
      <c r="SUE14" s="476"/>
      <c r="SUF14" s="476"/>
      <c r="SUG14" s="476"/>
      <c r="SUH14" s="476"/>
      <c r="SUI14" s="476"/>
      <c r="SUJ14" s="476"/>
      <c r="SUK14" s="476"/>
      <c r="SUL14" s="476"/>
      <c r="SUM14" s="476"/>
      <c r="SUN14" s="476"/>
      <c r="SUO14" s="476"/>
      <c r="SUP14" s="476"/>
      <c r="SUQ14" s="477"/>
      <c r="SUR14" s="477"/>
      <c r="SUS14" s="463"/>
      <c r="SUT14" s="475"/>
      <c r="SUU14" s="476"/>
      <c r="SUV14" s="476"/>
      <c r="SUW14" s="476"/>
      <c r="SUX14" s="476"/>
      <c r="SUY14" s="476"/>
      <c r="SUZ14" s="476"/>
      <c r="SVA14" s="476"/>
      <c r="SVB14" s="476"/>
      <c r="SVC14" s="476"/>
      <c r="SVD14" s="476"/>
      <c r="SVE14" s="476"/>
      <c r="SVF14" s="476"/>
      <c r="SVG14" s="477"/>
      <c r="SVH14" s="477"/>
      <c r="SVI14" s="463"/>
      <c r="SVJ14" s="475"/>
      <c r="SVK14" s="476"/>
      <c r="SVL14" s="476"/>
      <c r="SVM14" s="476"/>
      <c r="SVN14" s="476"/>
      <c r="SVO14" s="476"/>
      <c r="SVP14" s="476"/>
      <c r="SVQ14" s="476"/>
      <c r="SVR14" s="476"/>
      <c r="SVS14" s="476"/>
      <c r="SVT14" s="476"/>
      <c r="SVU14" s="476"/>
      <c r="SVV14" s="476"/>
      <c r="SVW14" s="477"/>
      <c r="SVX14" s="477"/>
      <c r="SVY14" s="463"/>
      <c r="SVZ14" s="475"/>
      <c r="SWA14" s="476"/>
      <c r="SWB14" s="476"/>
      <c r="SWC14" s="476"/>
      <c r="SWD14" s="476"/>
      <c r="SWE14" s="476"/>
      <c r="SWF14" s="476"/>
      <c r="SWG14" s="476"/>
      <c r="SWH14" s="476"/>
      <c r="SWI14" s="476"/>
      <c r="SWJ14" s="476"/>
      <c r="SWK14" s="476"/>
      <c r="SWL14" s="476"/>
      <c r="SWM14" s="477"/>
      <c r="SWN14" s="477"/>
      <c r="SWO14" s="463"/>
      <c r="SWP14" s="475"/>
      <c r="SWQ14" s="476"/>
      <c r="SWR14" s="476"/>
      <c r="SWS14" s="476"/>
      <c r="SWT14" s="476"/>
      <c r="SWU14" s="476"/>
      <c r="SWV14" s="476"/>
      <c r="SWW14" s="476"/>
      <c r="SWX14" s="476"/>
      <c r="SWY14" s="476"/>
      <c r="SWZ14" s="476"/>
      <c r="SXA14" s="476"/>
      <c r="SXB14" s="476"/>
      <c r="SXC14" s="477"/>
      <c r="SXD14" s="477"/>
      <c r="SXE14" s="463"/>
      <c r="SXF14" s="475"/>
      <c r="SXG14" s="476"/>
      <c r="SXH14" s="476"/>
      <c r="SXI14" s="476"/>
      <c r="SXJ14" s="476"/>
      <c r="SXK14" s="476"/>
      <c r="SXL14" s="476"/>
      <c r="SXM14" s="476"/>
      <c r="SXN14" s="476"/>
      <c r="SXO14" s="476"/>
      <c r="SXP14" s="476"/>
      <c r="SXQ14" s="476"/>
      <c r="SXR14" s="476"/>
      <c r="SXS14" s="477"/>
      <c r="SXT14" s="477"/>
      <c r="SXU14" s="463"/>
      <c r="SXV14" s="475"/>
      <c r="SXW14" s="476"/>
      <c r="SXX14" s="476"/>
      <c r="SXY14" s="476"/>
      <c r="SXZ14" s="476"/>
      <c r="SYA14" s="476"/>
      <c r="SYB14" s="476"/>
      <c r="SYC14" s="476"/>
      <c r="SYD14" s="476"/>
      <c r="SYE14" s="476"/>
      <c r="SYF14" s="476"/>
      <c r="SYG14" s="476"/>
      <c r="SYH14" s="476"/>
      <c r="SYI14" s="477"/>
      <c r="SYJ14" s="477"/>
      <c r="SYK14" s="463"/>
      <c r="SYL14" s="475"/>
      <c r="SYM14" s="476"/>
      <c r="SYN14" s="476"/>
      <c r="SYO14" s="476"/>
      <c r="SYP14" s="476"/>
      <c r="SYQ14" s="476"/>
      <c r="SYR14" s="476"/>
      <c r="SYS14" s="476"/>
      <c r="SYT14" s="476"/>
      <c r="SYU14" s="476"/>
      <c r="SYV14" s="476"/>
      <c r="SYW14" s="476"/>
      <c r="SYX14" s="476"/>
      <c r="SYY14" s="477"/>
      <c r="SYZ14" s="477"/>
      <c r="SZA14" s="463"/>
      <c r="SZB14" s="475"/>
      <c r="SZC14" s="476"/>
      <c r="SZD14" s="476"/>
      <c r="SZE14" s="476"/>
      <c r="SZF14" s="476"/>
      <c r="SZG14" s="476"/>
      <c r="SZH14" s="476"/>
      <c r="SZI14" s="476"/>
      <c r="SZJ14" s="476"/>
      <c r="SZK14" s="476"/>
      <c r="SZL14" s="476"/>
      <c r="SZM14" s="476"/>
      <c r="SZN14" s="476"/>
      <c r="SZO14" s="477"/>
      <c r="SZP14" s="477"/>
      <c r="SZQ14" s="463"/>
      <c r="SZR14" s="475"/>
      <c r="SZS14" s="476"/>
      <c r="SZT14" s="476"/>
      <c r="SZU14" s="476"/>
      <c r="SZV14" s="476"/>
      <c r="SZW14" s="476"/>
      <c r="SZX14" s="476"/>
      <c r="SZY14" s="476"/>
      <c r="SZZ14" s="476"/>
      <c r="TAA14" s="476"/>
      <c r="TAB14" s="476"/>
      <c r="TAC14" s="476"/>
      <c r="TAD14" s="476"/>
      <c r="TAE14" s="477"/>
      <c r="TAF14" s="477"/>
      <c r="TAG14" s="463"/>
      <c r="TAH14" s="475"/>
      <c r="TAI14" s="476"/>
      <c r="TAJ14" s="476"/>
      <c r="TAK14" s="476"/>
      <c r="TAL14" s="476"/>
      <c r="TAM14" s="476"/>
      <c r="TAN14" s="476"/>
      <c r="TAO14" s="476"/>
      <c r="TAP14" s="476"/>
      <c r="TAQ14" s="476"/>
      <c r="TAR14" s="476"/>
      <c r="TAS14" s="476"/>
      <c r="TAT14" s="476"/>
      <c r="TAU14" s="477"/>
      <c r="TAV14" s="477"/>
      <c r="TAW14" s="463"/>
      <c r="TAX14" s="475"/>
      <c r="TAY14" s="476"/>
      <c r="TAZ14" s="476"/>
      <c r="TBA14" s="476"/>
      <c r="TBB14" s="476"/>
      <c r="TBC14" s="476"/>
      <c r="TBD14" s="476"/>
      <c r="TBE14" s="476"/>
      <c r="TBF14" s="476"/>
      <c r="TBG14" s="476"/>
      <c r="TBH14" s="476"/>
      <c r="TBI14" s="476"/>
      <c r="TBJ14" s="476"/>
      <c r="TBK14" s="477"/>
      <c r="TBL14" s="477"/>
      <c r="TBM14" s="463"/>
      <c r="TBN14" s="475"/>
      <c r="TBO14" s="476"/>
      <c r="TBP14" s="476"/>
      <c r="TBQ14" s="476"/>
      <c r="TBR14" s="476"/>
      <c r="TBS14" s="476"/>
      <c r="TBT14" s="476"/>
      <c r="TBU14" s="476"/>
      <c r="TBV14" s="476"/>
      <c r="TBW14" s="476"/>
      <c r="TBX14" s="476"/>
      <c r="TBY14" s="476"/>
      <c r="TBZ14" s="476"/>
      <c r="TCA14" s="477"/>
      <c r="TCB14" s="477"/>
      <c r="TCC14" s="463"/>
      <c r="TCD14" s="475"/>
      <c r="TCE14" s="476"/>
      <c r="TCF14" s="476"/>
      <c r="TCG14" s="476"/>
      <c r="TCH14" s="476"/>
      <c r="TCI14" s="476"/>
      <c r="TCJ14" s="476"/>
      <c r="TCK14" s="476"/>
      <c r="TCL14" s="476"/>
      <c r="TCM14" s="476"/>
      <c r="TCN14" s="476"/>
      <c r="TCO14" s="476"/>
      <c r="TCP14" s="476"/>
      <c r="TCQ14" s="477"/>
      <c r="TCR14" s="477"/>
      <c r="TCS14" s="463"/>
      <c r="TCT14" s="475"/>
      <c r="TCU14" s="476"/>
      <c r="TCV14" s="476"/>
      <c r="TCW14" s="476"/>
      <c r="TCX14" s="476"/>
      <c r="TCY14" s="476"/>
      <c r="TCZ14" s="476"/>
      <c r="TDA14" s="476"/>
      <c r="TDB14" s="476"/>
      <c r="TDC14" s="476"/>
      <c r="TDD14" s="476"/>
      <c r="TDE14" s="476"/>
      <c r="TDF14" s="476"/>
      <c r="TDG14" s="477"/>
      <c r="TDH14" s="477"/>
      <c r="TDI14" s="463"/>
      <c r="TDJ14" s="475"/>
      <c r="TDK14" s="476"/>
      <c r="TDL14" s="476"/>
      <c r="TDM14" s="476"/>
      <c r="TDN14" s="476"/>
      <c r="TDO14" s="476"/>
      <c r="TDP14" s="476"/>
      <c r="TDQ14" s="476"/>
      <c r="TDR14" s="476"/>
      <c r="TDS14" s="476"/>
      <c r="TDT14" s="476"/>
      <c r="TDU14" s="476"/>
      <c r="TDV14" s="476"/>
      <c r="TDW14" s="477"/>
      <c r="TDX14" s="477"/>
      <c r="TDY14" s="463"/>
      <c r="TDZ14" s="475"/>
      <c r="TEA14" s="476"/>
      <c r="TEB14" s="476"/>
      <c r="TEC14" s="476"/>
      <c r="TED14" s="476"/>
      <c r="TEE14" s="476"/>
      <c r="TEF14" s="476"/>
      <c r="TEG14" s="476"/>
      <c r="TEH14" s="476"/>
      <c r="TEI14" s="476"/>
      <c r="TEJ14" s="476"/>
      <c r="TEK14" s="476"/>
      <c r="TEL14" s="476"/>
      <c r="TEM14" s="477"/>
      <c r="TEN14" s="477"/>
      <c r="TEO14" s="463"/>
      <c r="TEP14" s="475"/>
      <c r="TEQ14" s="476"/>
      <c r="TER14" s="476"/>
      <c r="TES14" s="476"/>
      <c r="TET14" s="476"/>
      <c r="TEU14" s="476"/>
      <c r="TEV14" s="476"/>
      <c r="TEW14" s="476"/>
      <c r="TEX14" s="476"/>
      <c r="TEY14" s="476"/>
      <c r="TEZ14" s="476"/>
      <c r="TFA14" s="476"/>
      <c r="TFB14" s="476"/>
      <c r="TFC14" s="477"/>
      <c r="TFD14" s="477"/>
      <c r="TFE14" s="463"/>
      <c r="TFF14" s="475"/>
      <c r="TFG14" s="476"/>
      <c r="TFH14" s="476"/>
      <c r="TFI14" s="476"/>
      <c r="TFJ14" s="476"/>
      <c r="TFK14" s="476"/>
      <c r="TFL14" s="476"/>
      <c r="TFM14" s="476"/>
      <c r="TFN14" s="476"/>
      <c r="TFO14" s="476"/>
      <c r="TFP14" s="476"/>
      <c r="TFQ14" s="476"/>
      <c r="TFR14" s="476"/>
      <c r="TFS14" s="477"/>
      <c r="TFT14" s="477"/>
      <c r="TFU14" s="463"/>
      <c r="TFV14" s="475"/>
      <c r="TFW14" s="476"/>
      <c r="TFX14" s="476"/>
      <c r="TFY14" s="476"/>
      <c r="TFZ14" s="476"/>
      <c r="TGA14" s="476"/>
      <c r="TGB14" s="476"/>
      <c r="TGC14" s="476"/>
      <c r="TGD14" s="476"/>
      <c r="TGE14" s="476"/>
      <c r="TGF14" s="476"/>
      <c r="TGG14" s="476"/>
      <c r="TGH14" s="476"/>
      <c r="TGI14" s="477"/>
      <c r="TGJ14" s="477"/>
      <c r="TGK14" s="463"/>
      <c r="TGL14" s="475"/>
      <c r="TGM14" s="476"/>
      <c r="TGN14" s="476"/>
      <c r="TGO14" s="476"/>
      <c r="TGP14" s="476"/>
      <c r="TGQ14" s="476"/>
      <c r="TGR14" s="476"/>
      <c r="TGS14" s="476"/>
      <c r="TGT14" s="476"/>
      <c r="TGU14" s="476"/>
      <c r="TGV14" s="476"/>
      <c r="TGW14" s="476"/>
      <c r="TGX14" s="476"/>
      <c r="TGY14" s="477"/>
      <c r="TGZ14" s="477"/>
      <c r="THA14" s="463"/>
      <c r="THB14" s="475"/>
      <c r="THC14" s="476"/>
      <c r="THD14" s="476"/>
      <c r="THE14" s="476"/>
      <c r="THF14" s="476"/>
      <c r="THG14" s="476"/>
      <c r="THH14" s="476"/>
      <c r="THI14" s="476"/>
      <c r="THJ14" s="476"/>
      <c r="THK14" s="476"/>
      <c r="THL14" s="476"/>
      <c r="THM14" s="476"/>
      <c r="THN14" s="476"/>
      <c r="THO14" s="477"/>
      <c r="THP14" s="477"/>
      <c r="THQ14" s="463"/>
      <c r="THR14" s="475"/>
      <c r="THS14" s="476"/>
      <c r="THT14" s="476"/>
      <c r="THU14" s="476"/>
      <c r="THV14" s="476"/>
      <c r="THW14" s="476"/>
      <c r="THX14" s="476"/>
      <c r="THY14" s="476"/>
      <c r="THZ14" s="476"/>
      <c r="TIA14" s="476"/>
      <c r="TIB14" s="476"/>
      <c r="TIC14" s="476"/>
      <c r="TID14" s="476"/>
      <c r="TIE14" s="477"/>
      <c r="TIF14" s="477"/>
      <c r="TIG14" s="463"/>
      <c r="TIH14" s="475"/>
      <c r="TII14" s="476"/>
      <c r="TIJ14" s="476"/>
      <c r="TIK14" s="476"/>
      <c r="TIL14" s="476"/>
      <c r="TIM14" s="476"/>
      <c r="TIN14" s="476"/>
      <c r="TIO14" s="476"/>
      <c r="TIP14" s="476"/>
      <c r="TIQ14" s="476"/>
      <c r="TIR14" s="476"/>
      <c r="TIS14" s="476"/>
      <c r="TIT14" s="476"/>
      <c r="TIU14" s="477"/>
      <c r="TIV14" s="477"/>
      <c r="TIW14" s="463"/>
      <c r="TIX14" s="475"/>
      <c r="TIY14" s="476"/>
      <c r="TIZ14" s="476"/>
      <c r="TJA14" s="476"/>
      <c r="TJB14" s="476"/>
      <c r="TJC14" s="476"/>
      <c r="TJD14" s="476"/>
      <c r="TJE14" s="476"/>
      <c r="TJF14" s="476"/>
      <c r="TJG14" s="476"/>
      <c r="TJH14" s="476"/>
      <c r="TJI14" s="476"/>
      <c r="TJJ14" s="476"/>
      <c r="TJK14" s="477"/>
      <c r="TJL14" s="477"/>
      <c r="TJM14" s="463"/>
      <c r="TJN14" s="475"/>
      <c r="TJO14" s="476"/>
      <c r="TJP14" s="476"/>
      <c r="TJQ14" s="476"/>
      <c r="TJR14" s="476"/>
      <c r="TJS14" s="476"/>
      <c r="TJT14" s="476"/>
      <c r="TJU14" s="476"/>
      <c r="TJV14" s="476"/>
      <c r="TJW14" s="476"/>
      <c r="TJX14" s="476"/>
      <c r="TJY14" s="476"/>
      <c r="TJZ14" s="476"/>
      <c r="TKA14" s="477"/>
      <c r="TKB14" s="477"/>
      <c r="TKC14" s="463"/>
      <c r="TKD14" s="475"/>
      <c r="TKE14" s="476"/>
      <c r="TKF14" s="476"/>
      <c r="TKG14" s="476"/>
      <c r="TKH14" s="476"/>
      <c r="TKI14" s="476"/>
      <c r="TKJ14" s="476"/>
      <c r="TKK14" s="476"/>
      <c r="TKL14" s="476"/>
      <c r="TKM14" s="476"/>
      <c r="TKN14" s="476"/>
      <c r="TKO14" s="476"/>
      <c r="TKP14" s="476"/>
      <c r="TKQ14" s="477"/>
      <c r="TKR14" s="477"/>
      <c r="TKS14" s="463"/>
      <c r="TKT14" s="475"/>
      <c r="TKU14" s="476"/>
      <c r="TKV14" s="476"/>
      <c r="TKW14" s="476"/>
      <c r="TKX14" s="476"/>
      <c r="TKY14" s="476"/>
      <c r="TKZ14" s="476"/>
      <c r="TLA14" s="476"/>
      <c r="TLB14" s="476"/>
      <c r="TLC14" s="476"/>
      <c r="TLD14" s="476"/>
      <c r="TLE14" s="476"/>
      <c r="TLF14" s="476"/>
      <c r="TLG14" s="477"/>
      <c r="TLH14" s="477"/>
      <c r="TLI14" s="463"/>
      <c r="TLJ14" s="475"/>
      <c r="TLK14" s="476"/>
      <c r="TLL14" s="476"/>
      <c r="TLM14" s="476"/>
      <c r="TLN14" s="476"/>
      <c r="TLO14" s="476"/>
      <c r="TLP14" s="476"/>
      <c r="TLQ14" s="476"/>
      <c r="TLR14" s="476"/>
      <c r="TLS14" s="476"/>
      <c r="TLT14" s="476"/>
      <c r="TLU14" s="476"/>
      <c r="TLV14" s="476"/>
      <c r="TLW14" s="477"/>
      <c r="TLX14" s="477"/>
      <c r="TLY14" s="463"/>
      <c r="TLZ14" s="475"/>
      <c r="TMA14" s="476"/>
      <c r="TMB14" s="476"/>
      <c r="TMC14" s="476"/>
      <c r="TMD14" s="476"/>
      <c r="TME14" s="476"/>
      <c r="TMF14" s="476"/>
      <c r="TMG14" s="476"/>
      <c r="TMH14" s="476"/>
      <c r="TMI14" s="476"/>
      <c r="TMJ14" s="476"/>
      <c r="TMK14" s="476"/>
      <c r="TML14" s="476"/>
      <c r="TMM14" s="477"/>
      <c r="TMN14" s="477"/>
      <c r="TMO14" s="463"/>
      <c r="TMP14" s="475"/>
      <c r="TMQ14" s="476"/>
      <c r="TMR14" s="476"/>
      <c r="TMS14" s="476"/>
      <c r="TMT14" s="476"/>
      <c r="TMU14" s="476"/>
      <c r="TMV14" s="476"/>
      <c r="TMW14" s="476"/>
      <c r="TMX14" s="476"/>
      <c r="TMY14" s="476"/>
      <c r="TMZ14" s="476"/>
      <c r="TNA14" s="476"/>
      <c r="TNB14" s="476"/>
      <c r="TNC14" s="477"/>
      <c r="TND14" s="477"/>
      <c r="TNE14" s="463"/>
      <c r="TNF14" s="475"/>
      <c r="TNG14" s="476"/>
      <c r="TNH14" s="476"/>
      <c r="TNI14" s="476"/>
      <c r="TNJ14" s="476"/>
      <c r="TNK14" s="476"/>
      <c r="TNL14" s="476"/>
      <c r="TNM14" s="476"/>
      <c r="TNN14" s="476"/>
      <c r="TNO14" s="476"/>
      <c r="TNP14" s="476"/>
      <c r="TNQ14" s="476"/>
      <c r="TNR14" s="476"/>
      <c r="TNS14" s="477"/>
      <c r="TNT14" s="477"/>
      <c r="TNU14" s="463"/>
      <c r="TNV14" s="475"/>
      <c r="TNW14" s="476"/>
      <c r="TNX14" s="476"/>
      <c r="TNY14" s="476"/>
      <c r="TNZ14" s="476"/>
      <c r="TOA14" s="476"/>
      <c r="TOB14" s="476"/>
      <c r="TOC14" s="476"/>
      <c r="TOD14" s="476"/>
      <c r="TOE14" s="476"/>
      <c r="TOF14" s="476"/>
      <c r="TOG14" s="476"/>
      <c r="TOH14" s="476"/>
      <c r="TOI14" s="477"/>
      <c r="TOJ14" s="477"/>
      <c r="TOK14" s="463"/>
      <c r="TOL14" s="475"/>
      <c r="TOM14" s="476"/>
      <c r="TON14" s="476"/>
      <c r="TOO14" s="476"/>
      <c r="TOP14" s="476"/>
      <c r="TOQ14" s="476"/>
      <c r="TOR14" s="476"/>
      <c r="TOS14" s="476"/>
      <c r="TOT14" s="476"/>
      <c r="TOU14" s="476"/>
      <c r="TOV14" s="476"/>
      <c r="TOW14" s="476"/>
      <c r="TOX14" s="476"/>
      <c r="TOY14" s="477"/>
      <c r="TOZ14" s="477"/>
      <c r="TPA14" s="463"/>
      <c r="TPB14" s="475"/>
      <c r="TPC14" s="476"/>
      <c r="TPD14" s="476"/>
      <c r="TPE14" s="476"/>
      <c r="TPF14" s="476"/>
      <c r="TPG14" s="476"/>
      <c r="TPH14" s="476"/>
      <c r="TPI14" s="476"/>
      <c r="TPJ14" s="476"/>
      <c r="TPK14" s="476"/>
      <c r="TPL14" s="476"/>
      <c r="TPM14" s="476"/>
      <c r="TPN14" s="476"/>
      <c r="TPO14" s="477"/>
      <c r="TPP14" s="477"/>
      <c r="TPQ14" s="463"/>
      <c r="TPR14" s="475"/>
      <c r="TPS14" s="476"/>
      <c r="TPT14" s="476"/>
      <c r="TPU14" s="476"/>
      <c r="TPV14" s="476"/>
      <c r="TPW14" s="476"/>
      <c r="TPX14" s="476"/>
      <c r="TPY14" s="476"/>
      <c r="TPZ14" s="476"/>
      <c r="TQA14" s="476"/>
      <c r="TQB14" s="476"/>
      <c r="TQC14" s="476"/>
      <c r="TQD14" s="476"/>
      <c r="TQE14" s="477"/>
      <c r="TQF14" s="477"/>
      <c r="TQG14" s="463"/>
      <c r="TQH14" s="475"/>
      <c r="TQI14" s="476"/>
      <c r="TQJ14" s="476"/>
      <c r="TQK14" s="476"/>
      <c r="TQL14" s="476"/>
      <c r="TQM14" s="476"/>
      <c r="TQN14" s="476"/>
      <c r="TQO14" s="476"/>
      <c r="TQP14" s="476"/>
      <c r="TQQ14" s="476"/>
      <c r="TQR14" s="476"/>
      <c r="TQS14" s="476"/>
      <c r="TQT14" s="476"/>
      <c r="TQU14" s="477"/>
      <c r="TQV14" s="477"/>
      <c r="TQW14" s="463"/>
      <c r="TQX14" s="475"/>
      <c r="TQY14" s="476"/>
      <c r="TQZ14" s="476"/>
      <c r="TRA14" s="476"/>
      <c r="TRB14" s="476"/>
      <c r="TRC14" s="476"/>
      <c r="TRD14" s="476"/>
      <c r="TRE14" s="476"/>
      <c r="TRF14" s="476"/>
      <c r="TRG14" s="476"/>
      <c r="TRH14" s="476"/>
      <c r="TRI14" s="476"/>
      <c r="TRJ14" s="476"/>
      <c r="TRK14" s="477"/>
      <c r="TRL14" s="477"/>
      <c r="TRM14" s="463"/>
      <c r="TRN14" s="475"/>
      <c r="TRO14" s="476"/>
      <c r="TRP14" s="476"/>
      <c r="TRQ14" s="476"/>
      <c r="TRR14" s="476"/>
      <c r="TRS14" s="476"/>
      <c r="TRT14" s="476"/>
      <c r="TRU14" s="476"/>
      <c r="TRV14" s="476"/>
      <c r="TRW14" s="476"/>
      <c r="TRX14" s="476"/>
      <c r="TRY14" s="476"/>
      <c r="TRZ14" s="476"/>
      <c r="TSA14" s="477"/>
      <c r="TSB14" s="477"/>
      <c r="TSC14" s="463"/>
      <c r="TSD14" s="475"/>
      <c r="TSE14" s="476"/>
      <c r="TSF14" s="476"/>
      <c r="TSG14" s="476"/>
      <c r="TSH14" s="476"/>
      <c r="TSI14" s="476"/>
      <c r="TSJ14" s="476"/>
      <c r="TSK14" s="476"/>
      <c r="TSL14" s="476"/>
      <c r="TSM14" s="476"/>
      <c r="TSN14" s="476"/>
      <c r="TSO14" s="476"/>
      <c r="TSP14" s="476"/>
      <c r="TSQ14" s="477"/>
      <c r="TSR14" s="477"/>
      <c r="TSS14" s="463"/>
      <c r="TST14" s="475"/>
      <c r="TSU14" s="476"/>
      <c r="TSV14" s="476"/>
      <c r="TSW14" s="476"/>
      <c r="TSX14" s="476"/>
      <c r="TSY14" s="476"/>
      <c r="TSZ14" s="476"/>
      <c r="TTA14" s="476"/>
      <c r="TTB14" s="476"/>
      <c r="TTC14" s="476"/>
      <c r="TTD14" s="476"/>
      <c r="TTE14" s="476"/>
      <c r="TTF14" s="476"/>
      <c r="TTG14" s="477"/>
      <c r="TTH14" s="477"/>
      <c r="TTI14" s="463"/>
      <c r="TTJ14" s="475"/>
      <c r="TTK14" s="476"/>
      <c r="TTL14" s="476"/>
      <c r="TTM14" s="476"/>
      <c r="TTN14" s="476"/>
      <c r="TTO14" s="476"/>
      <c r="TTP14" s="476"/>
      <c r="TTQ14" s="476"/>
      <c r="TTR14" s="476"/>
      <c r="TTS14" s="476"/>
      <c r="TTT14" s="476"/>
      <c r="TTU14" s="476"/>
      <c r="TTV14" s="476"/>
      <c r="TTW14" s="477"/>
      <c r="TTX14" s="477"/>
      <c r="TTY14" s="463"/>
      <c r="TTZ14" s="475"/>
      <c r="TUA14" s="476"/>
      <c r="TUB14" s="476"/>
      <c r="TUC14" s="476"/>
      <c r="TUD14" s="476"/>
      <c r="TUE14" s="476"/>
      <c r="TUF14" s="476"/>
      <c r="TUG14" s="476"/>
      <c r="TUH14" s="476"/>
      <c r="TUI14" s="476"/>
      <c r="TUJ14" s="476"/>
      <c r="TUK14" s="476"/>
      <c r="TUL14" s="476"/>
      <c r="TUM14" s="477"/>
      <c r="TUN14" s="477"/>
      <c r="TUO14" s="463"/>
      <c r="TUP14" s="475"/>
      <c r="TUQ14" s="476"/>
      <c r="TUR14" s="476"/>
      <c r="TUS14" s="476"/>
      <c r="TUT14" s="476"/>
      <c r="TUU14" s="476"/>
      <c r="TUV14" s="476"/>
      <c r="TUW14" s="476"/>
      <c r="TUX14" s="476"/>
      <c r="TUY14" s="476"/>
      <c r="TUZ14" s="476"/>
      <c r="TVA14" s="476"/>
      <c r="TVB14" s="476"/>
      <c r="TVC14" s="477"/>
      <c r="TVD14" s="477"/>
      <c r="TVE14" s="463"/>
      <c r="TVF14" s="475"/>
      <c r="TVG14" s="476"/>
      <c r="TVH14" s="476"/>
      <c r="TVI14" s="476"/>
      <c r="TVJ14" s="476"/>
      <c r="TVK14" s="476"/>
      <c r="TVL14" s="476"/>
      <c r="TVM14" s="476"/>
      <c r="TVN14" s="476"/>
      <c r="TVO14" s="476"/>
      <c r="TVP14" s="476"/>
      <c r="TVQ14" s="476"/>
      <c r="TVR14" s="476"/>
      <c r="TVS14" s="477"/>
      <c r="TVT14" s="477"/>
      <c r="TVU14" s="463"/>
      <c r="TVV14" s="475"/>
      <c r="TVW14" s="476"/>
      <c r="TVX14" s="476"/>
      <c r="TVY14" s="476"/>
      <c r="TVZ14" s="476"/>
      <c r="TWA14" s="476"/>
      <c r="TWB14" s="476"/>
      <c r="TWC14" s="476"/>
      <c r="TWD14" s="476"/>
      <c r="TWE14" s="476"/>
      <c r="TWF14" s="476"/>
      <c r="TWG14" s="476"/>
      <c r="TWH14" s="476"/>
      <c r="TWI14" s="477"/>
      <c r="TWJ14" s="477"/>
      <c r="TWK14" s="463"/>
      <c r="TWL14" s="475"/>
      <c r="TWM14" s="476"/>
      <c r="TWN14" s="476"/>
      <c r="TWO14" s="476"/>
      <c r="TWP14" s="476"/>
      <c r="TWQ14" s="476"/>
      <c r="TWR14" s="476"/>
      <c r="TWS14" s="476"/>
      <c r="TWT14" s="476"/>
      <c r="TWU14" s="476"/>
      <c r="TWV14" s="476"/>
      <c r="TWW14" s="476"/>
      <c r="TWX14" s="476"/>
      <c r="TWY14" s="477"/>
      <c r="TWZ14" s="477"/>
      <c r="TXA14" s="463"/>
      <c r="TXB14" s="475"/>
      <c r="TXC14" s="476"/>
      <c r="TXD14" s="476"/>
      <c r="TXE14" s="476"/>
      <c r="TXF14" s="476"/>
      <c r="TXG14" s="476"/>
      <c r="TXH14" s="476"/>
      <c r="TXI14" s="476"/>
      <c r="TXJ14" s="476"/>
      <c r="TXK14" s="476"/>
      <c r="TXL14" s="476"/>
      <c r="TXM14" s="476"/>
      <c r="TXN14" s="476"/>
      <c r="TXO14" s="477"/>
      <c r="TXP14" s="477"/>
      <c r="TXQ14" s="463"/>
      <c r="TXR14" s="475"/>
      <c r="TXS14" s="476"/>
      <c r="TXT14" s="476"/>
      <c r="TXU14" s="476"/>
      <c r="TXV14" s="476"/>
      <c r="TXW14" s="476"/>
      <c r="TXX14" s="476"/>
      <c r="TXY14" s="476"/>
      <c r="TXZ14" s="476"/>
      <c r="TYA14" s="476"/>
      <c r="TYB14" s="476"/>
      <c r="TYC14" s="476"/>
      <c r="TYD14" s="476"/>
      <c r="TYE14" s="477"/>
      <c r="TYF14" s="477"/>
      <c r="TYG14" s="463"/>
      <c r="TYH14" s="475"/>
      <c r="TYI14" s="476"/>
      <c r="TYJ14" s="476"/>
      <c r="TYK14" s="476"/>
      <c r="TYL14" s="476"/>
      <c r="TYM14" s="476"/>
      <c r="TYN14" s="476"/>
      <c r="TYO14" s="476"/>
      <c r="TYP14" s="476"/>
      <c r="TYQ14" s="476"/>
      <c r="TYR14" s="476"/>
      <c r="TYS14" s="476"/>
      <c r="TYT14" s="476"/>
      <c r="TYU14" s="477"/>
      <c r="TYV14" s="477"/>
      <c r="TYW14" s="463"/>
      <c r="TYX14" s="475"/>
      <c r="TYY14" s="476"/>
      <c r="TYZ14" s="476"/>
      <c r="TZA14" s="476"/>
      <c r="TZB14" s="476"/>
      <c r="TZC14" s="476"/>
      <c r="TZD14" s="476"/>
      <c r="TZE14" s="476"/>
      <c r="TZF14" s="476"/>
      <c r="TZG14" s="476"/>
      <c r="TZH14" s="476"/>
      <c r="TZI14" s="476"/>
      <c r="TZJ14" s="476"/>
      <c r="TZK14" s="477"/>
      <c r="TZL14" s="477"/>
      <c r="TZM14" s="463"/>
      <c r="TZN14" s="475"/>
      <c r="TZO14" s="476"/>
      <c r="TZP14" s="476"/>
      <c r="TZQ14" s="476"/>
      <c r="TZR14" s="476"/>
      <c r="TZS14" s="476"/>
      <c r="TZT14" s="476"/>
      <c r="TZU14" s="476"/>
      <c r="TZV14" s="476"/>
      <c r="TZW14" s="476"/>
      <c r="TZX14" s="476"/>
      <c r="TZY14" s="476"/>
      <c r="TZZ14" s="476"/>
      <c r="UAA14" s="477"/>
      <c r="UAB14" s="477"/>
      <c r="UAC14" s="463"/>
      <c r="UAD14" s="475"/>
      <c r="UAE14" s="476"/>
      <c r="UAF14" s="476"/>
      <c r="UAG14" s="476"/>
      <c r="UAH14" s="476"/>
      <c r="UAI14" s="476"/>
      <c r="UAJ14" s="476"/>
      <c r="UAK14" s="476"/>
      <c r="UAL14" s="476"/>
      <c r="UAM14" s="476"/>
      <c r="UAN14" s="476"/>
      <c r="UAO14" s="476"/>
      <c r="UAP14" s="476"/>
      <c r="UAQ14" s="477"/>
      <c r="UAR14" s="477"/>
      <c r="UAS14" s="463"/>
      <c r="UAT14" s="475"/>
      <c r="UAU14" s="476"/>
      <c r="UAV14" s="476"/>
      <c r="UAW14" s="476"/>
      <c r="UAX14" s="476"/>
      <c r="UAY14" s="476"/>
      <c r="UAZ14" s="476"/>
      <c r="UBA14" s="476"/>
      <c r="UBB14" s="476"/>
      <c r="UBC14" s="476"/>
      <c r="UBD14" s="476"/>
      <c r="UBE14" s="476"/>
      <c r="UBF14" s="476"/>
      <c r="UBG14" s="477"/>
      <c r="UBH14" s="477"/>
      <c r="UBI14" s="463"/>
      <c r="UBJ14" s="475"/>
      <c r="UBK14" s="476"/>
      <c r="UBL14" s="476"/>
      <c r="UBM14" s="476"/>
      <c r="UBN14" s="476"/>
      <c r="UBO14" s="476"/>
      <c r="UBP14" s="476"/>
      <c r="UBQ14" s="476"/>
      <c r="UBR14" s="476"/>
      <c r="UBS14" s="476"/>
      <c r="UBT14" s="476"/>
      <c r="UBU14" s="476"/>
      <c r="UBV14" s="476"/>
      <c r="UBW14" s="477"/>
      <c r="UBX14" s="477"/>
      <c r="UBY14" s="463"/>
      <c r="UBZ14" s="475"/>
      <c r="UCA14" s="476"/>
      <c r="UCB14" s="476"/>
      <c r="UCC14" s="476"/>
      <c r="UCD14" s="476"/>
      <c r="UCE14" s="476"/>
      <c r="UCF14" s="476"/>
      <c r="UCG14" s="476"/>
      <c r="UCH14" s="476"/>
      <c r="UCI14" s="476"/>
      <c r="UCJ14" s="476"/>
      <c r="UCK14" s="476"/>
      <c r="UCL14" s="476"/>
      <c r="UCM14" s="477"/>
      <c r="UCN14" s="477"/>
      <c r="UCO14" s="463"/>
      <c r="UCP14" s="475"/>
      <c r="UCQ14" s="476"/>
      <c r="UCR14" s="476"/>
      <c r="UCS14" s="476"/>
      <c r="UCT14" s="476"/>
      <c r="UCU14" s="476"/>
      <c r="UCV14" s="476"/>
      <c r="UCW14" s="476"/>
      <c r="UCX14" s="476"/>
      <c r="UCY14" s="476"/>
      <c r="UCZ14" s="476"/>
      <c r="UDA14" s="476"/>
      <c r="UDB14" s="476"/>
      <c r="UDC14" s="477"/>
      <c r="UDD14" s="477"/>
      <c r="UDE14" s="463"/>
      <c r="UDF14" s="475"/>
      <c r="UDG14" s="476"/>
      <c r="UDH14" s="476"/>
      <c r="UDI14" s="476"/>
      <c r="UDJ14" s="476"/>
      <c r="UDK14" s="476"/>
      <c r="UDL14" s="476"/>
      <c r="UDM14" s="476"/>
      <c r="UDN14" s="476"/>
      <c r="UDO14" s="476"/>
      <c r="UDP14" s="476"/>
      <c r="UDQ14" s="476"/>
      <c r="UDR14" s="476"/>
      <c r="UDS14" s="477"/>
      <c r="UDT14" s="477"/>
      <c r="UDU14" s="463"/>
      <c r="UDV14" s="475"/>
      <c r="UDW14" s="476"/>
      <c r="UDX14" s="476"/>
      <c r="UDY14" s="476"/>
      <c r="UDZ14" s="476"/>
      <c r="UEA14" s="476"/>
      <c r="UEB14" s="476"/>
      <c r="UEC14" s="476"/>
      <c r="UED14" s="476"/>
      <c r="UEE14" s="476"/>
      <c r="UEF14" s="476"/>
      <c r="UEG14" s="476"/>
      <c r="UEH14" s="476"/>
      <c r="UEI14" s="477"/>
      <c r="UEJ14" s="477"/>
      <c r="UEK14" s="463"/>
      <c r="UEL14" s="475"/>
      <c r="UEM14" s="476"/>
      <c r="UEN14" s="476"/>
      <c r="UEO14" s="476"/>
      <c r="UEP14" s="476"/>
      <c r="UEQ14" s="476"/>
      <c r="UER14" s="476"/>
      <c r="UES14" s="476"/>
      <c r="UET14" s="476"/>
      <c r="UEU14" s="476"/>
      <c r="UEV14" s="476"/>
      <c r="UEW14" s="476"/>
      <c r="UEX14" s="476"/>
      <c r="UEY14" s="477"/>
      <c r="UEZ14" s="477"/>
      <c r="UFA14" s="463"/>
      <c r="UFB14" s="475"/>
      <c r="UFC14" s="476"/>
      <c r="UFD14" s="476"/>
      <c r="UFE14" s="476"/>
      <c r="UFF14" s="476"/>
      <c r="UFG14" s="476"/>
      <c r="UFH14" s="476"/>
      <c r="UFI14" s="476"/>
      <c r="UFJ14" s="476"/>
      <c r="UFK14" s="476"/>
      <c r="UFL14" s="476"/>
      <c r="UFM14" s="476"/>
      <c r="UFN14" s="476"/>
      <c r="UFO14" s="477"/>
      <c r="UFP14" s="477"/>
      <c r="UFQ14" s="463"/>
      <c r="UFR14" s="475"/>
      <c r="UFS14" s="476"/>
      <c r="UFT14" s="476"/>
      <c r="UFU14" s="476"/>
      <c r="UFV14" s="476"/>
      <c r="UFW14" s="476"/>
      <c r="UFX14" s="476"/>
      <c r="UFY14" s="476"/>
      <c r="UFZ14" s="476"/>
      <c r="UGA14" s="476"/>
      <c r="UGB14" s="476"/>
      <c r="UGC14" s="476"/>
      <c r="UGD14" s="476"/>
      <c r="UGE14" s="477"/>
      <c r="UGF14" s="477"/>
      <c r="UGG14" s="463"/>
      <c r="UGH14" s="475"/>
      <c r="UGI14" s="476"/>
      <c r="UGJ14" s="476"/>
      <c r="UGK14" s="476"/>
      <c r="UGL14" s="476"/>
      <c r="UGM14" s="476"/>
      <c r="UGN14" s="476"/>
      <c r="UGO14" s="476"/>
      <c r="UGP14" s="476"/>
      <c r="UGQ14" s="476"/>
      <c r="UGR14" s="476"/>
      <c r="UGS14" s="476"/>
      <c r="UGT14" s="476"/>
      <c r="UGU14" s="477"/>
      <c r="UGV14" s="477"/>
      <c r="UGW14" s="463"/>
      <c r="UGX14" s="475"/>
      <c r="UGY14" s="476"/>
      <c r="UGZ14" s="476"/>
      <c r="UHA14" s="476"/>
      <c r="UHB14" s="476"/>
      <c r="UHC14" s="476"/>
      <c r="UHD14" s="476"/>
      <c r="UHE14" s="476"/>
      <c r="UHF14" s="476"/>
      <c r="UHG14" s="476"/>
      <c r="UHH14" s="476"/>
      <c r="UHI14" s="476"/>
      <c r="UHJ14" s="476"/>
      <c r="UHK14" s="477"/>
      <c r="UHL14" s="477"/>
      <c r="UHM14" s="463"/>
      <c r="UHN14" s="475"/>
      <c r="UHO14" s="476"/>
      <c r="UHP14" s="476"/>
      <c r="UHQ14" s="476"/>
      <c r="UHR14" s="476"/>
      <c r="UHS14" s="476"/>
      <c r="UHT14" s="476"/>
      <c r="UHU14" s="476"/>
      <c r="UHV14" s="476"/>
      <c r="UHW14" s="476"/>
      <c r="UHX14" s="476"/>
      <c r="UHY14" s="476"/>
      <c r="UHZ14" s="476"/>
      <c r="UIA14" s="477"/>
      <c r="UIB14" s="477"/>
      <c r="UIC14" s="463"/>
      <c r="UID14" s="475"/>
      <c r="UIE14" s="476"/>
      <c r="UIF14" s="476"/>
      <c r="UIG14" s="476"/>
      <c r="UIH14" s="476"/>
      <c r="UII14" s="476"/>
      <c r="UIJ14" s="476"/>
      <c r="UIK14" s="476"/>
      <c r="UIL14" s="476"/>
      <c r="UIM14" s="476"/>
      <c r="UIN14" s="476"/>
      <c r="UIO14" s="476"/>
      <c r="UIP14" s="476"/>
      <c r="UIQ14" s="477"/>
      <c r="UIR14" s="477"/>
      <c r="UIS14" s="463"/>
      <c r="UIT14" s="475"/>
      <c r="UIU14" s="476"/>
      <c r="UIV14" s="476"/>
      <c r="UIW14" s="476"/>
      <c r="UIX14" s="476"/>
      <c r="UIY14" s="476"/>
      <c r="UIZ14" s="476"/>
      <c r="UJA14" s="476"/>
      <c r="UJB14" s="476"/>
      <c r="UJC14" s="476"/>
      <c r="UJD14" s="476"/>
      <c r="UJE14" s="476"/>
      <c r="UJF14" s="476"/>
      <c r="UJG14" s="477"/>
      <c r="UJH14" s="477"/>
      <c r="UJI14" s="463"/>
      <c r="UJJ14" s="475"/>
      <c r="UJK14" s="476"/>
      <c r="UJL14" s="476"/>
      <c r="UJM14" s="476"/>
      <c r="UJN14" s="476"/>
      <c r="UJO14" s="476"/>
      <c r="UJP14" s="476"/>
      <c r="UJQ14" s="476"/>
      <c r="UJR14" s="476"/>
      <c r="UJS14" s="476"/>
      <c r="UJT14" s="476"/>
      <c r="UJU14" s="476"/>
      <c r="UJV14" s="476"/>
      <c r="UJW14" s="477"/>
      <c r="UJX14" s="477"/>
      <c r="UJY14" s="463"/>
      <c r="UJZ14" s="475"/>
      <c r="UKA14" s="476"/>
      <c r="UKB14" s="476"/>
      <c r="UKC14" s="476"/>
      <c r="UKD14" s="476"/>
      <c r="UKE14" s="476"/>
      <c r="UKF14" s="476"/>
      <c r="UKG14" s="476"/>
      <c r="UKH14" s="476"/>
      <c r="UKI14" s="476"/>
      <c r="UKJ14" s="476"/>
      <c r="UKK14" s="476"/>
      <c r="UKL14" s="476"/>
      <c r="UKM14" s="477"/>
      <c r="UKN14" s="477"/>
      <c r="UKO14" s="463"/>
      <c r="UKP14" s="475"/>
      <c r="UKQ14" s="476"/>
      <c r="UKR14" s="476"/>
      <c r="UKS14" s="476"/>
      <c r="UKT14" s="476"/>
      <c r="UKU14" s="476"/>
      <c r="UKV14" s="476"/>
      <c r="UKW14" s="476"/>
      <c r="UKX14" s="476"/>
      <c r="UKY14" s="476"/>
      <c r="UKZ14" s="476"/>
      <c r="ULA14" s="476"/>
      <c r="ULB14" s="476"/>
      <c r="ULC14" s="477"/>
      <c r="ULD14" s="477"/>
      <c r="ULE14" s="463"/>
      <c r="ULF14" s="475"/>
      <c r="ULG14" s="476"/>
      <c r="ULH14" s="476"/>
      <c r="ULI14" s="476"/>
      <c r="ULJ14" s="476"/>
      <c r="ULK14" s="476"/>
      <c r="ULL14" s="476"/>
      <c r="ULM14" s="476"/>
      <c r="ULN14" s="476"/>
      <c r="ULO14" s="476"/>
      <c r="ULP14" s="476"/>
      <c r="ULQ14" s="476"/>
      <c r="ULR14" s="476"/>
      <c r="ULS14" s="477"/>
      <c r="ULT14" s="477"/>
      <c r="ULU14" s="463"/>
      <c r="ULV14" s="475"/>
      <c r="ULW14" s="476"/>
      <c r="ULX14" s="476"/>
      <c r="ULY14" s="476"/>
      <c r="ULZ14" s="476"/>
      <c r="UMA14" s="476"/>
      <c r="UMB14" s="476"/>
      <c r="UMC14" s="476"/>
      <c r="UMD14" s="476"/>
      <c r="UME14" s="476"/>
      <c r="UMF14" s="476"/>
      <c r="UMG14" s="476"/>
      <c r="UMH14" s="476"/>
      <c r="UMI14" s="477"/>
      <c r="UMJ14" s="477"/>
      <c r="UMK14" s="463"/>
      <c r="UML14" s="475"/>
      <c r="UMM14" s="476"/>
      <c r="UMN14" s="476"/>
      <c r="UMO14" s="476"/>
      <c r="UMP14" s="476"/>
      <c r="UMQ14" s="476"/>
      <c r="UMR14" s="476"/>
      <c r="UMS14" s="476"/>
      <c r="UMT14" s="476"/>
      <c r="UMU14" s="476"/>
      <c r="UMV14" s="476"/>
      <c r="UMW14" s="476"/>
      <c r="UMX14" s="476"/>
      <c r="UMY14" s="477"/>
      <c r="UMZ14" s="477"/>
      <c r="UNA14" s="463"/>
      <c r="UNB14" s="475"/>
      <c r="UNC14" s="476"/>
      <c r="UND14" s="476"/>
      <c r="UNE14" s="476"/>
      <c r="UNF14" s="476"/>
      <c r="UNG14" s="476"/>
      <c r="UNH14" s="476"/>
      <c r="UNI14" s="476"/>
      <c r="UNJ14" s="476"/>
      <c r="UNK14" s="476"/>
      <c r="UNL14" s="476"/>
      <c r="UNM14" s="476"/>
      <c r="UNN14" s="476"/>
      <c r="UNO14" s="477"/>
      <c r="UNP14" s="477"/>
      <c r="UNQ14" s="463"/>
      <c r="UNR14" s="475"/>
      <c r="UNS14" s="476"/>
      <c r="UNT14" s="476"/>
      <c r="UNU14" s="476"/>
      <c r="UNV14" s="476"/>
      <c r="UNW14" s="476"/>
      <c r="UNX14" s="476"/>
      <c r="UNY14" s="476"/>
      <c r="UNZ14" s="476"/>
      <c r="UOA14" s="476"/>
      <c r="UOB14" s="476"/>
      <c r="UOC14" s="476"/>
      <c r="UOD14" s="476"/>
      <c r="UOE14" s="477"/>
      <c r="UOF14" s="477"/>
      <c r="UOG14" s="463"/>
      <c r="UOH14" s="475"/>
      <c r="UOI14" s="476"/>
      <c r="UOJ14" s="476"/>
      <c r="UOK14" s="476"/>
      <c r="UOL14" s="476"/>
      <c r="UOM14" s="476"/>
      <c r="UON14" s="476"/>
      <c r="UOO14" s="476"/>
      <c r="UOP14" s="476"/>
      <c r="UOQ14" s="476"/>
      <c r="UOR14" s="476"/>
      <c r="UOS14" s="476"/>
      <c r="UOT14" s="476"/>
      <c r="UOU14" s="477"/>
      <c r="UOV14" s="477"/>
      <c r="UOW14" s="463"/>
      <c r="UOX14" s="475"/>
      <c r="UOY14" s="476"/>
      <c r="UOZ14" s="476"/>
      <c r="UPA14" s="476"/>
      <c r="UPB14" s="476"/>
      <c r="UPC14" s="476"/>
      <c r="UPD14" s="476"/>
      <c r="UPE14" s="476"/>
      <c r="UPF14" s="476"/>
      <c r="UPG14" s="476"/>
      <c r="UPH14" s="476"/>
      <c r="UPI14" s="476"/>
      <c r="UPJ14" s="476"/>
      <c r="UPK14" s="477"/>
      <c r="UPL14" s="477"/>
      <c r="UPM14" s="463"/>
      <c r="UPN14" s="475"/>
      <c r="UPO14" s="476"/>
      <c r="UPP14" s="476"/>
      <c r="UPQ14" s="476"/>
      <c r="UPR14" s="476"/>
      <c r="UPS14" s="476"/>
      <c r="UPT14" s="476"/>
      <c r="UPU14" s="476"/>
      <c r="UPV14" s="476"/>
      <c r="UPW14" s="476"/>
      <c r="UPX14" s="476"/>
      <c r="UPY14" s="476"/>
      <c r="UPZ14" s="476"/>
      <c r="UQA14" s="477"/>
      <c r="UQB14" s="477"/>
      <c r="UQC14" s="463"/>
      <c r="UQD14" s="475"/>
      <c r="UQE14" s="476"/>
      <c r="UQF14" s="476"/>
      <c r="UQG14" s="476"/>
      <c r="UQH14" s="476"/>
      <c r="UQI14" s="476"/>
      <c r="UQJ14" s="476"/>
      <c r="UQK14" s="476"/>
      <c r="UQL14" s="476"/>
      <c r="UQM14" s="476"/>
      <c r="UQN14" s="476"/>
      <c r="UQO14" s="476"/>
      <c r="UQP14" s="476"/>
      <c r="UQQ14" s="477"/>
      <c r="UQR14" s="477"/>
      <c r="UQS14" s="463"/>
      <c r="UQT14" s="475"/>
      <c r="UQU14" s="476"/>
      <c r="UQV14" s="476"/>
      <c r="UQW14" s="476"/>
      <c r="UQX14" s="476"/>
      <c r="UQY14" s="476"/>
      <c r="UQZ14" s="476"/>
      <c r="URA14" s="476"/>
      <c r="URB14" s="476"/>
      <c r="URC14" s="476"/>
      <c r="URD14" s="476"/>
      <c r="URE14" s="476"/>
      <c r="URF14" s="476"/>
      <c r="URG14" s="477"/>
      <c r="URH14" s="477"/>
      <c r="URI14" s="463"/>
      <c r="URJ14" s="475"/>
      <c r="URK14" s="476"/>
      <c r="URL14" s="476"/>
      <c r="URM14" s="476"/>
      <c r="URN14" s="476"/>
      <c r="URO14" s="476"/>
      <c r="URP14" s="476"/>
      <c r="URQ14" s="476"/>
      <c r="URR14" s="476"/>
      <c r="URS14" s="476"/>
      <c r="URT14" s="476"/>
      <c r="URU14" s="476"/>
      <c r="URV14" s="476"/>
      <c r="URW14" s="477"/>
      <c r="URX14" s="477"/>
      <c r="URY14" s="463"/>
      <c r="URZ14" s="475"/>
      <c r="USA14" s="476"/>
      <c r="USB14" s="476"/>
      <c r="USC14" s="476"/>
      <c r="USD14" s="476"/>
      <c r="USE14" s="476"/>
      <c r="USF14" s="476"/>
      <c r="USG14" s="476"/>
      <c r="USH14" s="476"/>
      <c r="USI14" s="476"/>
      <c r="USJ14" s="476"/>
      <c r="USK14" s="476"/>
      <c r="USL14" s="476"/>
      <c r="USM14" s="477"/>
      <c r="USN14" s="477"/>
      <c r="USO14" s="463"/>
      <c r="USP14" s="475"/>
      <c r="USQ14" s="476"/>
      <c r="USR14" s="476"/>
      <c r="USS14" s="476"/>
      <c r="UST14" s="476"/>
      <c r="USU14" s="476"/>
      <c r="USV14" s="476"/>
      <c r="USW14" s="476"/>
      <c r="USX14" s="476"/>
      <c r="USY14" s="476"/>
      <c r="USZ14" s="476"/>
      <c r="UTA14" s="476"/>
      <c r="UTB14" s="476"/>
      <c r="UTC14" s="477"/>
      <c r="UTD14" s="477"/>
      <c r="UTE14" s="463"/>
      <c r="UTF14" s="475"/>
      <c r="UTG14" s="476"/>
      <c r="UTH14" s="476"/>
      <c r="UTI14" s="476"/>
      <c r="UTJ14" s="476"/>
      <c r="UTK14" s="476"/>
      <c r="UTL14" s="476"/>
      <c r="UTM14" s="476"/>
      <c r="UTN14" s="476"/>
      <c r="UTO14" s="476"/>
      <c r="UTP14" s="476"/>
      <c r="UTQ14" s="476"/>
      <c r="UTR14" s="476"/>
      <c r="UTS14" s="477"/>
      <c r="UTT14" s="477"/>
      <c r="UTU14" s="463"/>
      <c r="UTV14" s="475"/>
      <c r="UTW14" s="476"/>
      <c r="UTX14" s="476"/>
      <c r="UTY14" s="476"/>
      <c r="UTZ14" s="476"/>
      <c r="UUA14" s="476"/>
      <c r="UUB14" s="476"/>
      <c r="UUC14" s="476"/>
      <c r="UUD14" s="476"/>
      <c r="UUE14" s="476"/>
      <c r="UUF14" s="476"/>
      <c r="UUG14" s="476"/>
      <c r="UUH14" s="476"/>
      <c r="UUI14" s="477"/>
      <c r="UUJ14" s="477"/>
      <c r="UUK14" s="463"/>
      <c r="UUL14" s="475"/>
      <c r="UUM14" s="476"/>
      <c r="UUN14" s="476"/>
      <c r="UUO14" s="476"/>
      <c r="UUP14" s="476"/>
      <c r="UUQ14" s="476"/>
      <c r="UUR14" s="476"/>
      <c r="UUS14" s="476"/>
      <c r="UUT14" s="476"/>
      <c r="UUU14" s="476"/>
      <c r="UUV14" s="476"/>
      <c r="UUW14" s="476"/>
      <c r="UUX14" s="476"/>
      <c r="UUY14" s="477"/>
      <c r="UUZ14" s="477"/>
      <c r="UVA14" s="463"/>
      <c r="UVB14" s="475"/>
      <c r="UVC14" s="476"/>
      <c r="UVD14" s="476"/>
      <c r="UVE14" s="476"/>
      <c r="UVF14" s="476"/>
      <c r="UVG14" s="476"/>
      <c r="UVH14" s="476"/>
      <c r="UVI14" s="476"/>
      <c r="UVJ14" s="476"/>
      <c r="UVK14" s="476"/>
      <c r="UVL14" s="476"/>
      <c r="UVM14" s="476"/>
      <c r="UVN14" s="476"/>
      <c r="UVO14" s="477"/>
      <c r="UVP14" s="477"/>
      <c r="UVQ14" s="463"/>
      <c r="UVR14" s="475"/>
      <c r="UVS14" s="476"/>
      <c r="UVT14" s="476"/>
      <c r="UVU14" s="476"/>
      <c r="UVV14" s="476"/>
      <c r="UVW14" s="476"/>
      <c r="UVX14" s="476"/>
      <c r="UVY14" s="476"/>
      <c r="UVZ14" s="476"/>
      <c r="UWA14" s="476"/>
      <c r="UWB14" s="476"/>
      <c r="UWC14" s="476"/>
      <c r="UWD14" s="476"/>
      <c r="UWE14" s="477"/>
      <c r="UWF14" s="477"/>
      <c r="UWG14" s="463"/>
      <c r="UWH14" s="475"/>
      <c r="UWI14" s="476"/>
      <c r="UWJ14" s="476"/>
      <c r="UWK14" s="476"/>
      <c r="UWL14" s="476"/>
      <c r="UWM14" s="476"/>
      <c r="UWN14" s="476"/>
      <c r="UWO14" s="476"/>
      <c r="UWP14" s="476"/>
      <c r="UWQ14" s="476"/>
      <c r="UWR14" s="476"/>
      <c r="UWS14" s="476"/>
      <c r="UWT14" s="476"/>
      <c r="UWU14" s="477"/>
      <c r="UWV14" s="477"/>
      <c r="UWW14" s="463"/>
      <c r="UWX14" s="475"/>
      <c r="UWY14" s="476"/>
      <c r="UWZ14" s="476"/>
      <c r="UXA14" s="476"/>
      <c r="UXB14" s="476"/>
      <c r="UXC14" s="476"/>
      <c r="UXD14" s="476"/>
      <c r="UXE14" s="476"/>
      <c r="UXF14" s="476"/>
      <c r="UXG14" s="476"/>
      <c r="UXH14" s="476"/>
      <c r="UXI14" s="476"/>
      <c r="UXJ14" s="476"/>
      <c r="UXK14" s="477"/>
      <c r="UXL14" s="477"/>
      <c r="UXM14" s="463"/>
      <c r="UXN14" s="475"/>
      <c r="UXO14" s="476"/>
      <c r="UXP14" s="476"/>
      <c r="UXQ14" s="476"/>
      <c r="UXR14" s="476"/>
      <c r="UXS14" s="476"/>
      <c r="UXT14" s="476"/>
      <c r="UXU14" s="476"/>
      <c r="UXV14" s="476"/>
      <c r="UXW14" s="476"/>
      <c r="UXX14" s="476"/>
      <c r="UXY14" s="476"/>
      <c r="UXZ14" s="476"/>
      <c r="UYA14" s="477"/>
      <c r="UYB14" s="477"/>
      <c r="UYC14" s="463"/>
      <c r="UYD14" s="475"/>
      <c r="UYE14" s="476"/>
      <c r="UYF14" s="476"/>
      <c r="UYG14" s="476"/>
      <c r="UYH14" s="476"/>
      <c r="UYI14" s="476"/>
      <c r="UYJ14" s="476"/>
      <c r="UYK14" s="476"/>
      <c r="UYL14" s="476"/>
      <c r="UYM14" s="476"/>
      <c r="UYN14" s="476"/>
      <c r="UYO14" s="476"/>
      <c r="UYP14" s="476"/>
      <c r="UYQ14" s="477"/>
      <c r="UYR14" s="477"/>
      <c r="UYS14" s="463"/>
      <c r="UYT14" s="475"/>
      <c r="UYU14" s="476"/>
      <c r="UYV14" s="476"/>
      <c r="UYW14" s="476"/>
      <c r="UYX14" s="476"/>
      <c r="UYY14" s="476"/>
      <c r="UYZ14" s="476"/>
      <c r="UZA14" s="476"/>
      <c r="UZB14" s="476"/>
      <c r="UZC14" s="476"/>
      <c r="UZD14" s="476"/>
      <c r="UZE14" s="476"/>
      <c r="UZF14" s="476"/>
      <c r="UZG14" s="477"/>
      <c r="UZH14" s="477"/>
      <c r="UZI14" s="463"/>
      <c r="UZJ14" s="475"/>
      <c r="UZK14" s="476"/>
      <c r="UZL14" s="476"/>
      <c r="UZM14" s="476"/>
      <c r="UZN14" s="476"/>
      <c r="UZO14" s="476"/>
      <c r="UZP14" s="476"/>
      <c r="UZQ14" s="476"/>
      <c r="UZR14" s="476"/>
      <c r="UZS14" s="476"/>
      <c r="UZT14" s="476"/>
      <c r="UZU14" s="476"/>
      <c r="UZV14" s="476"/>
      <c r="UZW14" s="477"/>
      <c r="UZX14" s="477"/>
      <c r="UZY14" s="463"/>
      <c r="UZZ14" s="475"/>
      <c r="VAA14" s="476"/>
      <c r="VAB14" s="476"/>
      <c r="VAC14" s="476"/>
      <c r="VAD14" s="476"/>
      <c r="VAE14" s="476"/>
      <c r="VAF14" s="476"/>
      <c r="VAG14" s="476"/>
      <c r="VAH14" s="476"/>
      <c r="VAI14" s="476"/>
      <c r="VAJ14" s="476"/>
      <c r="VAK14" s="476"/>
      <c r="VAL14" s="476"/>
      <c r="VAM14" s="477"/>
      <c r="VAN14" s="477"/>
      <c r="VAO14" s="463"/>
      <c r="VAP14" s="475"/>
      <c r="VAQ14" s="476"/>
      <c r="VAR14" s="476"/>
      <c r="VAS14" s="476"/>
      <c r="VAT14" s="476"/>
      <c r="VAU14" s="476"/>
      <c r="VAV14" s="476"/>
      <c r="VAW14" s="476"/>
      <c r="VAX14" s="476"/>
      <c r="VAY14" s="476"/>
      <c r="VAZ14" s="476"/>
      <c r="VBA14" s="476"/>
      <c r="VBB14" s="476"/>
      <c r="VBC14" s="477"/>
      <c r="VBD14" s="477"/>
      <c r="VBE14" s="463"/>
      <c r="VBF14" s="475"/>
      <c r="VBG14" s="476"/>
      <c r="VBH14" s="476"/>
      <c r="VBI14" s="476"/>
      <c r="VBJ14" s="476"/>
      <c r="VBK14" s="476"/>
      <c r="VBL14" s="476"/>
      <c r="VBM14" s="476"/>
      <c r="VBN14" s="476"/>
      <c r="VBO14" s="476"/>
      <c r="VBP14" s="476"/>
      <c r="VBQ14" s="476"/>
      <c r="VBR14" s="476"/>
      <c r="VBS14" s="477"/>
      <c r="VBT14" s="477"/>
      <c r="VBU14" s="463"/>
      <c r="VBV14" s="475"/>
      <c r="VBW14" s="476"/>
      <c r="VBX14" s="476"/>
      <c r="VBY14" s="476"/>
      <c r="VBZ14" s="476"/>
      <c r="VCA14" s="476"/>
      <c r="VCB14" s="476"/>
      <c r="VCC14" s="476"/>
      <c r="VCD14" s="476"/>
      <c r="VCE14" s="476"/>
      <c r="VCF14" s="476"/>
      <c r="VCG14" s="476"/>
      <c r="VCH14" s="476"/>
      <c r="VCI14" s="477"/>
      <c r="VCJ14" s="477"/>
      <c r="VCK14" s="463"/>
      <c r="VCL14" s="475"/>
      <c r="VCM14" s="476"/>
      <c r="VCN14" s="476"/>
      <c r="VCO14" s="476"/>
      <c r="VCP14" s="476"/>
      <c r="VCQ14" s="476"/>
      <c r="VCR14" s="476"/>
      <c r="VCS14" s="476"/>
      <c r="VCT14" s="476"/>
      <c r="VCU14" s="476"/>
      <c r="VCV14" s="476"/>
      <c r="VCW14" s="476"/>
      <c r="VCX14" s="476"/>
      <c r="VCY14" s="477"/>
      <c r="VCZ14" s="477"/>
      <c r="VDA14" s="463"/>
      <c r="VDB14" s="475"/>
      <c r="VDC14" s="476"/>
      <c r="VDD14" s="476"/>
      <c r="VDE14" s="476"/>
      <c r="VDF14" s="476"/>
      <c r="VDG14" s="476"/>
      <c r="VDH14" s="476"/>
      <c r="VDI14" s="476"/>
      <c r="VDJ14" s="476"/>
      <c r="VDK14" s="476"/>
      <c r="VDL14" s="476"/>
      <c r="VDM14" s="476"/>
      <c r="VDN14" s="476"/>
      <c r="VDO14" s="477"/>
      <c r="VDP14" s="477"/>
      <c r="VDQ14" s="463"/>
      <c r="VDR14" s="475"/>
      <c r="VDS14" s="476"/>
      <c r="VDT14" s="476"/>
      <c r="VDU14" s="476"/>
      <c r="VDV14" s="476"/>
      <c r="VDW14" s="476"/>
      <c r="VDX14" s="476"/>
      <c r="VDY14" s="476"/>
      <c r="VDZ14" s="476"/>
      <c r="VEA14" s="476"/>
      <c r="VEB14" s="476"/>
      <c r="VEC14" s="476"/>
      <c r="VED14" s="476"/>
      <c r="VEE14" s="477"/>
      <c r="VEF14" s="477"/>
      <c r="VEG14" s="463"/>
      <c r="VEH14" s="475"/>
      <c r="VEI14" s="476"/>
      <c r="VEJ14" s="476"/>
      <c r="VEK14" s="476"/>
      <c r="VEL14" s="476"/>
      <c r="VEM14" s="476"/>
      <c r="VEN14" s="476"/>
      <c r="VEO14" s="476"/>
      <c r="VEP14" s="476"/>
      <c r="VEQ14" s="476"/>
      <c r="VER14" s="476"/>
      <c r="VES14" s="476"/>
      <c r="VET14" s="476"/>
      <c r="VEU14" s="477"/>
      <c r="VEV14" s="477"/>
      <c r="VEW14" s="463"/>
      <c r="VEX14" s="475"/>
      <c r="VEY14" s="476"/>
      <c r="VEZ14" s="476"/>
      <c r="VFA14" s="476"/>
      <c r="VFB14" s="476"/>
      <c r="VFC14" s="476"/>
      <c r="VFD14" s="476"/>
      <c r="VFE14" s="476"/>
      <c r="VFF14" s="476"/>
      <c r="VFG14" s="476"/>
      <c r="VFH14" s="476"/>
      <c r="VFI14" s="476"/>
      <c r="VFJ14" s="476"/>
      <c r="VFK14" s="477"/>
      <c r="VFL14" s="477"/>
      <c r="VFM14" s="463"/>
      <c r="VFN14" s="475"/>
      <c r="VFO14" s="476"/>
      <c r="VFP14" s="476"/>
      <c r="VFQ14" s="476"/>
      <c r="VFR14" s="476"/>
      <c r="VFS14" s="476"/>
      <c r="VFT14" s="476"/>
      <c r="VFU14" s="476"/>
      <c r="VFV14" s="476"/>
      <c r="VFW14" s="476"/>
      <c r="VFX14" s="476"/>
      <c r="VFY14" s="476"/>
      <c r="VFZ14" s="476"/>
      <c r="VGA14" s="477"/>
      <c r="VGB14" s="477"/>
      <c r="VGC14" s="463"/>
      <c r="VGD14" s="475"/>
      <c r="VGE14" s="476"/>
      <c r="VGF14" s="476"/>
      <c r="VGG14" s="476"/>
      <c r="VGH14" s="476"/>
      <c r="VGI14" s="476"/>
      <c r="VGJ14" s="476"/>
      <c r="VGK14" s="476"/>
      <c r="VGL14" s="476"/>
      <c r="VGM14" s="476"/>
      <c r="VGN14" s="476"/>
      <c r="VGO14" s="476"/>
      <c r="VGP14" s="476"/>
      <c r="VGQ14" s="477"/>
      <c r="VGR14" s="477"/>
      <c r="VGS14" s="463"/>
      <c r="VGT14" s="475"/>
      <c r="VGU14" s="476"/>
      <c r="VGV14" s="476"/>
      <c r="VGW14" s="476"/>
      <c r="VGX14" s="476"/>
      <c r="VGY14" s="476"/>
      <c r="VGZ14" s="476"/>
      <c r="VHA14" s="476"/>
      <c r="VHB14" s="476"/>
      <c r="VHC14" s="476"/>
      <c r="VHD14" s="476"/>
      <c r="VHE14" s="476"/>
      <c r="VHF14" s="476"/>
      <c r="VHG14" s="477"/>
      <c r="VHH14" s="477"/>
      <c r="VHI14" s="463"/>
      <c r="VHJ14" s="475"/>
      <c r="VHK14" s="476"/>
      <c r="VHL14" s="476"/>
      <c r="VHM14" s="476"/>
      <c r="VHN14" s="476"/>
      <c r="VHO14" s="476"/>
      <c r="VHP14" s="476"/>
      <c r="VHQ14" s="476"/>
      <c r="VHR14" s="476"/>
      <c r="VHS14" s="476"/>
      <c r="VHT14" s="476"/>
      <c r="VHU14" s="476"/>
      <c r="VHV14" s="476"/>
      <c r="VHW14" s="477"/>
      <c r="VHX14" s="477"/>
      <c r="VHY14" s="463"/>
      <c r="VHZ14" s="475"/>
      <c r="VIA14" s="476"/>
      <c r="VIB14" s="476"/>
      <c r="VIC14" s="476"/>
      <c r="VID14" s="476"/>
      <c r="VIE14" s="476"/>
      <c r="VIF14" s="476"/>
      <c r="VIG14" s="476"/>
      <c r="VIH14" s="476"/>
      <c r="VII14" s="476"/>
      <c r="VIJ14" s="476"/>
      <c r="VIK14" s="476"/>
      <c r="VIL14" s="476"/>
      <c r="VIM14" s="477"/>
      <c r="VIN14" s="477"/>
      <c r="VIO14" s="463"/>
      <c r="VIP14" s="475"/>
      <c r="VIQ14" s="476"/>
      <c r="VIR14" s="476"/>
      <c r="VIS14" s="476"/>
      <c r="VIT14" s="476"/>
      <c r="VIU14" s="476"/>
      <c r="VIV14" s="476"/>
      <c r="VIW14" s="476"/>
      <c r="VIX14" s="476"/>
      <c r="VIY14" s="476"/>
      <c r="VIZ14" s="476"/>
      <c r="VJA14" s="476"/>
      <c r="VJB14" s="476"/>
      <c r="VJC14" s="477"/>
      <c r="VJD14" s="477"/>
      <c r="VJE14" s="463"/>
      <c r="VJF14" s="475"/>
      <c r="VJG14" s="476"/>
      <c r="VJH14" s="476"/>
      <c r="VJI14" s="476"/>
      <c r="VJJ14" s="476"/>
      <c r="VJK14" s="476"/>
      <c r="VJL14" s="476"/>
      <c r="VJM14" s="476"/>
      <c r="VJN14" s="476"/>
      <c r="VJO14" s="476"/>
      <c r="VJP14" s="476"/>
      <c r="VJQ14" s="476"/>
      <c r="VJR14" s="476"/>
      <c r="VJS14" s="477"/>
      <c r="VJT14" s="477"/>
      <c r="VJU14" s="463"/>
      <c r="VJV14" s="475"/>
      <c r="VJW14" s="476"/>
      <c r="VJX14" s="476"/>
      <c r="VJY14" s="476"/>
      <c r="VJZ14" s="476"/>
      <c r="VKA14" s="476"/>
      <c r="VKB14" s="476"/>
      <c r="VKC14" s="476"/>
      <c r="VKD14" s="476"/>
      <c r="VKE14" s="476"/>
      <c r="VKF14" s="476"/>
      <c r="VKG14" s="476"/>
      <c r="VKH14" s="476"/>
      <c r="VKI14" s="477"/>
      <c r="VKJ14" s="477"/>
      <c r="VKK14" s="463"/>
      <c r="VKL14" s="475"/>
      <c r="VKM14" s="476"/>
      <c r="VKN14" s="476"/>
      <c r="VKO14" s="476"/>
      <c r="VKP14" s="476"/>
      <c r="VKQ14" s="476"/>
      <c r="VKR14" s="476"/>
      <c r="VKS14" s="476"/>
      <c r="VKT14" s="476"/>
      <c r="VKU14" s="476"/>
      <c r="VKV14" s="476"/>
      <c r="VKW14" s="476"/>
      <c r="VKX14" s="476"/>
      <c r="VKY14" s="477"/>
      <c r="VKZ14" s="477"/>
      <c r="VLA14" s="463"/>
      <c r="VLB14" s="475"/>
      <c r="VLC14" s="476"/>
      <c r="VLD14" s="476"/>
      <c r="VLE14" s="476"/>
      <c r="VLF14" s="476"/>
      <c r="VLG14" s="476"/>
      <c r="VLH14" s="476"/>
      <c r="VLI14" s="476"/>
      <c r="VLJ14" s="476"/>
      <c r="VLK14" s="476"/>
      <c r="VLL14" s="476"/>
      <c r="VLM14" s="476"/>
      <c r="VLN14" s="476"/>
      <c r="VLO14" s="477"/>
      <c r="VLP14" s="477"/>
      <c r="VLQ14" s="463"/>
      <c r="VLR14" s="475"/>
      <c r="VLS14" s="476"/>
      <c r="VLT14" s="476"/>
      <c r="VLU14" s="476"/>
      <c r="VLV14" s="476"/>
      <c r="VLW14" s="476"/>
      <c r="VLX14" s="476"/>
      <c r="VLY14" s="476"/>
      <c r="VLZ14" s="476"/>
      <c r="VMA14" s="476"/>
      <c r="VMB14" s="476"/>
      <c r="VMC14" s="476"/>
      <c r="VMD14" s="476"/>
      <c r="VME14" s="477"/>
      <c r="VMF14" s="477"/>
      <c r="VMG14" s="463"/>
      <c r="VMH14" s="475"/>
      <c r="VMI14" s="476"/>
      <c r="VMJ14" s="476"/>
      <c r="VMK14" s="476"/>
      <c r="VML14" s="476"/>
      <c r="VMM14" s="476"/>
      <c r="VMN14" s="476"/>
      <c r="VMO14" s="476"/>
      <c r="VMP14" s="476"/>
      <c r="VMQ14" s="476"/>
      <c r="VMR14" s="476"/>
      <c r="VMS14" s="476"/>
      <c r="VMT14" s="476"/>
      <c r="VMU14" s="477"/>
      <c r="VMV14" s="477"/>
      <c r="VMW14" s="463"/>
      <c r="VMX14" s="475"/>
      <c r="VMY14" s="476"/>
      <c r="VMZ14" s="476"/>
      <c r="VNA14" s="476"/>
      <c r="VNB14" s="476"/>
      <c r="VNC14" s="476"/>
      <c r="VND14" s="476"/>
      <c r="VNE14" s="476"/>
      <c r="VNF14" s="476"/>
      <c r="VNG14" s="476"/>
      <c r="VNH14" s="476"/>
      <c r="VNI14" s="476"/>
      <c r="VNJ14" s="476"/>
      <c r="VNK14" s="477"/>
      <c r="VNL14" s="477"/>
      <c r="VNM14" s="463"/>
      <c r="VNN14" s="475"/>
      <c r="VNO14" s="476"/>
      <c r="VNP14" s="476"/>
      <c r="VNQ14" s="476"/>
      <c r="VNR14" s="476"/>
      <c r="VNS14" s="476"/>
      <c r="VNT14" s="476"/>
      <c r="VNU14" s="476"/>
      <c r="VNV14" s="476"/>
      <c r="VNW14" s="476"/>
      <c r="VNX14" s="476"/>
      <c r="VNY14" s="476"/>
      <c r="VNZ14" s="476"/>
      <c r="VOA14" s="477"/>
      <c r="VOB14" s="477"/>
      <c r="VOC14" s="463"/>
      <c r="VOD14" s="475"/>
      <c r="VOE14" s="476"/>
      <c r="VOF14" s="476"/>
      <c r="VOG14" s="476"/>
      <c r="VOH14" s="476"/>
      <c r="VOI14" s="476"/>
      <c r="VOJ14" s="476"/>
      <c r="VOK14" s="476"/>
      <c r="VOL14" s="476"/>
      <c r="VOM14" s="476"/>
      <c r="VON14" s="476"/>
      <c r="VOO14" s="476"/>
      <c r="VOP14" s="476"/>
      <c r="VOQ14" s="477"/>
      <c r="VOR14" s="477"/>
      <c r="VOS14" s="463"/>
      <c r="VOT14" s="475"/>
      <c r="VOU14" s="476"/>
      <c r="VOV14" s="476"/>
      <c r="VOW14" s="476"/>
      <c r="VOX14" s="476"/>
      <c r="VOY14" s="476"/>
      <c r="VOZ14" s="476"/>
      <c r="VPA14" s="476"/>
      <c r="VPB14" s="476"/>
      <c r="VPC14" s="476"/>
      <c r="VPD14" s="476"/>
      <c r="VPE14" s="476"/>
      <c r="VPF14" s="476"/>
      <c r="VPG14" s="477"/>
      <c r="VPH14" s="477"/>
      <c r="VPI14" s="463"/>
      <c r="VPJ14" s="475"/>
      <c r="VPK14" s="476"/>
      <c r="VPL14" s="476"/>
      <c r="VPM14" s="476"/>
      <c r="VPN14" s="476"/>
      <c r="VPO14" s="476"/>
      <c r="VPP14" s="476"/>
      <c r="VPQ14" s="476"/>
      <c r="VPR14" s="476"/>
      <c r="VPS14" s="476"/>
      <c r="VPT14" s="476"/>
      <c r="VPU14" s="476"/>
      <c r="VPV14" s="476"/>
      <c r="VPW14" s="477"/>
      <c r="VPX14" s="477"/>
      <c r="VPY14" s="463"/>
      <c r="VPZ14" s="475"/>
      <c r="VQA14" s="476"/>
      <c r="VQB14" s="476"/>
      <c r="VQC14" s="476"/>
      <c r="VQD14" s="476"/>
      <c r="VQE14" s="476"/>
      <c r="VQF14" s="476"/>
      <c r="VQG14" s="476"/>
      <c r="VQH14" s="476"/>
      <c r="VQI14" s="476"/>
      <c r="VQJ14" s="476"/>
      <c r="VQK14" s="476"/>
      <c r="VQL14" s="476"/>
      <c r="VQM14" s="477"/>
      <c r="VQN14" s="477"/>
      <c r="VQO14" s="463"/>
      <c r="VQP14" s="475"/>
      <c r="VQQ14" s="476"/>
      <c r="VQR14" s="476"/>
      <c r="VQS14" s="476"/>
      <c r="VQT14" s="476"/>
      <c r="VQU14" s="476"/>
      <c r="VQV14" s="476"/>
      <c r="VQW14" s="476"/>
      <c r="VQX14" s="476"/>
      <c r="VQY14" s="476"/>
      <c r="VQZ14" s="476"/>
      <c r="VRA14" s="476"/>
      <c r="VRB14" s="476"/>
      <c r="VRC14" s="477"/>
      <c r="VRD14" s="477"/>
      <c r="VRE14" s="463"/>
      <c r="VRF14" s="475"/>
      <c r="VRG14" s="476"/>
      <c r="VRH14" s="476"/>
      <c r="VRI14" s="476"/>
      <c r="VRJ14" s="476"/>
      <c r="VRK14" s="476"/>
      <c r="VRL14" s="476"/>
      <c r="VRM14" s="476"/>
      <c r="VRN14" s="476"/>
      <c r="VRO14" s="476"/>
      <c r="VRP14" s="476"/>
      <c r="VRQ14" s="476"/>
      <c r="VRR14" s="476"/>
      <c r="VRS14" s="477"/>
      <c r="VRT14" s="477"/>
      <c r="VRU14" s="463"/>
      <c r="VRV14" s="475"/>
      <c r="VRW14" s="476"/>
      <c r="VRX14" s="476"/>
      <c r="VRY14" s="476"/>
      <c r="VRZ14" s="476"/>
      <c r="VSA14" s="476"/>
      <c r="VSB14" s="476"/>
      <c r="VSC14" s="476"/>
      <c r="VSD14" s="476"/>
      <c r="VSE14" s="476"/>
      <c r="VSF14" s="476"/>
      <c r="VSG14" s="476"/>
      <c r="VSH14" s="476"/>
      <c r="VSI14" s="477"/>
      <c r="VSJ14" s="477"/>
      <c r="VSK14" s="463"/>
      <c r="VSL14" s="475"/>
      <c r="VSM14" s="476"/>
      <c r="VSN14" s="476"/>
      <c r="VSO14" s="476"/>
      <c r="VSP14" s="476"/>
      <c r="VSQ14" s="476"/>
      <c r="VSR14" s="476"/>
      <c r="VSS14" s="476"/>
      <c r="VST14" s="476"/>
      <c r="VSU14" s="476"/>
      <c r="VSV14" s="476"/>
      <c r="VSW14" s="476"/>
      <c r="VSX14" s="476"/>
      <c r="VSY14" s="477"/>
      <c r="VSZ14" s="477"/>
      <c r="VTA14" s="463"/>
      <c r="VTB14" s="475"/>
      <c r="VTC14" s="476"/>
      <c r="VTD14" s="476"/>
      <c r="VTE14" s="476"/>
      <c r="VTF14" s="476"/>
      <c r="VTG14" s="476"/>
      <c r="VTH14" s="476"/>
      <c r="VTI14" s="476"/>
      <c r="VTJ14" s="476"/>
      <c r="VTK14" s="476"/>
      <c r="VTL14" s="476"/>
      <c r="VTM14" s="476"/>
      <c r="VTN14" s="476"/>
      <c r="VTO14" s="477"/>
      <c r="VTP14" s="477"/>
      <c r="VTQ14" s="463"/>
      <c r="VTR14" s="475"/>
      <c r="VTS14" s="476"/>
      <c r="VTT14" s="476"/>
      <c r="VTU14" s="476"/>
      <c r="VTV14" s="476"/>
      <c r="VTW14" s="476"/>
      <c r="VTX14" s="476"/>
      <c r="VTY14" s="476"/>
      <c r="VTZ14" s="476"/>
      <c r="VUA14" s="476"/>
      <c r="VUB14" s="476"/>
      <c r="VUC14" s="476"/>
      <c r="VUD14" s="476"/>
      <c r="VUE14" s="477"/>
      <c r="VUF14" s="477"/>
      <c r="VUG14" s="463"/>
      <c r="VUH14" s="475"/>
      <c r="VUI14" s="476"/>
      <c r="VUJ14" s="476"/>
      <c r="VUK14" s="476"/>
      <c r="VUL14" s="476"/>
      <c r="VUM14" s="476"/>
      <c r="VUN14" s="476"/>
      <c r="VUO14" s="476"/>
      <c r="VUP14" s="476"/>
      <c r="VUQ14" s="476"/>
      <c r="VUR14" s="476"/>
      <c r="VUS14" s="476"/>
      <c r="VUT14" s="476"/>
      <c r="VUU14" s="477"/>
      <c r="VUV14" s="477"/>
      <c r="VUW14" s="463"/>
      <c r="VUX14" s="475"/>
      <c r="VUY14" s="476"/>
      <c r="VUZ14" s="476"/>
      <c r="VVA14" s="476"/>
      <c r="VVB14" s="476"/>
      <c r="VVC14" s="476"/>
      <c r="VVD14" s="476"/>
      <c r="VVE14" s="476"/>
      <c r="VVF14" s="476"/>
      <c r="VVG14" s="476"/>
      <c r="VVH14" s="476"/>
      <c r="VVI14" s="476"/>
      <c r="VVJ14" s="476"/>
      <c r="VVK14" s="477"/>
      <c r="VVL14" s="477"/>
      <c r="VVM14" s="463"/>
      <c r="VVN14" s="475"/>
      <c r="VVO14" s="476"/>
      <c r="VVP14" s="476"/>
      <c r="VVQ14" s="476"/>
      <c r="VVR14" s="476"/>
      <c r="VVS14" s="476"/>
      <c r="VVT14" s="476"/>
      <c r="VVU14" s="476"/>
      <c r="VVV14" s="476"/>
      <c r="VVW14" s="476"/>
      <c r="VVX14" s="476"/>
      <c r="VVY14" s="476"/>
      <c r="VVZ14" s="476"/>
      <c r="VWA14" s="477"/>
      <c r="VWB14" s="477"/>
      <c r="VWC14" s="463"/>
      <c r="VWD14" s="475"/>
      <c r="VWE14" s="476"/>
      <c r="VWF14" s="476"/>
      <c r="VWG14" s="476"/>
      <c r="VWH14" s="476"/>
      <c r="VWI14" s="476"/>
      <c r="VWJ14" s="476"/>
      <c r="VWK14" s="476"/>
      <c r="VWL14" s="476"/>
      <c r="VWM14" s="476"/>
      <c r="VWN14" s="476"/>
      <c r="VWO14" s="476"/>
      <c r="VWP14" s="476"/>
      <c r="VWQ14" s="477"/>
      <c r="VWR14" s="477"/>
      <c r="VWS14" s="463"/>
      <c r="VWT14" s="475"/>
      <c r="VWU14" s="476"/>
      <c r="VWV14" s="476"/>
      <c r="VWW14" s="476"/>
      <c r="VWX14" s="476"/>
      <c r="VWY14" s="476"/>
      <c r="VWZ14" s="476"/>
      <c r="VXA14" s="476"/>
      <c r="VXB14" s="476"/>
      <c r="VXC14" s="476"/>
      <c r="VXD14" s="476"/>
      <c r="VXE14" s="476"/>
      <c r="VXF14" s="476"/>
      <c r="VXG14" s="477"/>
      <c r="VXH14" s="477"/>
      <c r="VXI14" s="463"/>
      <c r="VXJ14" s="475"/>
      <c r="VXK14" s="476"/>
      <c r="VXL14" s="476"/>
      <c r="VXM14" s="476"/>
      <c r="VXN14" s="476"/>
      <c r="VXO14" s="476"/>
      <c r="VXP14" s="476"/>
      <c r="VXQ14" s="476"/>
      <c r="VXR14" s="476"/>
      <c r="VXS14" s="476"/>
      <c r="VXT14" s="476"/>
      <c r="VXU14" s="476"/>
      <c r="VXV14" s="476"/>
      <c r="VXW14" s="477"/>
      <c r="VXX14" s="477"/>
      <c r="VXY14" s="463"/>
      <c r="VXZ14" s="475"/>
      <c r="VYA14" s="476"/>
      <c r="VYB14" s="476"/>
      <c r="VYC14" s="476"/>
      <c r="VYD14" s="476"/>
      <c r="VYE14" s="476"/>
      <c r="VYF14" s="476"/>
      <c r="VYG14" s="476"/>
      <c r="VYH14" s="476"/>
      <c r="VYI14" s="476"/>
      <c r="VYJ14" s="476"/>
      <c r="VYK14" s="476"/>
      <c r="VYL14" s="476"/>
      <c r="VYM14" s="477"/>
      <c r="VYN14" s="477"/>
      <c r="VYO14" s="463"/>
      <c r="VYP14" s="475"/>
      <c r="VYQ14" s="476"/>
      <c r="VYR14" s="476"/>
      <c r="VYS14" s="476"/>
      <c r="VYT14" s="476"/>
      <c r="VYU14" s="476"/>
      <c r="VYV14" s="476"/>
      <c r="VYW14" s="476"/>
      <c r="VYX14" s="476"/>
      <c r="VYY14" s="476"/>
      <c r="VYZ14" s="476"/>
      <c r="VZA14" s="476"/>
      <c r="VZB14" s="476"/>
      <c r="VZC14" s="477"/>
      <c r="VZD14" s="477"/>
      <c r="VZE14" s="463"/>
      <c r="VZF14" s="475"/>
      <c r="VZG14" s="476"/>
      <c r="VZH14" s="476"/>
      <c r="VZI14" s="476"/>
      <c r="VZJ14" s="476"/>
      <c r="VZK14" s="476"/>
      <c r="VZL14" s="476"/>
      <c r="VZM14" s="476"/>
      <c r="VZN14" s="476"/>
      <c r="VZO14" s="476"/>
      <c r="VZP14" s="476"/>
      <c r="VZQ14" s="476"/>
      <c r="VZR14" s="476"/>
      <c r="VZS14" s="477"/>
      <c r="VZT14" s="477"/>
      <c r="VZU14" s="463"/>
      <c r="VZV14" s="475"/>
      <c r="VZW14" s="476"/>
      <c r="VZX14" s="476"/>
      <c r="VZY14" s="476"/>
      <c r="VZZ14" s="476"/>
      <c r="WAA14" s="476"/>
      <c r="WAB14" s="476"/>
      <c r="WAC14" s="476"/>
      <c r="WAD14" s="476"/>
      <c r="WAE14" s="476"/>
      <c r="WAF14" s="476"/>
      <c r="WAG14" s="476"/>
      <c r="WAH14" s="476"/>
      <c r="WAI14" s="477"/>
      <c r="WAJ14" s="477"/>
      <c r="WAK14" s="463"/>
      <c r="WAL14" s="475"/>
      <c r="WAM14" s="476"/>
      <c r="WAN14" s="476"/>
      <c r="WAO14" s="476"/>
      <c r="WAP14" s="476"/>
      <c r="WAQ14" s="476"/>
      <c r="WAR14" s="476"/>
      <c r="WAS14" s="476"/>
      <c r="WAT14" s="476"/>
      <c r="WAU14" s="476"/>
      <c r="WAV14" s="476"/>
      <c r="WAW14" s="476"/>
      <c r="WAX14" s="476"/>
      <c r="WAY14" s="477"/>
      <c r="WAZ14" s="477"/>
      <c r="WBA14" s="463"/>
      <c r="WBB14" s="475"/>
      <c r="WBC14" s="476"/>
      <c r="WBD14" s="476"/>
      <c r="WBE14" s="476"/>
      <c r="WBF14" s="476"/>
      <c r="WBG14" s="476"/>
      <c r="WBH14" s="476"/>
      <c r="WBI14" s="476"/>
      <c r="WBJ14" s="476"/>
      <c r="WBK14" s="476"/>
      <c r="WBL14" s="476"/>
      <c r="WBM14" s="476"/>
      <c r="WBN14" s="476"/>
      <c r="WBO14" s="477"/>
      <c r="WBP14" s="477"/>
      <c r="WBQ14" s="463"/>
      <c r="WBR14" s="475"/>
      <c r="WBS14" s="476"/>
      <c r="WBT14" s="476"/>
      <c r="WBU14" s="476"/>
      <c r="WBV14" s="476"/>
      <c r="WBW14" s="476"/>
      <c r="WBX14" s="476"/>
      <c r="WBY14" s="476"/>
      <c r="WBZ14" s="476"/>
      <c r="WCA14" s="476"/>
      <c r="WCB14" s="476"/>
      <c r="WCC14" s="476"/>
      <c r="WCD14" s="476"/>
      <c r="WCE14" s="477"/>
      <c r="WCF14" s="477"/>
      <c r="WCG14" s="463"/>
      <c r="WCH14" s="475"/>
      <c r="WCI14" s="476"/>
      <c r="WCJ14" s="476"/>
      <c r="WCK14" s="476"/>
      <c r="WCL14" s="476"/>
      <c r="WCM14" s="476"/>
      <c r="WCN14" s="476"/>
      <c r="WCO14" s="476"/>
      <c r="WCP14" s="476"/>
      <c r="WCQ14" s="476"/>
      <c r="WCR14" s="476"/>
      <c r="WCS14" s="476"/>
      <c r="WCT14" s="476"/>
      <c r="WCU14" s="477"/>
      <c r="WCV14" s="477"/>
      <c r="WCW14" s="463"/>
      <c r="WCX14" s="475"/>
      <c r="WCY14" s="476"/>
      <c r="WCZ14" s="476"/>
      <c r="WDA14" s="476"/>
      <c r="WDB14" s="476"/>
      <c r="WDC14" s="476"/>
      <c r="WDD14" s="476"/>
      <c r="WDE14" s="476"/>
      <c r="WDF14" s="476"/>
      <c r="WDG14" s="476"/>
      <c r="WDH14" s="476"/>
      <c r="WDI14" s="476"/>
      <c r="WDJ14" s="476"/>
      <c r="WDK14" s="477"/>
      <c r="WDL14" s="477"/>
      <c r="WDM14" s="463"/>
      <c r="WDN14" s="475"/>
      <c r="WDO14" s="476"/>
      <c r="WDP14" s="476"/>
      <c r="WDQ14" s="476"/>
      <c r="WDR14" s="476"/>
      <c r="WDS14" s="476"/>
      <c r="WDT14" s="476"/>
      <c r="WDU14" s="476"/>
      <c r="WDV14" s="476"/>
      <c r="WDW14" s="476"/>
      <c r="WDX14" s="476"/>
      <c r="WDY14" s="476"/>
      <c r="WDZ14" s="476"/>
      <c r="WEA14" s="477"/>
      <c r="WEB14" s="477"/>
      <c r="WEC14" s="463"/>
      <c r="WED14" s="475"/>
      <c r="WEE14" s="476"/>
      <c r="WEF14" s="476"/>
      <c r="WEG14" s="476"/>
      <c r="WEH14" s="476"/>
      <c r="WEI14" s="476"/>
      <c r="WEJ14" s="476"/>
      <c r="WEK14" s="476"/>
      <c r="WEL14" s="476"/>
      <c r="WEM14" s="476"/>
      <c r="WEN14" s="476"/>
      <c r="WEO14" s="476"/>
      <c r="WEP14" s="476"/>
      <c r="WEQ14" s="477"/>
      <c r="WER14" s="477"/>
      <c r="WES14" s="463"/>
      <c r="WET14" s="475"/>
      <c r="WEU14" s="476"/>
      <c r="WEV14" s="476"/>
      <c r="WEW14" s="476"/>
      <c r="WEX14" s="476"/>
      <c r="WEY14" s="476"/>
      <c r="WEZ14" s="476"/>
      <c r="WFA14" s="476"/>
      <c r="WFB14" s="476"/>
      <c r="WFC14" s="476"/>
      <c r="WFD14" s="476"/>
      <c r="WFE14" s="476"/>
      <c r="WFF14" s="476"/>
      <c r="WFG14" s="477"/>
      <c r="WFH14" s="477"/>
      <c r="WFI14" s="463"/>
      <c r="WFJ14" s="475"/>
      <c r="WFK14" s="476"/>
      <c r="WFL14" s="476"/>
      <c r="WFM14" s="476"/>
      <c r="WFN14" s="476"/>
      <c r="WFO14" s="476"/>
      <c r="WFP14" s="476"/>
      <c r="WFQ14" s="476"/>
      <c r="WFR14" s="476"/>
      <c r="WFS14" s="476"/>
      <c r="WFT14" s="476"/>
      <c r="WFU14" s="476"/>
      <c r="WFV14" s="476"/>
      <c r="WFW14" s="477"/>
      <c r="WFX14" s="477"/>
      <c r="WFY14" s="463"/>
      <c r="WFZ14" s="475"/>
      <c r="WGA14" s="476"/>
      <c r="WGB14" s="476"/>
      <c r="WGC14" s="476"/>
      <c r="WGD14" s="476"/>
      <c r="WGE14" s="476"/>
      <c r="WGF14" s="476"/>
      <c r="WGG14" s="476"/>
      <c r="WGH14" s="476"/>
      <c r="WGI14" s="476"/>
      <c r="WGJ14" s="476"/>
      <c r="WGK14" s="476"/>
      <c r="WGL14" s="476"/>
      <c r="WGM14" s="477"/>
      <c r="WGN14" s="477"/>
      <c r="WGO14" s="463"/>
      <c r="WGP14" s="475"/>
      <c r="WGQ14" s="476"/>
      <c r="WGR14" s="476"/>
      <c r="WGS14" s="476"/>
      <c r="WGT14" s="476"/>
      <c r="WGU14" s="476"/>
      <c r="WGV14" s="476"/>
      <c r="WGW14" s="476"/>
      <c r="WGX14" s="476"/>
      <c r="WGY14" s="476"/>
      <c r="WGZ14" s="476"/>
      <c r="WHA14" s="476"/>
      <c r="WHB14" s="476"/>
      <c r="WHC14" s="477"/>
      <c r="WHD14" s="477"/>
      <c r="WHE14" s="463"/>
      <c r="WHF14" s="475"/>
      <c r="WHG14" s="476"/>
      <c r="WHH14" s="476"/>
      <c r="WHI14" s="476"/>
      <c r="WHJ14" s="476"/>
      <c r="WHK14" s="476"/>
      <c r="WHL14" s="476"/>
      <c r="WHM14" s="476"/>
      <c r="WHN14" s="476"/>
      <c r="WHO14" s="476"/>
      <c r="WHP14" s="476"/>
      <c r="WHQ14" s="476"/>
      <c r="WHR14" s="476"/>
      <c r="WHS14" s="477"/>
      <c r="WHT14" s="477"/>
      <c r="WHU14" s="463"/>
      <c r="WHV14" s="475"/>
      <c r="WHW14" s="476"/>
      <c r="WHX14" s="476"/>
      <c r="WHY14" s="476"/>
      <c r="WHZ14" s="476"/>
      <c r="WIA14" s="476"/>
      <c r="WIB14" s="476"/>
      <c r="WIC14" s="476"/>
      <c r="WID14" s="476"/>
      <c r="WIE14" s="476"/>
      <c r="WIF14" s="476"/>
      <c r="WIG14" s="476"/>
      <c r="WIH14" s="476"/>
      <c r="WII14" s="477"/>
      <c r="WIJ14" s="477"/>
      <c r="WIK14" s="463"/>
      <c r="WIL14" s="475"/>
      <c r="WIM14" s="476"/>
      <c r="WIN14" s="476"/>
      <c r="WIO14" s="476"/>
      <c r="WIP14" s="476"/>
      <c r="WIQ14" s="476"/>
      <c r="WIR14" s="476"/>
      <c r="WIS14" s="476"/>
      <c r="WIT14" s="476"/>
      <c r="WIU14" s="476"/>
      <c r="WIV14" s="476"/>
      <c r="WIW14" s="476"/>
      <c r="WIX14" s="476"/>
      <c r="WIY14" s="477"/>
      <c r="WIZ14" s="477"/>
      <c r="WJA14" s="463"/>
      <c r="WJB14" s="475"/>
      <c r="WJC14" s="476"/>
      <c r="WJD14" s="476"/>
      <c r="WJE14" s="476"/>
      <c r="WJF14" s="476"/>
      <c r="WJG14" s="476"/>
      <c r="WJH14" s="476"/>
      <c r="WJI14" s="476"/>
      <c r="WJJ14" s="476"/>
      <c r="WJK14" s="476"/>
      <c r="WJL14" s="476"/>
      <c r="WJM14" s="476"/>
      <c r="WJN14" s="476"/>
      <c r="WJO14" s="477"/>
      <c r="WJP14" s="477"/>
      <c r="WJQ14" s="463"/>
      <c r="WJR14" s="475"/>
      <c r="WJS14" s="476"/>
      <c r="WJT14" s="476"/>
      <c r="WJU14" s="476"/>
      <c r="WJV14" s="476"/>
      <c r="WJW14" s="476"/>
      <c r="WJX14" s="476"/>
      <c r="WJY14" s="476"/>
      <c r="WJZ14" s="476"/>
      <c r="WKA14" s="476"/>
      <c r="WKB14" s="476"/>
      <c r="WKC14" s="476"/>
      <c r="WKD14" s="476"/>
      <c r="WKE14" s="477"/>
      <c r="WKF14" s="477"/>
      <c r="WKG14" s="463"/>
      <c r="WKH14" s="475"/>
      <c r="WKI14" s="476"/>
      <c r="WKJ14" s="476"/>
      <c r="WKK14" s="476"/>
      <c r="WKL14" s="476"/>
      <c r="WKM14" s="476"/>
      <c r="WKN14" s="476"/>
      <c r="WKO14" s="476"/>
      <c r="WKP14" s="476"/>
      <c r="WKQ14" s="476"/>
      <c r="WKR14" s="476"/>
      <c r="WKS14" s="476"/>
      <c r="WKT14" s="476"/>
      <c r="WKU14" s="477"/>
      <c r="WKV14" s="477"/>
      <c r="WKW14" s="463"/>
      <c r="WKX14" s="475"/>
      <c r="WKY14" s="476"/>
      <c r="WKZ14" s="476"/>
      <c r="WLA14" s="476"/>
      <c r="WLB14" s="476"/>
      <c r="WLC14" s="476"/>
      <c r="WLD14" s="476"/>
      <c r="WLE14" s="476"/>
      <c r="WLF14" s="476"/>
      <c r="WLG14" s="476"/>
      <c r="WLH14" s="476"/>
      <c r="WLI14" s="476"/>
      <c r="WLJ14" s="476"/>
      <c r="WLK14" s="477"/>
      <c r="WLL14" s="477"/>
      <c r="WLM14" s="463"/>
      <c r="WLN14" s="475"/>
      <c r="WLO14" s="476"/>
      <c r="WLP14" s="476"/>
      <c r="WLQ14" s="476"/>
      <c r="WLR14" s="476"/>
      <c r="WLS14" s="476"/>
      <c r="WLT14" s="476"/>
      <c r="WLU14" s="476"/>
      <c r="WLV14" s="476"/>
      <c r="WLW14" s="476"/>
      <c r="WLX14" s="476"/>
      <c r="WLY14" s="476"/>
      <c r="WLZ14" s="476"/>
      <c r="WMA14" s="477"/>
      <c r="WMB14" s="477"/>
      <c r="WMC14" s="463"/>
      <c r="WMD14" s="475"/>
      <c r="WME14" s="476"/>
      <c r="WMF14" s="476"/>
      <c r="WMG14" s="476"/>
      <c r="WMH14" s="476"/>
      <c r="WMI14" s="476"/>
      <c r="WMJ14" s="476"/>
      <c r="WMK14" s="476"/>
      <c r="WML14" s="476"/>
      <c r="WMM14" s="476"/>
      <c r="WMN14" s="476"/>
      <c r="WMO14" s="476"/>
      <c r="WMP14" s="476"/>
      <c r="WMQ14" s="477"/>
      <c r="WMR14" s="477"/>
      <c r="WMS14" s="463"/>
      <c r="WMT14" s="475"/>
      <c r="WMU14" s="476"/>
      <c r="WMV14" s="476"/>
      <c r="WMW14" s="476"/>
      <c r="WMX14" s="476"/>
      <c r="WMY14" s="476"/>
      <c r="WMZ14" s="476"/>
      <c r="WNA14" s="476"/>
      <c r="WNB14" s="476"/>
      <c r="WNC14" s="476"/>
      <c r="WND14" s="476"/>
      <c r="WNE14" s="476"/>
      <c r="WNF14" s="476"/>
      <c r="WNG14" s="477"/>
      <c r="WNH14" s="477"/>
      <c r="WNI14" s="463"/>
      <c r="WNJ14" s="475"/>
      <c r="WNK14" s="476"/>
      <c r="WNL14" s="476"/>
      <c r="WNM14" s="476"/>
      <c r="WNN14" s="476"/>
      <c r="WNO14" s="476"/>
      <c r="WNP14" s="476"/>
      <c r="WNQ14" s="476"/>
      <c r="WNR14" s="476"/>
      <c r="WNS14" s="476"/>
      <c r="WNT14" s="476"/>
      <c r="WNU14" s="476"/>
      <c r="WNV14" s="476"/>
      <c r="WNW14" s="477"/>
      <c r="WNX14" s="477"/>
      <c r="WNY14" s="463"/>
      <c r="WNZ14" s="475"/>
      <c r="WOA14" s="476"/>
      <c r="WOB14" s="476"/>
      <c r="WOC14" s="476"/>
      <c r="WOD14" s="476"/>
      <c r="WOE14" s="476"/>
      <c r="WOF14" s="476"/>
      <c r="WOG14" s="476"/>
      <c r="WOH14" s="476"/>
      <c r="WOI14" s="476"/>
      <c r="WOJ14" s="476"/>
      <c r="WOK14" s="476"/>
      <c r="WOL14" s="476"/>
      <c r="WOM14" s="477"/>
      <c r="WON14" s="477"/>
      <c r="WOO14" s="463"/>
      <c r="WOP14" s="475"/>
      <c r="WOQ14" s="476"/>
      <c r="WOR14" s="476"/>
      <c r="WOS14" s="476"/>
      <c r="WOT14" s="476"/>
      <c r="WOU14" s="476"/>
      <c r="WOV14" s="476"/>
      <c r="WOW14" s="476"/>
      <c r="WOX14" s="476"/>
      <c r="WOY14" s="476"/>
      <c r="WOZ14" s="476"/>
      <c r="WPA14" s="476"/>
      <c r="WPB14" s="476"/>
      <c r="WPC14" s="477"/>
      <c r="WPD14" s="477"/>
      <c r="WPE14" s="463"/>
      <c r="WPF14" s="475"/>
      <c r="WPG14" s="476"/>
      <c r="WPH14" s="476"/>
      <c r="WPI14" s="476"/>
      <c r="WPJ14" s="476"/>
      <c r="WPK14" s="476"/>
      <c r="WPL14" s="476"/>
      <c r="WPM14" s="476"/>
      <c r="WPN14" s="476"/>
      <c r="WPO14" s="476"/>
      <c r="WPP14" s="476"/>
      <c r="WPQ14" s="476"/>
      <c r="WPR14" s="476"/>
      <c r="WPS14" s="477"/>
      <c r="WPT14" s="477"/>
      <c r="WPU14" s="463"/>
      <c r="WPV14" s="475"/>
      <c r="WPW14" s="476"/>
      <c r="WPX14" s="476"/>
      <c r="WPY14" s="476"/>
      <c r="WPZ14" s="476"/>
      <c r="WQA14" s="476"/>
      <c r="WQB14" s="476"/>
      <c r="WQC14" s="476"/>
      <c r="WQD14" s="476"/>
      <c r="WQE14" s="476"/>
      <c r="WQF14" s="476"/>
      <c r="WQG14" s="476"/>
      <c r="WQH14" s="476"/>
      <c r="WQI14" s="477"/>
      <c r="WQJ14" s="477"/>
      <c r="WQK14" s="463"/>
      <c r="WQL14" s="475"/>
      <c r="WQM14" s="476"/>
      <c r="WQN14" s="476"/>
      <c r="WQO14" s="476"/>
      <c r="WQP14" s="476"/>
      <c r="WQQ14" s="476"/>
      <c r="WQR14" s="476"/>
      <c r="WQS14" s="476"/>
      <c r="WQT14" s="476"/>
      <c r="WQU14" s="476"/>
      <c r="WQV14" s="476"/>
      <c r="WQW14" s="476"/>
      <c r="WQX14" s="476"/>
      <c r="WQY14" s="477"/>
      <c r="WQZ14" s="477"/>
      <c r="WRA14" s="463"/>
      <c r="WRB14" s="475"/>
      <c r="WRC14" s="476"/>
      <c r="WRD14" s="476"/>
      <c r="WRE14" s="476"/>
      <c r="WRF14" s="476"/>
      <c r="WRG14" s="476"/>
      <c r="WRH14" s="476"/>
      <c r="WRI14" s="476"/>
      <c r="WRJ14" s="476"/>
      <c r="WRK14" s="476"/>
      <c r="WRL14" s="476"/>
      <c r="WRM14" s="476"/>
      <c r="WRN14" s="476"/>
      <c r="WRO14" s="477"/>
      <c r="WRP14" s="477"/>
      <c r="WRQ14" s="463"/>
      <c r="WRR14" s="475"/>
      <c r="WRS14" s="476"/>
      <c r="WRT14" s="476"/>
      <c r="WRU14" s="476"/>
      <c r="WRV14" s="476"/>
      <c r="WRW14" s="476"/>
      <c r="WRX14" s="476"/>
      <c r="WRY14" s="476"/>
      <c r="WRZ14" s="476"/>
      <c r="WSA14" s="476"/>
      <c r="WSB14" s="476"/>
      <c r="WSC14" s="476"/>
      <c r="WSD14" s="476"/>
      <c r="WSE14" s="477"/>
      <c r="WSF14" s="477"/>
      <c r="WSG14" s="463"/>
      <c r="WSH14" s="475"/>
      <c r="WSI14" s="476"/>
      <c r="WSJ14" s="476"/>
      <c r="WSK14" s="476"/>
      <c r="WSL14" s="476"/>
      <c r="WSM14" s="476"/>
      <c r="WSN14" s="476"/>
      <c r="WSO14" s="476"/>
      <c r="WSP14" s="476"/>
      <c r="WSQ14" s="476"/>
      <c r="WSR14" s="476"/>
      <c r="WSS14" s="476"/>
      <c r="WST14" s="476"/>
      <c r="WSU14" s="477"/>
      <c r="WSV14" s="477"/>
      <c r="WSW14" s="463"/>
      <c r="WSX14" s="475"/>
      <c r="WSY14" s="476"/>
      <c r="WSZ14" s="476"/>
      <c r="WTA14" s="476"/>
      <c r="WTB14" s="476"/>
      <c r="WTC14" s="476"/>
      <c r="WTD14" s="476"/>
      <c r="WTE14" s="476"/>
      <c r="WTF14" s="476"/>
      <c r="WTG14" s="476"/>
      <c r="WTH14" s="476"/>
      <c r="WTI14" s="476"/>
      <c r="WTJ14" s="476"/>
      <c r="WTK14" s="477"/>
      <c r="WTL14" s="477"/>
      <c r="WTM14" s="463"/>
      <c r="WTN14" s="475"/>
      <c r="WTO14" s="476"/>
      <c r="WTP14" s="476"/>
      <c r="WTQ14" s="476"/>
      <c r="WTR14" s="476"/>
      <c r="WTS14" s="476"/>
      <c r="WTT14" s="476"/>
      <c r="WTU14" s="476"/>
      <c r="WTV14" s="476"/>
      <c r="WTW14" s="476"/>
      <c r="WTX14" s="476"/>
      <c r="WTY14" s="476"/>
      <c r="WTZ14" s="476"/>
      <c r="WUA14" s="477"/>
      <c r="WUB14" s="477"/>
      <c r="WUC14" s="463"/>
      <c r="WUD14" s="475"/>
      <c r="WUE14" s="476"/>
      <c r="WUF14" s="476"/>
      <c r="WUG14" s="476"/>
      <c r="WUH14" s="476"/>
      <c r="WUI14" s="476"/>
      <c r="WUJ14" s="476"/>
      <c r="WUK14" s="476"/>
      <c r="WUL14" s="476"/>
      <c r="WUM14" s="476"/>
      <c r="WUN14" s="476"/>
      <c r="WUO14" s="476"/>
      <c r="WUP14" s="476"/>
      <c r="WUQ14" s="477"/>
      <c r="WUR14" s="477"/>
      <c r="WUS14" s="463"/>
      <c r="WUT14" s="475"/>
      <c r="WUU14" s="476"/>
      <c r="WUV14" s="476"/>
      <c r="WUW14" s="476"/>
      <c r="WUX14" s="476"/>
      <c r="WUY14" s="476"/>
      <c r="WUZ14" s="476"/>
      <c r="WVA14" s="476"/>
      <c r="WVB14" s="476"/>
      <c r="WVC14" s="476"/>
      <c r="WVD14" s="476"/>
      <c r="WVE14" s="476"/>
      <c r="WVF14" s="476"/>
      <c r="WVG14" s="477"/>
      <c r="WVH14" s="477"/>
      <c r="WVI14" s="463"/>
      <c r="WVJ14" s="475"/>
      <c r="WVK14" s="476"/>
      <c r="WVL14" s="476"/>
      <c r="WVM14" s="476"/>
      <c r="WVN14" s="476"/>
      <c r="WVO14" s="476"/>
      <c r="WVP14" s="476"/>
      <c r="WVQ14" s="476"/>
      <c r="WVR14" s="476"/>
      <c r="WVS14" s="476"/>
      <c r="WVT14" s="476"/>
      <c r="WVU14" s="476"/>
      <c r="WVV14" s="476"/>
      <c r="WVW14" s="477"/>
      <c r="WVX14" s="477"/>
      <c r="WVY14" s="463"/>
      <c r="WVZ14" s="475"/>
      <c r="WWA14" s="476"/>
      <c r="WWB14" s="476"/>
      <c r="WWC14" s="476"/>
      <c r="WWD14" s="476"/>
      <c r="WWE14" s="476"/>
      <c r="WWF14" s="476"/>
      <c r="WWG14" s="476"/>
      <c r="WWH14" s="476"/>
      <c r="WWI14" s="476"/>
      <c r="WWJ14" s="476"/>
      <c r="WWK14" s="476"/>
      <c r="WWL14" s="476"/>
      <c r="WWM14" s="477"/>
      <c r="WWN14" s="477"/>
      <c r="WWO14" s="463"/>
      <c r="WWP14" s="475"/>
      <c r="WWQ14" s="476"/>
      <c r="WWR14" s="476"/>
      <c r="WWS14" s="476"/>
      <c r="WWT14" s="476"/>
      <c r="WWU14" s="476"/>
      <c r="WWV14" s="476"/>
      <c r="WWW14" s="476"/>
      <c r="WWX14" s="476"/>
      <c r="WWY14" s="476"/>
      <c r="WWZ14" s="476"/>
      <c r="WXA14" s="476"/>
      <c r="WXB14" s="476"/>
      <c r="WXC14" s="477"/>
      <c r="WXD14" s="477"/>
      <c r="WXE14" s="463"/>
      <c r="WXF14" s="475"/>
      <c r="WXG14" s="476"/>
      <c r="WXH14" s="476"/>
      <c r="WXI14" s="476"/>
      <c r="WXJ14" s="476"/>
      <c r="WXK14" s="476"/>
      <c r="WXL14" s="476"/>
      <c r="WXM14" s="476"/>
      <c r="WXN14" s="476"/>
      <c r="WXO14" s="476"/>
      <c r="WXP14" s="476"/>
      <c r="WXQ14" s="476"/>
      <c r="WXR14" s="476"/>
      <c r="WXS14" s="477"/>
      <c r="WXT14" s="477"/>
      <c r="WXU14" s="463"/>
      <c r="WXV14" s="475"/>
      <c r="WXW14" s="476"/>
      <c r="WXX14" s="476"/>
      <c r="WXY14" s="476"/>
      <c r="WXZ14" s="476"/>
      <c r="WYA14" s="476"/>
      <c r="WYB14" s="476"/>
      <c r="WYC14" s="476"/>
      <c r="WYD14" s="476"/>
      <c r="WYE14" s="476"/>
      <c r="WYF14" s="476"/>
      <c r="WYG14" s="476"/>
      <c r="WYH14" s="476"/>
      <c r="WYI14" s="477"/>
      <c r="WYJ14" s="477"/>
      <c r="WYK14" s="463"/>
      <c r="WYL14" s="475"/>
      <c r="WYM14" s="476"/>
      <c r="WYN14" s="476"/>
      <c r="WYO14" s="476"/>
      <c r="WYP14" s="476"/>
      <c r="WYQ14" s="476"/>
      <c r="WYR14" s="476"/>
      <c r="WYS14" s="476"/>
      <c r="WYT14" s="476"/>
      <c r="WYU14" s="476"/>
      <c r="WYV14" s="476"/>
      <c r="WYW14" s="476"/>
      <c r="WYX14" s="476"/>
      <c r="WYY14" s="477"/>
      <c r="WYZ14" s="477"/>
      <c r="WZA14" s="463"/>
      <c r="WZB14" s="475"/>
      <c r="WZC14" s="476"/>
      <c r="WZD14" s="476"/>
      <c r="WZE14" s="476"/>
      <c r="WZF14" s="476"/>
      <c r="WZG14" s="476"/>
      <c r="WZH14" s="476"/>
      <c r="WZI14" s="476"/>
      <c r="WZJ14" s="476"/>
      <c r="WZK14" s="476"/>
      <c r="WZL14" s="476"/>
      <c r="WZM14" s="476"/>
      <c r="WZN14" s="476"/>
      <c r="WZO14" s="477"/>
      <c r="WZP14" s="477"/>
      <c r="WZQ14" s="463"/>
      <c r="WZR14" s="475"/>
      <c r="WZS14" s="476"/>
      <c r="WZT14" s="476"/>
      <c r="WZU14" s="476"/>
      <c r="WZV14" s="476"/>
      <c r="WZW14" s="476"/>
      <c r="WZX14" s="476"/>
      <c r="WZY14" s="476"/>
      <c r="WZZ14" s="476"/>
      <c r="XAA14" s="476"/>
      <c r="XAB14" s="476"/>
      <c r="XAC14" s="476"/>
      <c r="XAD14" s="476"/>
      <c r="XAE14" s="477"/>
      <c r="XAF14" s="477"/>
      <c r="XAG14" s="463"/>
      <c r="XAH14" s="475"/>
      <c r="XAI14" s="476"/>
      <c r="XAJ14" s="476"/>
      <c r="XAK14" s="476"/>
      <c r="XAL14" s="476"/>
      <c r="XAM14" s="476"/>
      <c r="XAN14" s="476"/>
      <c r="XAO14" s="476"/>
      <c r="XAP14" s="476"/>
      <c r="XAQ14" s="476"/>
      <c r="XAR14" s="476"/>
      <c r="XAS14" s="476"/>
      <c r="XAT14" s="476"/>
      <c r="XAU14" s="477"/>
      <c r="XAV14" s="477"/>
      <c r="XAW14" s="463"/>
      <c r="XAX14" s="475"/>
      <c r="XAY14" s="476"/>
      <c r="XAZ14" s="476"/>
      <c r="XBA14" s="476"/>
      <c r="XBB14" s="476"/>
      <c r="XBC14" s="476"/>
      <c r="XBD14" s="476"/>
      <c r="XBE14" s="476"/>
      <c r="XBF14" s="476"/>
      <c r="XBG14" s="476"/>
      <c r="XBH14" s="476"/>
      <c r="XBI14" s="476"/>
      <c r="XBJ14" s="476"/>
      <c r="XBK14" s="477"/>
      <c r="XBL14" s="477"/>
      <c r="XBM14" s="463"/>
      <c r="XBN14" s="475"/>
      <c r="XBO14" s="476"/>
      <c r="XBP14" s="476"/>
      <c r="XBQ14" s="476"/>
      <c r="XBR14" s="476"/>
      <c r="XBS14" s="476"/>
      <c r="XBT14" s="476"/>
      <c r="XBU14" s="476"/>
      <c r="XBV14" s="476"/>
      <c r="XBW14" s="476"/>
      <c r="XBX14" s="476"/>
      <c r="XBY14" s="476"/>
      <c r="XBZ14" s="476"/>
      <c r="XCA14" s="477"/>
      <c r="XCB14" s="477"/>
      <c r="XCC14" s="463"/>
      <c r="XCD14" s="475"/>
      <c r="XCE14" s="476"/>
      <c r="XCF14" s="476"/>
      <c r="XCG14" s="476"/>
      <c r="XCH14" s="476"/>
      <c r="XCI14" s="476"/>
      <c r="XCJ14" s="476"/>
      <c r="XCK14" s="476"/>
      <c r="XCL14" s="476"/>
      <c r="XCM14" s="476"/>
      <c r="XCN14" s="476"/>
      <c r="XCO14" s="476"/>
      <c r="XCP14" s="476"/>
      <c r="XCQ14" s="477"/>
      <c r="XCR14" s="477"/>
      <c r="XCS14" s="463"/>
      <c r="XCT14" s="475"/>
      <c r="XCU14" s="476"/>
      <c r="XCV14" s="476"/>
      <c r="XCW14" s="476"/>
      <c r="XCX14" s="476"/>
      <c r="XCY14" s="476"/>
      <c r="XCZ14" s="476"/>
      <c r="XDA14" s="476"/>
      <c r="XDB14" s="476"/>
      <c r="XDC14" s="476"/>
      <c r="XDD14" s="476"/>
      <c r="XDE14" s="476"/>
      <c r="XDF14" s="476"/>
      <c r="XDG14" s="477"/>
      <c r="XDH14" s="477"/>
      <c r="XDI14" s="463"/>
      <c r="XDJ14" s="475"/>
      <c r="XDK14" s="476"/>
      <c r="XDL14" s="476"/>
      <c r="XDM14" s="476"/>
      <c r="XDN14" s="476"/>
      <c r="XDO14" s="476"/>
      <c r="XDP14" s="476"/>
      <c r="XDQ14" s="476"/>
      <c r="XDR14" s="476"/>
      <c r="XDS14" s="476"/>
      <c r="XDT14" s="476"/>
      <c r="XDU14" s="476"/>
      <c r="XDV14" s="476"/>
      <c r="XDW14" s="477"/>
      <c r="XDX14" s="477"/>
      <c r="XDY14" s="463"/>
      <c r="XDZ14" s="475"/>
      <c r="XEA14" s="476"/>
      <c r="XEB14" s="476"/>
      <c r="XEC14" s="476"/>
      <c r="XED14" s="476"/>
      <c r="XEE14" s="476"/>
      <c r="XEF14" s="476"/>
      <c r="XEG14" s="476"/>
      <c r="XEH14" s="476"/>
      <c r="XEI14" s="476"/>
      <c r="XEJ14" s="476"/>
      <c r="XEK14" s="476"/>
      <c r="XEL14" s="476"/>
      <c r="XEM14" s="477"/>
      <c r="XEN14" s="477"/>
      <c r="XEO14" s="463"/>
      <c r="XEP14" s="475"/>
      <c r="XEQ14" s="476"/>
    </row>
    <row r="15" spans="1:16371" x14ac:dyDescent="0.25">
      <c r="A15" s="471" t="s">
        <v>438</v>
      </c>
      <c r="B15" s="472" t="s">
        <v>341</v>
      </c>
      <c r="C15" s="473">
        <f>INVENTARIOS!C99</f>
        <v>0</v>
      </c>
      <c r="D15" s="473">
        <f>INVENTARIOS!D99</f>
        <v>0</v>
      </c>
      <c r="E15" s="473">
        <f>INVENTARIOS!E99</f>
        <v>0</v>
      </c>
      <c r="F15" s="473">
        <f>INVENTARIOS!F99</f>
        <v>0</v>
      </c>
      <c r="G15" s="473">
        <f>INVENTARIOS!G99</f>
        <v>0</v>
      </c>
      <c r="H15" s="473">
        <f>INVENTARIOS!H99</f>
        <v>0</v>
      </c>
      <c r="I15" s="473">
        <f>INVENTARIOS!I99</f>
        <v>0</v>
      </c>
      <c r="J15" s="473">
        <f>INVENTARIOS!J99</f>
        <v>0</v>
      </c>
      <c r="K15" s="473">
        <f>INVENTARIOS!K99</f>
        <v>0</v>
      </c>
      <c r="L15" s="473">
        <f>INVENTARIOS!L99</f>
        <v>0</v>
      </c>
      <c r="M15" s="473">
        <f>INVENTARIOS!M99</f>
        <v>0</v>
      </c>
      <c r="N15" s="473">
        <f>INVENTARIOS!N99</f>
        <v>0</v>
      </c>
      <c r="O15" s="474" t="str">
        <f t="shared" si="15"/>
        <v>-</v>
      </c>
      <c r="P15" s="531" t="str">
        <f>IFERROR(AVERAGEIFS('INDICADORES PRODUCCION'!C15:N15,'INDICADORES PRODUCCION'!C15:N15,"&gt;0",'INDICADORES PRODUCCION'!C$7:N$7,"&gt;="&amp;DATE(YEAR('INDICADORES PRODUCCION'!N$7),1,1),'INDICADORES PRODUCCION'!C$7:N$7,"&lt;="&amp;DATE(YEAR('INDICADORES PRODUCCION'!N$7),12,31)),"-")</f>
        <v>-</v>
      </c>
      <c r="Q15" s="474" t="s">
        <v>63</v>
      </c>
      <c r="R15" s="475"/>
      <c r="S15" s="804"/>
      <c r="T15" s="804"/>
      <c r="U15" s="804"/>
      <c r="V15" s="804"/>
      <c r="W15" s="804"/>
      <c r="X15" s="804"/>
      <c r="Y15" s="804"/>
      <c r="Z15" s="804"/>
      <c r="AA15" s="804"/>
      <c r="AB15" s="804"/>
      <c r="AC15" s="804"/>
      <c r="AD15" s="476"/>
      <c r="AE15" s="799">
        <f t="shared" si="2"/>
        <v>0</v>
      </c>
      <c r="AF15" s="799">
        <f t="shared" si="3"/>
        <v>0</v>
      </c>
      <c r="AG15" s="799">
        <f t="shared" si="4"/>
        <v>0</v>
      </c>
      <c r="AH15" s="799">
        <f t="shared" si="5"/>
        <v>0</v>
      </c>
      <c r="AI15" s="799">
        <f t="shared" si="6"/>
        <v>0</v>
      </c>
      <c r="AJ15" s="799">
        <f t="shared" si="7"/>
        <v>0</v>
      </c>
      <c r="AK15" s="799">
        <f t="shared" si="8"/>
        <v>0</v>
      </c>
      <c r="AL15" s="799">
        <f t="shared" si="9"/>
        <v>0</v>
      </c>
      <c r="AM15" s="799">
        <f t="shared" si="10"/>
        <v>0</v>
      </c>
      <c r="AN15" s="799">
        <f t="shared" si="11"/>
        <v>0</v>
      </c>
      <c r="AO15" s="799">
        <f t="shared" si="12"/>
        <v>0</v>
      </c>
      <c r="AP15" s="799"/>
      <c r="AQ15" s="799"/>
      <c r="AR15" s="799"/>
      <c r="AS15" s="799"/>
      <c r="AT15" s="799"/>
      <c r="AU15" s="799"/>
      <c r="AV15" s="799"/>
      <c r="AW15" s="799"/>
      <c r="AX15" s="799"/>
      <c r="AY15" s="799"/>
      <c r="AZ15" s="799">
        <f t="shared" si="1"/>
        <v>0</v>
      </c>
      <c r="BA15" s="799"/>
      <c r="BB15" s="799"/>
      <c r="BC15" s="476"/>
      <c r="BD15" s="476"/>
      <c r="BE15" s="476"/>
      <c r="BF15" s="476"/>
      <c r="BG15" s="476"/>
      <c r="BH15" s="476"/>
      <c r="BI15" s="476"/>
      <c r="BJ15" s="476"/>
      <c r="BK15" s="477"/>
      <c r="BL15" s="477"/>
      <c r="BM15" s="463"/>
      <c r="BN15" s="475"/>
      <c r="BO15" s="476"/>
      <c r="BP15" s="476"/>
      <c r="BQ15" s="476"/>
      <c r="BR15" s="476"/>
      <c r="BS15" s="476"/>
      <c r="BT15" s="476"/>
      <c r="BU15" s="476"/>
      <c r="BV15" s="476"/>
      <c r="BW15" s="476"/>
      <c r="BX15" s="476"/>
      <c r="BY15" s="476"/>
      <c r="BZ15" s="476"/>
      <c r="CA15" s="477"/>
      <c r="CB15" s="477"/>
      <c r="CC15" s="463"/>
      <c r="CD15" s="475"/>
      <c r="CE15" s="476"/>
      <c r="CF15" s="476"/>
      <c r="CG15" s="476"/>
      <c r="CH15" s="476"/>
      <c r="CI15" s="476"/>
      <c r="CJ15" s="476"/>
      <c r="CK15" s="476"/>
      <c r="CL15" s="476"/>
      <c r="CM15" s="476"/>
      <c r="CN15" s="476"/>
      <c r="CO15" s="476"/>
      <c r="CP15" s="476"/>
      <c r="CQ15" s="477"/>
      <c r="CR15" s="477"/>
      <c r="CS15" s="463"/>
      <c r="CT15" s="475"/>
      <c r="CU15" s="476"/>
      <c r="CV15" s="476"/>
      <c r="CW15" s="476"/>
      <c r="CX15" s="476"/>
      <c r="CY15" s="476"/>
      <c r="CZ15" s="476"/>
      <c r="DA15" s="476"/>
      <c r="DB15" s="476"/>
      <c r="DC15" s="476"/>
      <c r="DD15" s="476"/>
      <c r="DE15" s="476"/>
      <c r="DF15" s="476"/>
      <c r="DG15" s="477"/>
      <c r="DH15" s="477"/>
      <c r="DI15" s="463"/>
      <c r="DJ15" s="475"/>
      <c r="DK15" s="476"/>
      <c r="DL15" s="476"/>
      <c r="DM15" s="476"/>
      <c r="DN15" s="476"/>
      <c r="DO15" s="476"/>
      <c r="DP15" s="476"/>
      <c r="DQ15" s="476"/>
      <c r="DR15" s="476"/>
      <c r="DS15" s="476"/>
      <c r="DT15" s="476"/>
      <c r="DU15" s="476"/>
      <c r="DV15" s="476"/>
      <c r="DW15" s="477"/>
      <c r="DX15" s="477"/>
      <c r="DY15" s="463"/>
      <c r="DZ15" s="475"/>
      <c r="EA15" s="476"/>
      <c r="EB15" s="476"/>
      <c r="EC15" s="476"/>
      <c r="ED15" s="476"/>
      <c r="EE15" s="476"/>
      <c r="EF15" s="476"/>
      <c r="EG15" s="476"/>
      <c r="EH15" s="476"/>
      <c r="EI15" s="476"/>
      <c r="EJ15" s="476"/>
      <c r="EK15" s="476"/>
      <c r="EL15" s="476"/>
      <c r="EM15" s="477"/>
      <c r="EN15" s="477"/>
      <c r="EO15" s="463"/>
      <c r="EP15" s="475"/>
      <c r="EQ15" s="476"/>
      <c r="ER15" s="476"/>
      <c r="ES15" s="476"/>
      <c r="ET15" s="476"/>
      <c r="EU15" s="476"/>
      <c r="EV15" s="476"/>
      <c r="EW15" s="476"/>
      <c r="EX15" s="476"/>
      <c r="EY15" s="476"/>
      <c r="EZ15" s="476"/>
      <c r="FA15" s="476"/>
      <c r="FB15" s="476"/>
      <c r="FC15" s="477"/>
      <c r="FD15" s="477"/>
      <c r="FE15" s="463"/>
      <c r="FF15" s="475"/>
      <c r="FG15" s="476"/>
      <c r="FH15" s="476"/>
      <c r="FI15" s="476"/>
      <c r="FJ15" s="476"/>
      <c r="FK15" s="476"/>
      <c r="FL15" s="476"/>
      <c r="FM15" s="476"/>
      <c r="FN15" s="476"/>
      <c r="FO15" s="476"/>
      <c r="FP15" s="476"/>
      <c r="FQ15" s="476"/>
      <c r="FR15" s="476"/>
      <c r="FS15" s="477"/>
      <c r="FT15" s="477"/>
      <c r="FU15" s="463"/>
      <c r="FV15" s="475"/>
      <c r="FW15" s="476"/>
      <c r="FX15" s="476"/>
      <c r="FY15" s="476"/>
      <c r="FZ15" s="476"/>
      <c r="GA15" s="476"/>
      <c r="GB15" s="476"/>
      <c r="GC15" s="476"/>
      <c r="GD15" s="476"/>
      <c r="GE15" s="476"/>
      <c r="GF15" s="476"/>
      <c r="GG15" s="476"/>
      <c r="GH15" s="476"/>
      <c r="GI15" s="477"/>
      <c r="GJ15" s="477"/>
      <c r="GK15" s="463"/>
      <c r="GL15" s="475"/>
      <c r="GM15" s="476"/>
      <c r="GN15" s="476"/>
      <c r="GO15" s="476"/>
      <c r="GP15" s="476"/>
      <c r="GQ15" s="476"/>
      <c r="GR15" s="476"/>
      <c r="GS15" s="476"/>
      <c r="GT15" s="476"/>
      <c r="GU15" s="476"/>
      <c r="GV15" s="476"/>
      <c r="GW15" s="476"/>
      <c r="GX15" s="476"/>
      <c r="GY15" s="477"/>
      <c r="GZ15" s="477"/>
      <c r="HA15" s="463"/>
      <c r="HB15" s="475"/>
      <c r="HC15" s="476"/>
      <c r="HD15" s="476"/>
      <c r="HE15" s="476"/>
      <c r="HF15" s="476"/>
      <c r="HG15" s="476"/>
      <c r="HH15" s="476"/>
      <c r="HI15" s="476"/>
      <c r="HJ15" s="476"/>
      <c r="HK15" s="476"/>
      <c r="HL15" s="476"/>
      <c r="HM15" s="476"/>
      <c r="HN15" s="476"/>
      <c r="HO15" s="477"/>
      <c r="HP15" s="477"/>
      <c r="HQ15" s="463"/>
      <c r="HR15" s="475"/>
      <c r="HS15" s="476"/>
      <c r="HT15" s="476"/>
      <c r="HU15" s="476"/>
      <c r="HV15" s="476"/>
      <c r="HW15" s="476"/>
      <c r="HX15" s="476"/>
      <c r="HY15" s="476"/>
      <c r="HZ15" s="476"/>
      <c r="IA15" s="476"/>
      <c r="IB15" s="476"/>
      <c r="IC15" s="476"/>
      <c r="ID15" s="476"/>
      <c r="IE15" s="477"/>
      <c r="IF15" s="477"/>
      <c r="IG15" s="463"/>
      <c r="IH15" s="475"/>
      <c r="II15" s="476"/>
      <c r="IJ15" s="476"/>
      <c r="IK15" s="476"/>
      <c r="IL15" s="476"/>
      <c r="IM15" s="476"/>
      <c r="IN15" s="476"/>
      <c r="IO15" s="476"/>
      <c r="IP15" s="476"/>
      <c r="IQ15" s="476"/>
      <c r="IR15" s="476"/>
      <c r="IS15" s="476"/>
      <c r="IT15" s="476"/>
      <c r="IU15" s="477"/>
      <c r="IV15" s="477"/>
      <c r="IW15" s="463"/>
      <c r="IX15" s="475"/>
      <c r="IY15" s="476"/>
      <c r="IZ15" s="476"/>
      <c r="JA15" s="476"/>
      <c r="JB15" s="476"/>
      <c r="JC15" s="476"/>
      <c r="JD15" s="476"/>
      <c r="JE15" s="476"/>
      <c r="JF15" s="476"/>
      <c r="JG15" s="476"/>
      <c r="JH15" s="476"/>
      <c r="JI15" s="476"/>
      <c r="JJ15" s="476"/>
      <c r="JK15" s="477"/>
      <c r="JL15" s="477"/>
      <c r="JM15" s="463"/>
      <c r="JN15" s="475"/>
      <c r="JO15" s="476"/>
      <c r="JP15" s="476"/>
      <c r="JQ15" s="476"/>
      <c r="JR15" s="476"/>
      <c r="JS15" s="476"/>
      <c r="JT15" s="476"/>
      <c r="JU15" s="476"/>
      <c r="JV15" s="476"/>
      <c r="JW15" s="476"/>
      <c r="JX15" s="476"/>
      <c r="JY15" s="476"/>
      <c r="JZ15" s="476"/>
      <c r="KA15" s="477"/>
      <c r="KB15" s="477"/>
      <c r="KC15" s="463"/>
      <c r="KD15" s="475"/>
      <c r="KE15" s="476"/>
      <c r="KF15" s="476"/>
      <c r="KG15" s="476"/>
      <c r="KH15" s="476"/>
      <c r="KI15" s="476"/>
      <c r="KJ15" s="476"/>
      <c r="KK15" s="476"/>
      <c r="KL15" s="476"/>
      <c r="KM15" s="476"/>
      <c r="KN15" s="476"/>
      <c r="KO15" s="476"/>
      <c r="KP15" s="476"/>
      <c r="KQ15" s="477"/>
      <c r="KR15" s="477"/>
      <c r="KS15" s="463"/>
      <c r="KT15" s="475"/>
      <c r="KU15" s="476"/>
      <c r="KV15" s="476"/>
      <c r="KW15" s="476"/>
      <c r="KX15" s="476"/>
      <c r="KY15" s="476"/>
      <c r="KZ15" s="476"/>
      <c r="LA15" s="476"/>
      <c r="LB15" s="476"/>
      <c r="LC15" s="476"/>
      <c r="LD15" s="476"/>
      <c r="LE15" s="476"/>
      <c r="LF15" s="476"/>
      <c r="LG15" s="477"/>
      <c r="LH15" s="477"/>
      <c r="LI15" s="463"/>
      <c r="LJ15" s="475"/>
      <c r="LK15" s="476"/>
      <c r="LL15" s="476"/>
      <c r="LM15" s="476"/>
      <c r="LN15" s="476"/>
      <c r="LO15" s="476"/>
      <c r="LP15" s="476"/>
      <c r="LQ15" s="476"/>
      <c r="LR15" s="476"/>
      <c r="LS15" s="476"/>
      <c r="LT15" s="476"/>
      <c r="LU15" s="476"/>
      <c r="LV15" s="476"/>
      <c r="LW15" s="477"/>
      <c r="LX15" s="477"/>
      <c r="LY15" s="463"/>
      <c r="LZ15" s="475"/>
      <c r="MA15" s="476"/>
      <c r="MB15" s="476"/>
      <c r="MC15" s="476"/>
      <c r="MD15" s="476"/>
      <c r="ME15" s="476"/>
      <c r="MF15" s="476"/>
      <c r="MG15" s="476"/>
      <c r="MH15" s="476"/>
      <c r="MI15" s="476"/>
      <c r="MJ15" s="476"/>
      <c r="MK15" s="476"/>
      <c r="ML15" s="476"/>
      <c r="MM15" s="477"/>
      <c r="MN15" s="477"/>
      <c r="MO15" s="463"/>
      <c r="MP15" s="475"/>
      <c r="MQ15" s="476"/>
      <c r="MR15" s="476"/>
      <c r="MS15" s="476"/>
      <c r="MT15" s="476"/>
      <c r="MU15" s="476"/>
      <c r="MV15" s="476"/>
      <c r="MW15" s="476"/>
      <c r="MX15" s="476"/>
      <c r="MY15" s="476"/>
      <c r="MZ15" s="476"/>
      <c r="NA15" s="476"/>
      <c r="NB15" s="476"/>
      <c r="NC15" s="477"/>
      <c r="ND15" s="477"/>
      <c r="NE15" s="463"/>
      <c r="NF15" s="475"/>
      <c r="NG15" s="476"/>
      <c r="NH15" s="476"/>
      <c r="NI15" s="476"/>
      <c r="NJ15" s="476"/>
      <c r="NK15" s="476"/>
      <c r="NL15" s="476"/>
      <c r="NM15" s="476"/>
      <c r="NN15" s="476"/>
      <c r="NO15" s="476"/>
      <c r="NP15" s="476"/>
      <c r="NQ15" s="476"/>
      <c r="NR15" s="476"/>
      <c r="NS15" s="477"/>
      <c r="NT15" s="477"/>
      <c r="NU15" s="463"/>
      <c r="NV15" s="475"/>
      <c r="NW15" s="476"/>
      <c r="NX15" s="476"/>
      <c r="NY15" s="476"/>
      <c r="NZ15" s="476"/>
      <c r="OA15" s="476"/>
      <c r="OB15" s="476"/>
      <c r="OC15" s="476"/>
      <c r="OD15" s="476"/>
      <c r="OE15" s="476"/>
      <c r="OF15" s="476"/>
      <c r="OG15" s="476"/>
      <c r="OH15" s="476"/>
      <c r="OI15" s="477"/>
      <c r="OJ15" s="477"/>
      <c r="OK15" s="463"/>
      <c r="OL15" s="475"/>
      <c r="OM15" s="476"/>
      <c r="ON15" s="476"/>
      <c r="OO15" s="476"/>
      <c r="OP15" s="476"/>
      <c r="OQ15" s="476"/>
      <c r="OR15" s="476"/>
      <c r="OS15" s="476"/>
      <c r="OT15" s="476"/>
      <c r="OU15" s="476"/>
      <c r="OV15" s="476"/>
      <c r="OW15" s="476"/>
      <c r="OX15" s="476"/>
      <c r="OY15" s="477"/>
      <c r="OZ15" s="477"/>
      <c r="PA15" s="463"/>
      <c r="PB15" s="475"/>
      <c r="PC15" s="476"/>
      <c r="PD15" s="476"/>
      <c r="PE15" s="476"/>
      <c r="PF15" s="476"/>
      <c r="PG15" s="476"/>
      <c r="PH15" s="476"/>
      <c r="PI15" s="476"/>
      <c r="PJ15" s="476"/>
      <c r="PK15" s="476"/>
      <c r="PL15" s="476"/>
      <c r="PM15" s="476"/>
      <c r="PN15" s="476"/>
      <c r="PO15" s="477"/>
      <c r="PP15" s="477"/>
      <c r="PQ15" s="463"/>
      <c r="PR15" s="475"/>
      <c r="PS15" s="476"/>
      <c r="PT15" s="476"/>
      <c r="PU15" s="476"/>
      <c r="PV15" s="476"/>
      <c r="PW15" s="476"/>
      <c r="PX15" s="476"/>
      <c r="PY15" s="476"/>
      <c r="PZ15" s="476"/>
      <c r="QA15" s="476"/>
      <c r="QB15" s="476"/>
      <c r="QC15" s="476"/>
      <c r="QD15" s="476"/>
      <c r="QE15" s="477"/>
      <c r="QF15" s="477"/>
      <c r="QG15" s="463"/>
      <c r="QH15" s="475"/>
      <c r="QI15" s="476"/>
      <c r="QJ15" s="476"/>
      <c r="QK15" s="476"/>
      <c r="QL15" s="476"/>
      <c r="QM15" s="476"/>
      <c r="QN15" s="476"/>
      <c r="QO15" s="476"/>
      <c r="QP15" s="476"/>
      <c r="QQ15" s="476"/>
      <c r="QR15" s="476"/>
      <c r="QS15" s="476"/>
      <c r="QT15" s="476"/>
      <c r="QU15" s="477"/>
      <c r="QV15" s="477"/>
      <c r="QW15" s="463"/>
      <c r="QX15" s="475"/>
      <c r="QY15" s="476"/>
      <c r="QZ15" s="476"/>
      <c r="RA15" s="476"/>
      <c r="RB15" s="476"/>
      <c r="RC15" s="476"/>
      <c r="RD15" s="476"/>
      <c r="RE15" s="476"/>
      <c r="RF15" s="476"/>
      <c r="RG15" s="476"/>
      <c r="RH15" s="476"/>
      <c r="RI15" s="476"/>
      <c r="RJ15" s="476"/>
      <c r="RK15" s="477"/>
      <c r="RL15" s="477"/>
      <c r="RM15" s="463"/>
      <c r="RN15" s="475"/>
      <c r="RO15" s="476"/>
      <c r="RP15" s="476"/>
      <c r="RQ15" s="476"/>
      <c r="RR15" s="476"/>
      <c r="RS15" s="476"/>
      <c r="RT15" s="476"/>
      <c r="RU15" s="476"/>
      <c r="RV15" s="476"/>
      <c r="RW15" s="476"/>
      <c r="RX15" s="476"/>
      <c r="RY15" s="476"/>
      <c r="RZ15" s="476"/>
      <c r="SA15" s="477"/>
      <c r="SB15" s="477"/>
      <c r="SC15" s="463"/>
      <c r="SD15" s="475"/>
      <c r="SE15" s="476"/>
      <c r="SF15" s="476"/>
      <c r="SG15" s="476"/>
      <c r="SH15" s="476"/>
      <c r="SI15" s="476"/>
      <c r="SJ15" s="476"/>
      <c r="SK15" s="476"/>
      <c r="SL15" s="476"/>
      <c r="SM15" s="476"/>
      <c r="SN15" s="476"/>
      <c r="SO15" s="476"/>
      <c r="SP15" s="476"/>
      <c r="SQ15" s="477"/>
      <c r="SR15" s="477"/>
      <c r="SS15" s="463"/>
      <c r="ST15" s="475"/>
      <c r="SU15" s="476"/>
      <c r="SV15" s="476"/>
      <c r="SW15" s="476"/>
      <c r="SX15" s="476"/>
      <c r="SY15" s="476"/>
      <c r="SZ15" s="476"/>
      <c r="TA15" s="476"/>
      <c r="TB15" s="476"/>
      <c r="TC15" s="476"/>
      <c r="TD15" s="476"/>
      <c r="TE15" s="476"/>
      <c r="TF15" s="476"/>
      <c r="TG15" s="477"/>
      <c r="TH15" s="477"/>
      <c r="TI15" s="463"/>
      <c r="TJ15" s="475"/>
      <c r="TK15" s="476"/>
      <c r="TL15" s="476"/>
      <c r="TM15" s="476"/>
      <c r="TN15" s="476"/>
      <c r="TO15" s="476"/>
      <c r="TP15" s="476"/>
      <c r="TQ15" s="476"/>
      <c r="TR15" s="476"/>
      <c r="TS15" s="476"/>
      <c r="TT15" s="476"/>
      <c r="TU15" s="476"/>
      <c r="TV15" s="476"/>
      <c r="TW15" s="477"/>
      <c r="TX15" s="477"/>
      <c r="TY15" s="463"/>
      <c r="TZ15" s="475"/>
      <c r="UA15" s="476"/>
      <c r="UB15" s="476"/>
      <c r="UC15" s="476"/>
      <c r="UD15" s="476"/>
      <c r="UE15" s="476"/>
      <c r="UF15" s="476"/>
      <c r="UG15" s="476"/>
      <c r="UH15" s="476"/>
      <c r="UI15" s="476"/>
      <c r="UJ15" s="476"/>
      <c r="UK15" s="476"/>
      <c r="UL15" s="476"/>
      <c r="UM15" s="477"/>
      <c r="UN15" s="477"/>
      <c r="UO15" s="463"/>
      <c r="UP15" s="475"/>
      <c r="UQ15" s="476"/>
      <c r="UR15" s="476"/>
      <c r="US15" s="476"/>
      <c r="UT15" s="476"/>
      <c r="UU15" s="476"/>
      <c r="UV15" s="476"/>
      <c r="UW15" s="476"/>
      <c r="UX15" s="476"/>
      <c r="UY15" s="476"/>
      <c r="UZ15" s="476"/>
      <c r="VA15" s="476"/>
      <c r="VB15" s="476"/>
      <c r="VC15" s="477"/>
      <c r="VD15" s="477"/>
      <c r="VE15" s="463"/>
      <c r="VF15" s="475"/>
      <c r="VG15" s="476"/>
      <c r="VH15" s="476"/>
      <c r="VI15" s="476"/>
      <c r="VJ15" s="476"/>
      <c r="VK15" s="476"/>
      <c r="VL15" s="476"/>
      <c r="VM15" s="476"/>
      <c r="VN15" s="476"/>
      <c r="VO15" s="476"/>
      <c r="VP15" s="476"/>
      <c r="VQ15" s="476"/>
      <c r="VR15" s="476"/>
      <c r="VS15" s="477"/>
      <c r="VT15" s="477"/>
      <c r="VU15" s="463"/>
      <c r="VV15" s="475"/>
      <c r="VW15" s="476"/>
      <c r="VX15" s="476"/>
      <c r="VY15" s="476"/>
      <c r="VZ15" s="476"/>
      <c r="WA15" s="476"/>
      <c r="WB15" s="476"/>
      <c r="WC15" s="476"/>
      <c r="WD15" s="476"/>
      <c r="WE15" s="476"/>
      <c r="WF15" s="476"/>
      <c r="WG15" s="476"/>
      <c r="WH15" s="476"/>
      <c r="WI15" s="477"/>
      <c r="WJ15" s="477"/>
      <c r="WK15" s="463"/>
      <c r="WL15" s="475"/>
      <c r="WM15" s="476"/>
      <c r="WN15" s="476"/>
      <c r="WO15" s="476"/>
      <c r="WP15" s="476"/>
      <c r="WQ15" s="476"/>
      <c r="WR15" s="476"/>
      <c r="WS15" s="476"/>
      <c r="WT15" s="476"/>
      <c r="WU15" s="476"/>
      <c r="WV15" s="476"/>
      <c r="WW15" s="476"/>
      <c r="WX15" s="476"/>
      <c r="WY15" s="477"/>
      <c r="WZ15" s="477"/>
      <c r="XA15" s="463"/>
      <c r="XB15" s="475"/>
      <c r="XC15" s="476"/>
      <c r="XD15" s="476"/>
      <c r="XE15" s="476"/>
      <c r="XF15" s="476"/>
      <c r="XG15" s="476"/>
      <c r="XH15" s="476"/>
      <c r="XI15" s="476"/>
      <c r="XJ15" s="476"/>
      <c r="XK15" s="476"/>
      <c r="XL15" s="476"/>
      <c r="XM15" s="476"/>
      <c r="XN15" s="476"/>
      <c r="XO15" s="477"/>
      <c r="XP15" s="477"/>
      <c r="XQ15" s="463"/>
      <c r="XR15" s="475"/>
      <c r="XS15" s="476"/>
      <c r="XT15" s="476"/>
      <c r="XU15" s="476"/>
      <c r="XV15" s="476"/>
      <c r="XW15" s="476"/>
      <c r="XX15" s="476"/>
      <c r="XY15" s="476"/>
      <c r="XZ15" s="476"/>
      <c r="YA15" s="476"/>
      <c r="YB15" s="476"/>
      <c r="YC15" s="476"/>
      <c r="YD15" s="476"/>
      <c r="YE15" s="477"/>
      <c r="YF15" s="477"/>
      <c r="YG15" s="463"/>
      <c r="YH15" s="475"/>
      <c r="YI15" s="476"/>
      <c r="YJ15" s="476"/>
      <c r="YK15" s="476"/>
      <c r="YL15" s="476"/>
      <c r="YM15" s="476"/>
      <c r="YN15" s="476"/>
      <c r="YO15" s="476"/>
      <c r="YP15" s="476"/>
      <c r="YQ15" s="476"/>
      <c r="YR15" s="476"/>
      <c r="YS15" s="476"/>
      <c r="YT15" s="476"/>
      <c r="YU15" s="477"/>
      <c r="YV15" s="477"/>
      <c r="YW15" s="463"/>
      <c r="YX15" s="475"/>
      <c r="YY15" s="476"/>
      <c r="YZ15" s="476"/>
      <c r="ZA15" s="476"/>
      <c r="ZB15" s="476"/>
      <c r="ZC15" s="476"/>
      <c r="ZD15" s="476"/>
      <c r="ZE15" s="476"/>
      <c r="ZF15" s="476"/>
      <c r="ZG15" s="476"/>
      <c r="ZH15" s="476"/>
      <c r="ZI15" s="476"/>
      <c r="ZJ15" s="476"/>
      <c r="ZK15" s="477"/>
      <c r="ZL15" s="477"/>
      <c r="ZM15" s="463"/>
      <c r="ZN15" s="475"/>
      <c r="ZO15" s="476"/>
      <c r="ZP15" s="476"/>
      <c r="ZQ15" s="476"/>
      <c r="ZR15" s="476"/>
      <c r="ZS15" s="476"/>
      <c r="ZT15" s="476"/>
      <c r="ZU15" s="476"/>
      <c r="ZV15" s="476"/>
      <c r="ZW15" s="476"/>
      <c r="ZX15" s="476"/>
      <c r="ZY15" s="476"/>
      <c r="ZZ15" s="476"/>
      <c r="AAA15" s="477"/>
      <c r="AAB15" s="477"/>
      <c r="AAC15" s="463"/>
      <c r="AAD15" s="475"/>
      <c r="AAE15" s="476"/>
      <c r="AAF15" s="476"/>
      <c r="AAG15" s="476"/>
      <c r="AAH15" s="476"/>
      <c r="AAI15" s="476"/>
      <c r="AAJ15" s="476"/>
      <c r="AAK15" s="476"/>
      <c r="AAL15" s="476"/>
      <c r="AAM15" s="476"/>
      <c r="AAN15" s="476"/>
      <c r="AAO15" s="476"/>
      <c r="AAP15" s="476"/>
      <c r="AAQ15" s="477"/>
      <c r="AAR15" s="477"/>
      <c r="AAS15" s="463"/>
      <c r="AAT15" s="475"/>
      <c r="AAU15" s="476"/>
      <c r="AAV15" s="476"/>
      <c r="AAW15" s="476"/>
      <c r="AAX15" s="476"/>
      <c r="AAY15" s="476"/>
      <c r="AAZ15" s="476"/>
      <c r="ABA15" s="476"/>
      <c r="ABB15" s="476"/>
      <c r="ABC15" s="476"/>
      <c r="ABD15" s="476"/>
      <c r="ABE15" s="476"/>
      <c r="ABF15" s="476"/>
      <c r="ABG15" s="477"/>
      <c r="ABH15" s="477"/>
      <c r="ABI15" s="463"/>
      <c r="ABJ15" s="475"/>
      <c r="ABK15" s="476"/>
      <c r="ABL15" s="476"/>
      <c r="ABM15" s="476"/>
      <c r="ABN15" s="476"/>
      <c r="ABO15" s="476"/>
      <c r="ABP15" s="476"/>
      <c r="ABQ15" s="476"/>
      <c r="ABR15" s="476"/>
      <c r="ABS15" s="476"/>
      <c r="ABT15" s="476"/>
      <c r="ABU15" s="476"/>
      <c r="ABV15" s="476"/>
      <c r="ABW15" s="477"/>
      <c r="ABX15" s="477"/>
      <c r="ABY15" s="463"/>
      <c r="ABZ15" s="475"/>
      <c r="ACA15" s="476"/>
      <c r="ACB15" s="476"/>
      <c r="ACC15" s="476"/>
      <c r="ACD15" s="476"/>
      <c r="ACE15" s="476"/>
      <c r="ACF15" s="476"/>
      <c r="ACG15" s="476"/>
      <c r="ACH15" s="476"/>
      <c r="ACI15" s="476"/>
      <c r="ACJ15" s="476"/>
      <c r="ACK15" s="476"/>
      <c r="ACL15" s="476"/>
      <c r="ACM15" s="477"/>
      <c r="ACN15" s="477"/>
      <c r="ACO15" s="463"/>
      <c r="ACP15" s="475"/>
      <c r="ACQ15" s="476"/>
      <c r="ACR15" s="476"/>
      <c r="ACS15" s="476"/>
      <c r="ACT15" s="476"/>
      <c r="ACU15" s="476"/>
      <c r="ACV15" s="476"/>
      <c r="ACW15" s="476"/>
      <c r="ACX15" s="476"/>
      <c r="ACY15" s="476"/>
      <c r="ACZ15" s="476"/>
      <c r="ADA15" s="476"/>
      <c r="ADB15" s="476"/>
      <c r="ADC15" s="477"/>
      <c r="ADD15" s="477"/>
      <c r="ADE15" s="463"/>
      <c r="ADF15" s="475"/>
      <c r="ADG15" s="476"/>
      <c r="ADH15" s="476"/>
      <c r="ADI15" s="476"/>
      <c r="ADJ15" s="476"/>
      <c r="ADK15" s="476"/>
      <c r="ADL15" s="476"/>
      <c r="ADM15" s="476"/>
      <c r="ADN15" s="476"/>
      <c r="ADO15" s="476"/>
      <c r="ADP15" s="476"/>
      <c r="ADQ15" s="476"/>
      <c r="ADR15" s="476"/>
      <c r="ADS15" s="477"/>
      <c r="ADT15" s="477"/>
      <c r="ADU15" s="463"/>
      <c r="ADV15" s="475"/>
      <c r="ADW15" s="476"/>
      <c r="ADX15" s="476"/>
      <c r="ADY15" s="476"/>
      <c r="ADZ15" s="476"/>
      <c r="AEA15" s="476"/>
      <c r="AEB15" s="476"/>
      <c r="AEC15" s="476"/>
      <c r="AED15" s="476"/>
      <c r="AEE15" s="476"/>
      <c r="AEF15" s="476"/>
      <c r="AEG15" s="476"/>
      <c r="AEH15" s="476"/>
      <c r="AEI15" s="477"/>
      <c r="AEJ15" s="477"/>
      <c r="AEK15" s="463"/>
      <c r="AEL15" s="475"/>
      <c r="AEM15" s="476"/>
      <c r="AEN15" s="476"/>
      <c r="AEO15" s="476"/>
      <c r="AEP15" s="476"/>
      <c r="AEQ15" s="476"/>
      <c r="AER15" s="476"/>
      <c r="AES15" s="476"/>
      <c r="AET15" s="476"/>
      <c r="AEU15" s="476"/>
      <c r="AEV15" s="476"/>
      <c r="AEW15" s="476"/>
      <c r="AEX15" s="476"/>
      <c r="AEY15" s="477"/>
      <c r="AEZ15" s="477"/>
      <c r="AFA15" s="463"/>
      <c r="AFB15" s="475"/>
      <c r="AFC15" s="476"/>
      <c r="AFD15" s="476"/>
      <c r="AFE15" s="476"/>
      <c r="AFF15" s="476"/>
      <c r="AFG15" s="476"/>
      <c r="AFH15" s="476"/>
      <c r="AFI15" s="476"/>
      <c r="AFJ15" s="476"/>
      <c r="AFK15" s="476"/>
      <c r="AFL15" s="476"/>
      <c r="AFM15" s="476"/>
      <c r="AFN15" s="476"/>
      <c r="AFO15" s="477"/>
      <c r="AFP15" s="477"/>
      <c r="AFQ15" s="463"/>
      <c r="AFR15" s="475"/>
      <c r="AFS15" s="476"/>
      <c r="AFT15" s="476"/>
      <c r="AFU15" s="476"/>
      <c r="AFV15" s="476"/>
      <c r="AFW15" s="476"/>
      <c r="AFX15" s="476"/>
      <c r="AFY15" s="476"/>
      <c r="AFZ15" s="476"/>
      <c r="AGA15" s="476"/>
      <c r="AGB15" s="476"/>
      <c r="AGC15" s="476"/>
      <c r="AGD15" s="476"/>
      <c r="AGE15" s="477"/>
      <c r="AGF15" s="477"/>
      <c r="AGG15" s="463"/>
      <c r="AGH15" s="475"/>
      <c r="AGI15" s="476"/>
      <c r="AGJ15" s="476"/>
      <c r="AGK15" s="476"/>
      <c r="AGL15" s="476"/>
      <c r="AGM15" s="476"/>
      <c r="AGN15" s="476"/>
      <c r="AGO15" s="476"/>
      <c r="AGP15" s="476"/>
      <c r="AGQ15" s="476"/>
      <c r="AGR15" s="476"/>
      <c r="AGS15" s="476"/>
      <c r="AGT15" s="476"/>
      <c r="AGU15" s="477"/>
      <c r="AGV15" s="477"/>
      <c r="AGW15" s="463"/>
      <c r="AGX15" s="475"/>
      <c r="AGY15" s="476"/>
      <c r="AGZ15" s="476"/>
      <c r="AHA15" s="476"/>
      <c r="AHB15" s="476"/>
      <c r="AHC15" s="476"/>
      <c r="AHD15" s="476"/>
      <c r="AHE15" s="476"/>
      <c r="AHF15" s="476"/>
      <c r="AHG15" s="476"/>
      <c r="AHH15" s="476"/>
      <c r="AHI15" s="476"/>
      <c r="AHJ15" s="476"/>
      <c r="AHK15" s="477"/>
      <c r="AHL15" s="477"/>
      <c r="AHM15" s="463"/>
      <c r="AHN15" s="475"/>
      <c r="AHO15" s="476"/>
      <c r="AHP15" s="476"/>
      <c r="AHQ15" s="476"/>
      <c r="AHR15" s="476"/>
      <c r="AHS15" s="476"/>
      <c r="AHT15" s="476"/>
      <c r="AHU15" s="476"/>
      <c r="AHV15" s="476"/>
      <c r="AHW15" s="476"/>
      <c r="AHX15" s="476"/>
      <c r="AHY15" s="476"/>
      <c r="AHZ15" s="476"/>
      <c r="AIA15" s="477"/>
      <c r="AIB15" s="477"/>
      <c r="AIC15" s="463"/>
      <c r="AID15" s="475"/>
      <c r="AIE15" s="476"/>
      <c r="AIF15" s="476"/>
      <c r="AIG15" s="476"/>
      <c r="AIH15" s="476"/>
      <c r="AII15" s="476"/>
      <c r="AIJ15" s="476"/>
      <c r="AIK15" s="476"/>
      <c r="AIL15" s="476"/>
      <c r="AIM15" s="476"/>
      <c r="AIN15" s="476"/>
      <c r="AIO15" s="476"/>
      <c r="AIP15" s="476"/>
      <c r="AIQ15" s="477"/>
      <c r="AIR15" s="477"/>
      <c r="AIS15" s="463"/>
      <c r="AIT15" s="475"/>
      <c r="AIU15" s="476"/>
      <c r="AIV15" s="476"/>
      <c r="AIW15" s="476"/>
      <c r="AIX15" s="476"/>
      <c r="AIY15" s="476"/>
      <c r="AIZ15" s="476"/>
      <c r="AJA15" s="476"/>
      <c r="AJB15" s="476"/>
      <c r="AJC15" s="476"/>
      <c r="AJD15" s="476"/>
      <c r="AJE15" s="476"/>
      <c r="AJF15" s="476"/>
      <c r="AJG15" s="477"/>
      <c r="AJH15" s="477"/>
      <c r="AJI15" s="463"/>
      <c r="AJJ15" s="475"/>
      <c r="AJK15" s="476"/>
      <c r="AJL15" s="476"/>
      <c r="AJM15" s="476"/>
      <c r="AJN15" s="476"/>
      <c r="AJO15" s="476"/>
      <c r="AJP15" s="476"/>
      <c r="AJQ15" s="476"/>
      <c r="AJR15" s="476"/>
      <c r="AJS15" s="476"/>
      <c r="AJT15" s="476"/>
      <c r="AJU15" s="476"/>
      <c r="AJV15" s="476"/>
      <c r="AJW15" s="477"/>
      <c r="AJX15" s="477"/>
      <c r="AJY15" s="463"/>
      <c r="AJZ15" s="475"/>
      <c r="AKA15" s="476"/>
      <c r="AKB15" s="476"/>
      <c r="AKC15" s="476"/>
      <c r="AKD15" s="476"/>
      <c r="AKE15" s="476"/>
      <c r="AKF15" s="476"/>
      <c r="AKG15" s="476"/>
      <c r="AKH15" s="476"/>
      <c r="AKI15" s="476"/>
      <c r="AKJ15" s="476"/>
      <c r="AKK15" s="476"/>
      <c r="AKL15" s="476"/>
      <c r="AKM15" s="477"/>
      <c r="AKN15" s="477"/>
      <c r="AKO15" s="463"/>
      <c r="AKP15" s="475"/>
      <c r="AKQ15" s="476"/>
      <c r="AKR15" s="476"/>
      <c r="AKS15" s="476"/>
      <c r="AKT15" s="476"/>
      <c r="AKU15" s="476"/>
      <c r="AKV15" s="476"/>
      <c r="AKW15" s="476"/>
      <c r="AKX15" s="476"/>
      <c r="AKY15" s="476"/>
      <c r="AKZ15" s="476"/>
      <c r="ALA15" s="476"/>
      <c r="ALB15" s="476"/>
      <c r="ALC15" s="477"/>
      <c r="ALD15" s="477"/>
      <c r="ALE15" s="463"/>
      <c r="ALF15" s="475"/>
      <c r="ALG15" s="476"/>
      <c r="ALH15" s="476"/>
      <c r="ALI15" s="476"/>
      <c r="ALJ15" s="476"/>
      <c r="ALK15" s="476"/>
      <c r="ALL15" s="476"/>
      <c r="ALM15" s="476"/>
      <c r="ALN15" s="476"/>
      <c r="ALO15" s="476"/>
      <c r="ALP15" s="476"/>
      <c r="ALQ15" s="476"/>
      <c r="ALR15" s="476"/>
      <c r="ALS15" s="477"/>
      <c r="ALT15" s="477"/>
      <c r="ALU15" s="463"/>
      <c r="ALV15" s="475"/>
      <c r="ALW15" s="476"/>
      <c r="ALX15" s="476"/>
      <c r="ALY15" s="476"/>
      <c r="ALZ15" s="476"/>
      <c r="AMA15" s="476"/>
      <c r="AMB15" s="476"/>
      <c r="AMC15" s="476"/>
      <c r="AMD15" s="476"/>
      <c r="AME15" s="476"/>
      <c r="AMF15" s="476"/>
      <c r="AMG15" s="476"/>
      <c r="AMH15" s="476"/>
      <c r="AMI15" s="477"/>
      <c r="AMJ15" s="477"/>
      <c r="AMK15" s="463"/>
      <c r="AML15" s="475"/>
      <c r="AMM15" s="476"/>
      <c r="AMN15" s="476"/>
      <c r="AMO15" s="476"/>
      <c r="AMP15" s="476"/>
      <c r="AMQ15" s="476"/>
      <c r="AMR15" s="476"/>
      <c r="AMS15" s="476"/>
      <c r="AMT15" s="476"/>
      <c r="AMU15" s="476"/>
      <c r="AMV15" s="476"/>
      <c r="AMW15" s="476"/>
      <c r="AMX15" s="476"/>
      <c r="AMY15" s="477"/>
      <c r="AMZ15" s="477"/>
      <c r="ANA15" s="463"/>
      <c r="ANB15" s="475"/>
      <c r="ANC15" s="476"/>
      <c r="AND15" s="476"/>
      <c r="ANE15" s="476"/>
      <c r="ANF15" s="476"/>
      <c r="ANG15" s="476"/>
      <c r="ANH15" s="476"/>
      <c r="ANI15" s="476"/>
      <c r="ANJ15" s="476"/>
      <c r="ANK15" s="476"/>
      <c r="ANL15" s="476"/>
      <c r="ANM15" s="476"/>
      <c r="ANN15" s="476"/>
      <c r="ANO15" s="477"/>
      <c r="ANP15" s="477"/>
      <c r="ANQ15" s="463"/>
      <c r="ANR15" s="475"/>
      <c r="ANS15" s="476"/>
      <c r="ANT15" s="476"/>
      <c r="ANU15" s="476"/>
      <c r="ANV15" s="476"/>
      <c r="ANW15" s="476"/>
      <c r="ANX15" s="476"/>
      <c r="ANY15" s="476"/>
      <c r="ANZ15" s="476"/>
      <c r="AOA15" s="476"/>
      <c r="AOB15" s="476"/>
      <c r="AOC15" s="476"/>
      <c r="AOD15" s="476"/>
      <c r="AOE15" s="477"/>
      <c r="AOF15" s="477"/>
      <c r="AOG15" s="463"/>
      <c r="AOH15" s="475"/>
      <c r="AOI15" s="476"/>
      <c r="AOJ15" s="476"/>
      <c r="AOK15" s="476"/>
      <c r="AOL15" s="476"/>
      <c r="AOM15" s="476"/>
      <c r="AON15" s="476"/>
      <c r="AOO15" s="476"/>
      <c r="AOP15" s="476"/>
      <c r="AOQ15" s="476"/>
      <c r="AOR15" s="476"/>
      <c r="AOS15" s="476"/>
      <c r="AOT15" s="476"/>
      <c r="AOU15" s="477"/>
      <c r="AOV15" s="477"/>
      <c r="AOW15" s="463"/>
      <c r="AOX15" s="475"/>
      <c r="AOY15" s="476"/>
      <c r="AOZ15" s="476"/>
      <c r="APA15" s="476"/>
      <c r="APB15" s="476"/>
      <c r="APC15" s="476"/>
      <c r="APD15" s="476"/>
      <c r="APE15" s="476"/>
      <c r="APF15" s="476"/>
      <c r="APG15" s="476"/>
      <c r="APH15" s="476"/>
      <c r="API15" s="476"/>
      <c r="APJ15" s="476"/>
      <c r="APK15" s="477"/>
      <c r="APL15" s="477"/>
      <c r="APM15" s="463"/>
      <c r="APN15" s="475"/>
      <c r="APO15" s="476"/>
      <c r="APP15" s="476"/>
      <c r="APQ15" s="476"/>
      <c r="APR15" s="476"/>
      <c r="APS15" s="476"/>
      <c r="APT15" s="476"/>
      <c r="APU15" s="476"/>
      <c r="APV15" s="476"/>
      <c r="APW15" s="476"/>
      <c r="APX15" s="476"/>
      <c r="APY15" s="476"/>
      <c r="APZ15" s="476"/>
      <c r="AQA15" s="477"/>
      <c r="AQB15" s="477"/>
      <c r="AQC15" s="463"/>
      <c r="AQD15" s="475"/>
      <c r="AQE15" s="476"/>
      <c r="AQF15" s="476"/>
      <c r="AQG15" s="476"/>
      <c r="AQH15" s="476"/>
      <c r="AQI15" s="476"/>
      <c r="AQJ15" s="476"/>
      <c r="AQK15" s="476"/>
      <c r="AQL15" s="476"/>
      <c r="AQM15" s="476"/>
      <c r="AQN15" s="476"/>
      <c r="AQO15" s="476"/>
      <c r="AQP15" s="476"/>
      <c r="AQQ15" s="477"/>
      <c r="AQR15" s="477"/>
      <c r="AQS15" s="463"/>
      <c r="AQT15" s="475"/>
      <c r="AQU15" s="476"/>
      <c r="AQV15" s="476"/>
      <c r="AQW15" s="476"/>
      <c r="AQX15" s="476"/>
      <c r="AQY15" s="476"/>
      <c r="AQZ15" s="476"/>
      <c r="ARA15" s="476"/>
      <c r="ARB15" s="476"/>
      <c r="ARC15" s="476"/>
      <c r="ARD15" s="476"/>
      <c r="ARE15" s="476"/>
      <c r="ARF15" s="476"/>
      <c r="ARG15" s="477"/>
      <c r="ARH15" s="477"/>
      <c r="ARI15" s="463"/>
      <c r="ARJ15" s="475"/>
      <c r="ARK15" s="476"/>
      <c r="ARL15" s="476"/>
      <c r="ARM15" s="476"/>
      <c r="ARN15" s="476"/>
      <c r="ARO15" s="476"/>
      <c r="ARP15" s="476"/>
      <c r="ARQ15" s="476"/>
      <c r="ARR15" s="476"/>
      <c r="ARS15" s="476"/>
      <c r="ART15" s="476"/>
      <c r="ARU15" s="476"/>
      <c r="ARV15" s="476"/>
      <c r="ARW15" s="477"/>
      <c r="ARX15" s="477"/>
      <c r="ARY15" s="463"/>
      <c r="ARZ15" s="475"/>
      <c r="ASA15" s="476"/>
      <c r="ASB15" s="476"/>
      <c r="ASC15" s="476"/>
      <c r="ASD15" s="476"/>
      <c r="ASE15" s="476"/>
      <c r="ASF15" s="476"/>
      <c r="ASG15" s="476"/>
      <c r="ASH15" s="476"/>
      <c r="ASI15" s="476"/>
      <c r="ASJ15" s="476"/>
      <c r="ASK15" s="476"/>
      <c r="ASL15" s="476"/>
      <c r="ASM15" s="477"/>
      <c r="ASN15" s="477"/>
      <c r="ASO15" s="463"/>
      <c r="ASP15" s="475"/>
      <c r="ASQ15" s="476"/>
      <c r="ASR15" s="476"/>
      <c r="ASS15" s="476"/>
      <c r="AST15" s="476"/>
      <c r="ASU15" s="476"/>
      <c r="ASV15" s="476"/>
      <c r="ASW15" s="476"/>
      <c r="ASX15" s="476"/>
      <c r="ASY15" s="476"/>
      <c r="ASZ15" s="476"/>
      <c r="ATA15" s="476"/>
      <c r="ATB15" s="476"/>
      <c r="ATC15" s="477"/>
      <c r="ATD15" s="477"/>
      <c r="ATE15" s="463"/>
      <c r="ATF15" s="475"/>
      <c r="ATG15" s="476"/>
      <c r="ATH15" s="476"/>
      <c r="ATI15" s="476"/>
      <c r="ATJ15" s="476"/>
      <c r="ATK15" s="476"/>
      <c r="ATL15" s="476"/>
      <c r="ATM15" s="476"/>
      <c r="ATN15" s="476"/>
      <c r="ATO15" s="476"/>
      <c r="ATP15" s="476"/>
      <c r="ATQ15" s="476"/>
      <c r="ATR15" s="476"/>
      <c r="ATS15" s="477"/>
      <c r="ATT15" s="477"/>
      <c r="ATU15" s="463"/>
      <c r="ATV15" s="475"/>
      <c r="ATW15" s="476"/>
      <c r="ATX15" s="476"/>
      <c r="ATY15" s="476"/>
      <c r="ATZ15" s="476"/>
      <c r="AUA15" s="476"/>
      <c r="AUB15" s="476"/>
      <c r="AUC15" s="476"/>
      <c r="AUD15" s="476"/>
      <c r="AUE15" s="476"/>
      <c r="AUF15" s="476"/>
      <c r="AUG15" s="476"/>
      <c r="AUH15" s="476"/>
      <c r="AUI15" s="477"/>
      <c r="AUJ15" s="477"/>
      <c r="AUK15" s="463"/>
      <c r="AUL15" s="475"/>
      <c r="AUM15" s="476"/>
      <c r="AUN15" s="476"/>
      <c r="AUO15" s="476"/>
      <c r="AUP15" s="476"/>
      <c r="AUQ15" s="476"/>
      <c r="AUR15" s="476"/>
      <c r="AUS15" s="476"/>
      <c r="AUT15" s="476"/>
      <c r="AUU15" s="476"/>
      <c r="AUV15" s="476"/>
      <c r="AUW15" s="476"/>
      <c r="AUX15" s="476"/>
      <c r="AUY15" s="477"/>
      <c r="AUZ15" s="477"/>
      <c r="AVA15" s="463"/>
      <c r="AVB15" s="475"/>
      <c r="AVC15" s="476"/>
      <c r="AVD15" s="476"/>
      <c r="AVE15" s="476"/>
      <c r="AVF15" s="476"/>
      <c r="AVG15" s="476"/>
      <c r="AVH15" s="476"/>
      <c r="AVI15" s="476"/>
      <c r="AVJ15" s="476"/>
      <c r="AVK15" s="476"/>
      <c r="AVL15" s="476"/>
      <c r="AVM15" s="476"/>
      <c r="AVN15" s="476"/>
      <c r="AVO15" s="477"/>
      <c r="AVP15" s="477"/>
      <c r="AVQ15" s="463"/>
      <c r="AVR15" s="475"/>
      <c r="AVS15" s="476"/>
      <c r="AVT15" s="476"/>
      <c r="AVU15" s="476"/>
      <c r="AVV15" s="476"/>
      <c r="AVW15" s="476"/>
      <c r="AVX15" s="476"/>
      <c r="AVY15" s="476"/>
      <c r="AVZ15" s="476"/>
      <c r="AWA15" s="476"/>
      <c r="AWB15" s="476"/>
      <c r="AWC15" s="476"/>
      <c r="AWD15" s="476"/>
      <c r="AWE15" s="477"/>
      <c r="AWF15" s="477"/>
      <c r="AWG15" s="463"/>
      <c r="AWH15" s="475"/>
      <c r="AWI15" s="476"/>
      <c r="AWJ15" s="476"/>
      <c r="AWK15" s="476"/>
      <c r="AWL15" s="476"/>
      <c r="AWM15" s="476"/>
      <c r="AWN15" s="476"/>
      <c r="AWO15" s="476"/>
      <c r="AWP15" s="476"/>
      <c r="AWQ15" s="476"/>
      <c r="AWR15" s="476"/>
      <c r="AWS15" s="476"/>
      <c r="AWT15" s="476"/>
      <c r="AWU15" s="477"/>
      <c r="AWV15" s="477"/>
      <c r="AWW15" s="463"/>
      <c r="AWX15" s="475"/>
      <c r="AWY15" s="476"/>
      <c r="AWZ15" s="476"/>
      <c r="AXA15" s="476"/>
      <c r="AXB15" s="476"/>
      <c r="AXC15" s="476"/>
      <c r="AXD15" s="476"/>
      <c r="AXE15" s="476"/>
      <c r="AXF15" s="476"/>
      <c r="AXG15" s="476"/>
      <c r="AXH15" s="476"/>
      <c r="AXI15" s="476"/>
      <c r="AXJ15" s="476"/>
      <c r="AXK15" s="477"/>
      <c r="AXL15" s="477"/>
      <c r="AXM15" s="463"/>
      <c r="AXN15" s="475"/>
      <c r="AXO15" s="476"/>
      <c r="AXP15" s="476"/>
      <c r="AXQ15" s="476"/>
      <c r="AXR15" s="476"/>
      <c r="AXS15" s="476"/>
      <c r="AXT15" s="476"/>
      <c r="AXU15" s="476"/>
      <c r="AXV15" s="476"/>
      <c r="AXW15" s="476"/>
      <c r="AXX15" s="476"/>
      <c r="AXY15" s="476"/>
      <c r="AXZ15" s="476"/>
      <c r="AYA15" s="477"/>
      <c r="AYB15" s="477"/>
      <c r="AYC15" s="463"/>
      <c r="AYD15" s="475"/>
      <c r="AYE15" s="476"/>
      <c r="AYF15" s="476"/>
      <c r="AYG15" s="476"/>
      <c r="AYH15" s="476"/>
      <c r="AYI15" s="476"/>
      <c r="AYJ15" s="476"/>
      <c r="AYK15" s="476"/>
      <c r="AYL15" s="476"/>
      <c r="AYM15" s="476"/>
      <c r="AYN15" s="476"/>
      <c r="AYO15" s="476"/>
      <c r="AYP15" s="476"/>
      <c r="AYQ15" s="477"/>
      <c r="AYR15" s="477"/>
      <c r="AYS15" s="463"/>
      <c r="AYT15" s="475"/>
      <c r="AYU15" s="476"/>
      <c r="AYV15" s="476"/>
      <c r="AYW15" s="476"/>
      <c r="AYX15" s="476"/>
      <c r="AYY15" s="476"/>
      <c r="AYZ15" s="476"/>
      <c r="AZA15" s="476"/>
      <c r="AZB15" s="476"/>
      <c r="AZC15" s="476"/>
      <c r="AZD15" s="476"/>
      <c r="AZE15" s="476"/>
      <c r="AZF15" s="476"/>
      <c r="AZG15" s="477"/>
      <c r="AZH15" s="477"/>
      <c r="AZI15" s="463"/>
      <c r="AZJ15" s="475"/>
      <c r="AZK15" s="476"/>
      <c r="AZL15" s="476"/>
      <c r="AZM15" s="476"/>
      <c r="AZN15" s="476"/>
      <c r="AZO15" s="476"/>
      <c r="AZP15" s="476"/>
      <c r="AZQ15" s="476"/>
      <c r="AZR15" s="476"/>
      <c r="AZS15" s="476"/>
      <c r="AZT15" s="476"/>
      <c r="AZU15" s="476"/>
      <c r="AZV15" s="476"/>
      <c r="AZW15" s="477"/>
      <c r="AZX15" s="477"/>
      <c r="AZY15" s="463"/>
      <c r="AZZ15" s="475"/>
      <c r="BAA15" s="476"/>
      <c r="BAB15" s="476"/>
      <c r="BAC15" s="476"/>
      <c r="BAD15" s="476"/>
      <c r="BAE15" s="476"/>
      <c r="BAF15" s="476"/>
      <c r="BAG15" s="476"/>
      <c r="BAH15" s="476"/>
      <c r="BAI15" s="476"/>
      <c r="BAJ15" s="476"/>
      <c r="BAK15" s="476"/>
      <c r="BAL15" s="476"/>
      <c r="BAM15" s="477"/>
      <c r="BAN15" s="477"/>
      <c r="BAO15" s="463"/>
      <c r="BAP15" s="475"/>
      <c r="BAQ15" s="476"/>
      <c r="BAR15" s="476"/>
      <c r="BAS15" s="476"/>
      <c r="BAT15" s="476"/>
      <c r="BAU15" s="476"/>
      <c r="BAV15" s="476"/>
      <c r="BAW15" s="476"/>
      <c r="BAX15" s="476"/>
      <c r="BAY15" s="476"/>
      <c r="BAZ15" s="476"/>
      <c r="BBA15" s="476"/>
      <c r="BBB15" s="476"/>
      <c r="BBC15" s="477"/>
      <c r="BBD15" s="477"/>
      <c r="BBE15" s="463"/>
      <c r="BBF15" s="475"/>
      <c r="BBG15" s="476"/>
      <c r="BBH15" s="476"/>
      <c r="BBI15" s="476"/>
      <c r="BBJ15" s="476"/>
      <c r="BBK15" s="476"/>
      <c r="BBL15" s="476"/>
      <c r="BBM15" s="476"/>
      <c r="BBN15" s="476"/>
      <c r="BBO15" s="476"/>
      <c r="BBP15" s="476"/>
      <c r="BBQ15" s="476"/>
      <c r="BBR15" s="476"/>
      <c r="BBS15" s="477"/>
      <c r="BBT15" s="477"/>
      <c r="BBU15" s="463"/>
      <c r="BBV15" s="475"/>
      <c r="BBW15" s="476"/>
      <c r="BBX15" s="476"/>
      <c r="BBY15" s="476"/>
      <c r="BBZ15" s="476"/>
      <c r="BCA15" s="476"/>
      <c r="BCB15" s="476"/>
      <c r="BCC15" s="476"/>
      <c r="BCD15" s="476"/>
      <c r="BCE15" s="476"/>
      <c r="BCF15" s="476"/>
      <c r="BCG15" s="476"/>
      <c r="BCH15" s="476"/>
      <c r="BCI15" s="477"/>
      <c r="BCJ15" s="477"/>
      <c r="BCK15" s="463"/>
      <c r="BCL15" s="475"/>
      <c r="BCM15" s="476"/>
      <c r="BCN15" s="476"/>
      <c r="BCO15" s="476"/>
      <c r="BCP15" s="476"/>
      <c r="BCQ15" s="476"/>
      <c r="BCR15" s="476"/>
      <c r="BCS15" s="476"/>
      <c r="BCT15" s="476"/>
      <c r="BCU15" s="476"/>
      <c r="BCV15" s="476"/>
      <c r="BCW15" s="476"/>
      <c r="BCX15" s="476"/>
      <c r="BCY15" s="477"/>
      <c r="BCZ15" s="477"/>
      <c r="BDA15" s="463"/>
      <c r="BDB15" s="475"/>
      <c r="BDC15" s="476"/>
      <c r="BDD15" s="476"/>
      <c r="BDE15" s="476"/>
      <c r="BDF15" s="476"/>
      <c r="BDG15" s="476"/>
      <c r="BDH15" s="476"/>
      <c r="BDI15" s="476"/>
      <c r="BDJ15" s="476"/>
      <c r="BDK15" s="476"/>
      <c r="BDL15" s="476"/>
      <c r="BDM15" s="476"/>
      <c r="BDN15" s="476"/>
      <c r="BDO15" s="477"/>
      <c r="BDP15" s="477"/>
      <c r="BDQ15" s="463"/>
      <c r="BDR15" s="475"/>
      <c r="BDS15" s="476"/>
      <c r="BDT15" s="476"/>
      <c r="BDU15" s="476"/>
      <c r="BDV15" s="476"/>
      <c r="BDW15" s="476"/>
      <c r="BDX15" s="476"/>
      <c r="BDY15" s="476"/>
      <c r="BDZ15" s="476"/>
      <c r="BEA15" s="476"/>
      <c r="BEB15" s="476"/>
      <c r="BEC15" s="476"/>
      <c r="BED15" s="476"/>
      <c r="BEE15" s="477"/>
      <c r="BEF15" s="477"/>
      <c r="BEG15" s="463"/>
      <c r="BEH15" s="475"/>
      <c r="BEI15" s="476"/>
      <c r="BEJ15" s="476"/>
      <c r="BEK15" s="476"/>
      <c r="BEL15" s="476"/>
      <c r="BEM15" s="476"/>
      <c r="BEN15" s="476"/>
      <c r="BEO15" s="476"/>
      <c r="BEP15" s="476"/>
      <c r="BEQ15" s="476"/>
      <c r="BER15" s="476"/>
      <c r="BES15" s="476"/>
      <c r="BET15" s="476"/>
      <c r="BEU15" s="477"/>
      <c r="BEV15" s="477"/>
      <c r="BEW15" s="463"/>
      <c r="BEX15" s="475"/>
      <c r="BEY15" s="476"/>
      <c r="BEZ15" s="476"/>
      <c r="BFA15" s="476"/>
      <c r="BFB15" s="476"/>
      <c r="BFC15" s="476"/>
      <c r="BFD15" s="476"/>
      <c r="BFE15" s="476"/>
      <c r="BFF15" s="476"/>
      <c r="BFG15" s="476"/>
      <c r="BFH15" s="476"/>
      <c r="BFI15" s="476"/>
      <c r="BFJ15" s="476"/>
      <c r="BFK15" s="477"/>
      <c r="BFL15" s="477"/>
      <c r="BFM15" s="463"/>
      <c r="BFN15" s="475"/>
      <c r="BFO15" s="476"/>
      <c r="BFP15" s="476"/>
      <c r="BFQ15" s="476"/>
      <c r="BFR15" s="476"/>
      <c r="BFS15" s="476"/>
      <c r="BFT15" s="476"/>
      <c r="BFU15" s="476"/>
      <c r="BFV15" s="476"/>
      <c r="BFW15" s="476"/>
      <c r="BFX15" s="476"/>
      <c r="BFY15" s="476"/>
      <c r="BFZ15" s="476"/>
      <c r="BGA15" s="477"/>
      <c r="BGB15" s="477"/>
      <c r="BGC15" s="463"/>
      <c r="BGD15" s="475"/>
      <c r="BGE15" s="476"/>
      <c r="BGF15" s="476"/>
      <c r="BGG15" s="476"/>
      <c r="BGH15" s="476"/>
      <c r="BGI15" s="476"/>
      <c r="BGJ15" s="476"/>
      <c r="BGK15" s="476"/>
      <c r="BGL15" s="476"/>
      <c r="BGM15" s="476"/>
      <c r="BGN15" s="476"/>
      <c r="BGO15" s="476"/>
      <c r="BGP15" s="476"/>
      <c r="BGQ15" s="477"/>
      <c r="BGR15" s="477"/>
      <c r="BGS15" s="463"/>
      <c r="BGT15" s="475"/>
      <c r="BGU15" s="476"/>
      <c r="BGV15" s="476"/>
      <c r="BGW15" s="476"/>
      <c r="BGX15" s="476"/>
      <c r="BGY15" s="476"/>
      <c r="BGZ15" s="476"/>
      <c r="BHA15" s="476"/>
      <c r="BHB15" s="476"/>
      <c r="BHC15" s="476"/>
      <c r="BHD15" s="476"/>
      <c r="BHE15" s="476"/>
      <c r="BHF15" s="476"/>
      <c r="BHG15" s="477"/>
      <c r="BHH15" s="477"/>
      <c r="BHI15" s="463"/>
      <c r="BHJ15" s="475"/>
      <c r="BHK15" s="476"/>
      <c r="BHL15" s="476"/>
      <c r="BHM15" s="476"/>
      <c r="BHN15" s="476"/>
      <c r="BHO15" s="476"/>
      <c r="BHP15" s="476"/>
      <c r="BHQ15" s="476"/>
      <c r="BHR15" s="476"/>
      <c r="BHS15" s="476"/>
      <c r="BHT15" s="476"/>
      <c r="BHU15" s="476"/>
      <c r="BHV15" s="476"/>
      <c r="BHW15" s="477"/>
      <c r="BHX15" s="477"/>
      <c r="BHY15" s="463"/>
      <c r="BHZ15" s="475"/>
      <c r="BIA15" s="476"/>
      <c r="BIB15" s="476"/>
      <c r="BIC15" s="476"/>
      <c r="BID15" s="476"/>
      <c r="BIE15" s="476"/>
      <c r="BIF15" s="476"/>
      <c r="BIG15" s="476"/>
      <c r="BIH15" s="476"/>
      <c r="BII15" s="476"/>
      <c r="BIJ15" s="476"/>
      <c r="BIK15" s="476"/>
      <c r="BIL15" s="476"/>
      <c r="BIM15" s="477"/>
      <c r="BIN15" s="477"/>
      <c r="BIO15" s="463"/>
      <c r="BIP15" s="475"/>
      <c r="BIQ15" s="476"/>
      <c r="BIR15" s="476"/>
      <c r="BIS15" s="476"/>
      <c r="BIT15" s="476"/>
      <c r="BIU15" s="476"/>
      <c r="BIV15" s="476"/>
      <c r="BIW15" s="476"/>
      <c r="BIX15" s="476"/>
      <c r="BIY15" s="476"/>
      <c r="BIZ15" s="476"/>
      <c r="BJA15" s="476"/>
      <c r="BJB15" s="476"/>
      <c r="BJC15" s="477"/>
      <c r="BJD15" s="477"/>
      <c r="BJE15" s="463"/>
      <c r="BJF15" s="475"/>
      <c r="BJG15" s="476"/>
      <c r="BJH15" s="476"/>
      <c r="BJI15" s="476"/>
      <c r="BJJ15" s="476"/>
      <c r="BJK15" s="476"/>
      <c r="BJL15" s="476"/>
      <c r="BJM15" s="476"/>
      <c r="BJN15" s="476"/>
      <c r="BJO15" s="476"/>
      <c r="BJP15" s="476"/>
      <c r="BJQ15" s="476"/>
      <c r="BJR15" s="476"/>
      <c r="BJS15" s="477"/>
      <c r="BJT15" s="477"/>
      <c r="BJU15" s="463"/>
      <c r="BJV15" s="475"/>
      <c r="BJW15" s="476"/>
      <c r="BJX15" s="476"/>
      <c r="BJY15" s="476"/>
      <c r="BJZ15" s="476"/>
      <c r="BKA15" s="476"/>
      <c r="BKB15" s="476"/>
      <c r="BKC15" s="476"/>
      <c r="BKD15" s="476"/>
      <c r="BKE15" s="476"/>
      <c r="BKF15" s="476"/>
      <c r="BKG15" s="476"/>
      <c r="BKH15" s="476"/>
      <c r="BKI15" s="477"/>
      <c r="BKJ15" s="477"/>
      <c r="BKK15" s="463"/>
      <c r="BKL15" s="475"/>
      <c r="BKM15" s="476"/>
      <c r="BKN15" s="476"/>
      <c r="BKO15" s="476"/>
      <c r="BKP15" s="476"/>
      <c r="BKQ15" s="476"/>
      <c r="BKR15" s="476"/>
      <c r="BKS15" s="476"/>
      <c r="BKT15" s="476"/>
      <c r="BKU15" s="476"/>
      <c r="BKV15" s="476"/>
      <c r="BKW15" s="476"/>
      <c r="BKX15" s="476"/>
      <c r="BKY15" s="477"/>
      <c r="BKZ15" s="477"/>
      <c r="BLA15" s="463"/>
      <c r="BLB15" s="475"/>
      <c r="BLC15" s="476"/>
      <c r="BLD15" s="476"/>
      <c r="BLE15" s="476"/>
      <c r="BLF15" s="476"/>
      <c r="BLG15" s="476"/>
      <c r="BLH15" s="476"/>
      <c r="BLI15" s="476"/>
      <c r="BLJ15" s="476"/>
      <c r="BLK15" s="476"/>
      <c r="BLL15" s="476"/>
      <c r="BLM15" s="476"/>
      <c r="BLN15" s="476"/>
      <c r="BLO15" s="477"/>
      <c r="BLP15" s="477"/>
      <c r="BLQ15" s="463"/>
      <c r="BLR15" s="475"/>
      <c r="BLS15" s="476"/>
      <c r="BLT15" s="476"/>
      <c r="BLU15" s="476"/>
      <c r="BLV15" s="476"/>
      <c r="BLW15" s="476"/>
      <c r="BLX15" s="476"/>
      <c r="BLY15" s="476"/>
      <c r="BLZ15" s="476"/>
      <c r="BMA15" s="476"/>
      <c r="BMB15" s="476"/>
      <c r="BMC15" s="476"/>
      <c r="BMD15" s="476"/>
      <c r="BME15" s="477"/>
      <c r="BMF15" s="477"/>
      <c r="BMG15" s="463"/>
      <c r="BMH15" s="475"/>
      <c r="BMI15" s="476"/>
      <c r="BMJ15" s="476"/>
      <c r="BMK15" s="476"/>
      <c r="BML15" s="476"/>
      <c r="BMM15" s="476"/>
      <c r="BMN15" s="476"/>
      <c r="BMO15" s="476"/>
      <c r="BMP15" s="476"/>
      <c r="BMQ15" s="476"/>
      <c r="BMR15" s="476"/>
      <c r="BMS15" s="476"/>
      <c r="BMT15" s="476"/>
      <c r="BMU15" s="477"/>
      <c r="BMV15" s="477"/>
      <c r="BMW15" s="463"/>
      <c r="BMX15" s="475"/>
      <c r="BMY15" s="476"/>
      <c r="BMZ15" s="476"/>
      <c r="BNA15" s="476"/>
      <c r="BNB15" s="476"/>
      <c r="BNC15" s="476"/>
      <c r="BND15" s="476"/>
      <c r="BNE15" s="476"/>
      <c r="BNF15" s="476"/>
      <c r="BNG15" s="476"/>
      <c r="BNH15" s="476"/>
      <c r="BNI15" s="476"/>
      <c r="BNJ15" s="476"/>
      <c r="BNK15" s="477"/>
      <c r="BNL15" s="477"/>
      <c r="BNM15" s="463"/>
      <c r="BNN15" s="475"/>
      <c r="BNO15" s="476"/>
      <c r="BNP15" s="476"/>
      <c r="BNQ15" s="476"/>
      <c r="BNR15" s="476"/>
      <c r="BNS15" s="476"/>
      <c r="BNT15" s="476"/>
      <c r="BNU15" s="476"/>
      <c r="BNV15" s="476"/>
      <c r="BNW15" s="476"/>
      <c r="BNX15" s="476"/>
      <c r="BNY15" s="476"/>
      <c r="BNZ15" s="476"/>
      <c r="BOA15" s="477"/>
      <c r="BOB15" s="477"/>
      <c r="BOC15" s="463"/>
      <c r="BOD15" s="475"/>
      <c r="BOE15" s="476"/>
      <c r="BOF15" s="476"/>
      <c r="BOG15" s="476"/>
      <c r="BOH15" s="476"/>
      <c r="BOI15" s="476"/>
      <c r="BOJ15" s="476"/>
      <c r="BOK15" s="476"/>
      <c r="BOL15" s="476"/>
      <c r="BOM15" s="476"/>
      <c r="BON15" s="476"/>
      <c r="BOO15" s="476"/>
      <c r="BOP15" s="476"/>
      <c r="BOQ15" s="477"/>
      <c r="BOR15" s="477"/>
      <c r="BOS15" s="463"/>
      <c r="BOT15" s="475"/>
      <c r="BOU15" s="476"/>
      <c r="BOV15" s="476"/>
      <c r="BOW15" s="476"/>
      <c r="BOX15" s="476"/>
      <c r="BOY15" s="476"/>
      <c r="BOZ15" s="476"/>
      <c r="BPA15" s="476"/>
      <c r="BPB15" s="476"/>
      <c r="BPC15" s="476"/>
      <c r="BPD15" s="476"/>
      <c r="BPE15" s="476"/>
      <c r="BPF15" s="476"/>
      <c r="BPG15" s="477"/>
      <c r="BPH15" s="477"/>
      <c r="BPI15" s="463"/>
      <c r="BPJ15" s="475"/>
      <c r="BPK15" s="476"/>
      <c r="BPL15" s="476"/>
      <c r="BPM15" s="476"/>
      <c r="BPN15" s="476"/>
      <c r="BPO15" s="476"/>
      <c r="BPP15" s="476"/>
      <c r="BPQ15" s="476"/>
      <c r="BPR15" s="476"/>
      <c r="BPS15" s="476"/>
      <c r="BPT15" s="476"/>
      <c r="BPU15" s="476"/>
      <c r="BPV15" s="476"/>
      <c r="BPW15" s="477"/>
      <c r="BPX15" s="477"/>
      <c r="BPY15" s="463"/>
      <c r="BPZ15" s="475"/>
      <c r="BQA15" s="476"/>
      <c r="BQB15" s="476"/>
      <c r="BQC15" s="476"/>
      <c r="BQD15" s="476"/>
      <c r="BQE15" s="476"/>
      <c r="BQF15" s="476"/>
      <c r="BQG15" s="476"/>
      <c r="BQH15" s="476"/>
      <c r="BQI15" s="476"/>
      <c r="BQJ15" s="476"/>
      <c r="BQK15" s="476"/>
      <c r="BQL15" s="476"/>
      <c r="BQM15" s="477"/>
      <c r="BQN15" s="477"/>
      <c r="BQO15" s="463"/>
      <c r="BQP15" s="475"/>
      <c r="BQQ15" s="476"/>
      <c r="BQR15" s="476"/>
      <c r="BQS15" s="476"/>
      <c r="BQT15" s="476"/>
      <c r="BQU15" s="476"/>
      <c r="BQV15" s="476"/>
      <c r="BQW15" s="476"/>
      <c r="BQX15" s="476"/>
      <c r="BQY15" s="476"/>
      <c r="BQZ15" s="476"/>
      <c r="BRA15" s="476"/>
      <c r="BRB15" s="476"/>
      <c r="BRC15" s="477"/>
      <c r="BRD15" s="477"/>
      <c r="BRE15" s="463"/>
      <c r="BRF15" s="475"/>
      <c r="BRG15" s="476"/>
      <c r="BRH15" s="476"/>
      <c r="BRI15" s="476"/>
      <c r="BRJ15" s="476"/>
      <c r="BRK15" s="476"/>
      <c r="BRL15" s="476"/>
      <c r="BRM15" s="476"/>
      <c r="BRN15" s="476"/>
      <c r="BRO15" s="476"/>
      <c r="BRP15" s="476"/>
      <c r="BRQ15" s="476"/>
      <c r="BRR15" s="476"/>
      <c r="BRS15" s="477"/>
      <c r="BRT15" s="477"/>
      <c r="BRU15" s="463"/>
      <c r="BRV15" s="475"/>
      <c r="BRW15" s="476"/>
      <c r="BRX15" s="476"/>
      <c r="BRY15" s="476"/>
      <c r="BRZ15" s="476"/>
      <c r="BSA15" s="476"/>
      <c r="BSB15" s="476"/>
      <c r="BSC15" s="476"/>
      <c r="BSD15" s="476"/>
      <c r="BSE15" s="476"/>
      <c r="BSF15" s="476"/>
      <c r="BSG15" s="476"/>
      <c r="BSH15" s="476"/>
      <c r="BSI15" s="477"/>
      <c r="BSJ15" s="477"/>
      <c r="BSK15" s="463"/>
      <c r="BSL15" s="475"/>
      <c r="BSM15" s="476"/>
      <c r="BSN15" s="476"/>
      <c r="BSO15" s="476"/>
      <c r="BSP15" s="476"/>
      <c r="BSQ15" s="476"/>
      <c r="BSR15" s="476"/>
      <c r="BSS15" s="476"/>
      <c r="BST15" s="476"/>
      <c r="BSU15" s="476"/>
      <c r="BSV15" s="476"/>
      <c r="BSW15" s="476"/>
      <c r="BSX15" s="476"/>
      <c r="BSY15" s="477"/>
      <c r="BSZ15" s="477"/>
      <c r="BTA15" s="463"/>
      <c r="BTB15" s="475"/>
      <c r="BTC15" s="476"/>
      <c r="BTD15" s="476"/>
      <c r="BTE15" s="476"/>
      <c r="BTF15" s="476"/>
      <c r="BTG15" s="476"/>
      <c r="BTH15" s="476"/>
      <c r="BTI15" s="476"/>
      <c r="BTJ15" s="476"/>
      <c r="BTK15" s="476"/>
      <c r="BTL15" s="476"/>
      <c r="BTM15" s="476"/>
      <c r="BTN15" s="476"/>
      <c r="BTO15" s="477"/>
      <c r="BTP15" s="477"/>
      <c r="BTQ15" s="463"/>
      <c r="BTR15" s="475"/>
      <c r="BTS15" s="476"/>
      <c r="BTT15" s="476"/>
      <c r="BTU15" s="476"/>
      <c r="BTV15" s="476"/>
      <c r="BTW15" s="476"/>
      <c r="BTX15" s="476"/>
      <c r="BTY15" s="476"/>
      <c r="BTZ15" s="476"/>
      <c r="BUA15" s="476"/>
      <c r="BUB15" s="476"/>
      <c r="BUC15" s="476"/>
      <c r="BUD15" s="476"/>
      <c r="BUE15" s="477"/>
      <c r="BUF15" s="477"/>
      <c r="BUG15" s="463"/>
      <c r="BUH15" s="475"/>
      <c r="BUI15" s="476"/>
      <c r="BUJ15" s="476"/>
      <c r="BUK15" s="476"/>
      <c r="BUL15" s="476"/>
      <c r="BUM15" s="476"/>
      <c r="BUN15" s="476"/>
      <c r="BUO15" s="476"/>
      <c r="BUP15" s="476"/>
      <c r="BUQ15" s="476"/>
      <c r="BUR15" s="476"/>
      <c r="BUS15" s="476"/>
      <c r="BUT15" s="476"/>
      <c r="BUU15" s="477"/>
      <c r="BUV15" s="477"/>
      <c r="BUW15" s="463"/>
      <c r="BUX15" s="475"/>
      <c r="BUY15" s="476"/>
      <c r="BUZ15" s="476"/>
      <c r="BVA15" s="476"/>
      <c r="BVB15" s="476"/>
      <c r="BVC15" s="476"/>
      <c r="BVD15" s="476"/>
      <c r="BVE15" s="476"/>
      <c r="BVF15" s="476"/>
      <c r="BVG15" s="476"/>
      <c r="BVH15" s="476"/>
      <c r="BVI15" s="476"/>
      <c r="BVJ15" s="476"/>
      <c r="BVK15" s="477"/>
      <c r="BVL15" s="477"/>
      <c r="BVM15" s="463"/>
      <c r="BVN15" s="475"/>
      <c r="BVO15" s="476"/>
      <c r="BVP15" s="476"/>
      <c r="BVQ15" s="476"/>
      <c r="BVR15" s="476"/>
      <c r="BVS15" s="476"/>
      <c r="BVT15" s="476"/>
      <c r="BVU15" s="476"/>
      <c r="BVV15" s="476"/>
      <c r="BVW15" s="476"/>
      <c r="BVX15" s="476"/>
      <c r="BVY15" s="476"/>
      <c r="BVZ15" s="476"/>
      <c r="BWA15" s="477"/>
      <c r="BWB15" s="477"/>
      <c r="BWC15" s="463"/>
      <c r="BWD15" s="475"/>
      <c r="BWE15" s="476"/>
      <c r="BWF15" s="476"/>
      <c r="BWG15" s="476"/>
      <c r="BWH15" s="476"/>
      <c r="BWI15" s="476"/>
      <c r="BWJ15" s="476"/>
      <c r="BWK15" s="476"/>
      <c r="BWL15" s="476"/>
      <c r="BWM15" s="476"/>
      <c r="BWN15" s="476"/>
      <c r="BWO15" s="476"/>
      <c r="BWP15" s="476"/>
      <c r="BWQ15" s="477"/>
      <c r="BWR15" s="477"/>
      <c r="BWS15" s="463"/>
      <c r="BWT15" s="475"/>
      <c r="BWU15" s="476"/>
      <c r="BWV15" s="476"/>
      <c r="BWW15" s="476"/>
      <c r="BWX15" s="476"/>
      <c r="BWY15" s="476"/>
      <c r="BWZ15" s="476"/>
      <c r="BXA15" s="476"/>
      <c r="BXB15" s="476"/>
      <c r="BXC15" s="476"/>
      <c r="BXD15" s="476"/>
      <c r="BXE15" s="476"/>
      <c r="BXF15" s="476"/>
      <c r="BXG15" s="477"/>
      <c r="BXH15" s="477"/>
      <c r="BXI15" s="463"/>
      <c r="BXJ15" s="475"/>
      <c r="BXK15" s="476"/>
      <c r="BXL15" s="476"/>
      <c r="BXM15" s="476"/>
      <c r="BXN15" s="476"/>
      <c r="BXO15" s="476"/>
      <c r="BXP15" s="476"/>
      <c r="BXQ15" s="476"/>
      <c r="BXR15" s="476"/>
      <c r="BXS15" s="476"/>
      <c r="BXT15" s="476"/>
      <c r="BXU15" s="476"/>
      <c r="BXV15" s="476"/>
      <c r="BXW15" s="477"/>
      <c r="BXX15" s="477"/>
      <c r="BXY15" s="463"/>
      <c r="BXZ15" s="475"/>
      <c r="BYA15" s="476"/>
      <c r="BYB15" s="476"/>
      <c r="BYC15" s="476"/>
      <c r="BYD15" s="476"/>
      <c r="BYE15" s="476"/>
      <c r="BYF15" s="476"/>
      <c r="BYG15" s="476"/>
      <c r="BYH15" s="476"/>
      <c r="BYI15" s="476"/>
      <c r="BYJ15" s="476"/>
      <c r="BYK15" s="476"/>
      <c r="BYL15" s="476"/>
      <c r="BYM15" s="477"/>
      <c r="BYN15" s="477"/>
      <c r="BYO15" s="463"/>
      <c r="BYP15" s="475"/>
      <c r="BYQ15" s="476"/>
      <c r="BYR15" s="476"/>
      <c r="BYS15" s="476"/>
      <c r="BYT15" s="476"/>
      <c r="BYU15" s="476"/>
      <c r="BYV15" s="476"/>
      <c r="BYW15" s="476"/>
      <c r="BYX15" s="476"/>
      <c r="BYY15" s="476"/>
      <c r="BYZ15" s="476"/>
      <c r="BZA15" s="476"/>
      <c r="BZB15" s="476"/>
      <c r="BZC15" s="477"/>
      <c r="BZD15" s="477"/>
      <c r="BZE15" s="463"/>
      <c r="BZF15" s="475"/>
      <c r="BZG15" s="476"/>
      <c r="BZH15" s="476"/>
      <c r="BZI15" s="476"/>
      <c r="BZJ15" s="476"/>
      <c r="BZK15" s="476"/>
      <c r="BZL15" s="476"/>
      <c r="BZM15" s="476"/>
      <c r="BZN15" s="476"/>
      <c r="BZO15" s="476"/>
      <c r="BZP15" s="476"/>
      <c r="BZQ15" s="476"/>
      <c r="BZR15" s="476"/>
      <c r="BZS15" s="477"/>
      <c r="BZT15" s="477"/>
      <c r="BZU15" s="463"/>
      <c r="BZV15" s="475"/>
      <c r="BZW15" s="476"/>
      <c r="BZX15" s="476"/>
      <c r="BZY15" s="476"/>
      <c r="BZZ15" s="476"/>
      <c r="CAA15" s="476"/>
      <c r="CAB15" s="476"/>
      <c r="CAC15" s="476"/>
      <c r="CAD15" s="476"/>
      <c r="CAE15" s="476"/>
      <c r="CAF15" s="476"/>
      <c r="CAG15" s="476"/>
      <c r="CAH15" s="476"/>
      <c r="CAI15" s="477"/>
      <c r="CAJ15" s="477"/>
      <c r="CAK15" s="463"/>
      <c r="CAL15" s="475"/>
      <c r="CAM15" s="476"/>
      <c r="CAN15" s="476"/>
      <c r="CAO15" s="476"/>
      <c r="CAP15" s="476"/>
      <c r="CAQ15" s="476"/>
      <c r="CAR15" s="476"/>
      <c r="CAS15" s="476"/>
      <c r="CAT15" s="476"/>
      <c r="CAU15" s="476"/>
      <c r="CAV15" s="476"/>
      <c r="CAW15" s="476"/>
      <c r="CAX15" s="476"/>
      <c r="CAY15" s="477"/>
      <c r="CAZ15" s="477"/>
      <c r="CBA15" s="463"/>
      <c r="CBB15" s="475"/>
      <c r="CBC15" s="476"/>
      <c r="CBD15" s="476"/>
      <c r="CBE15" s="476"/>
      <c r="CBF15" s="476"/>
      <c r="CBG15" s="476"/>
      <c r="CBH15" s="476"/>
      <c r="CBI15" s="476"/>
      <c r="CBJ15" s="476"/>
      <c r="CBK15" s="476"/>
      <c r="CBL15" s="476"/>
      <c r="CBM15" s="476"/>
      <c r="CBN15" s="476"/>
      <c r="CBO15" s="477"/>
      <c r="CBP15" s="477"/>
      <c r="CBQ15" s="463"/>
      <c r="CBR15" s="475"/>
      <c r="CBS15" s="476"/>
      <c r="CBT15" s="476"/>
      <c r="CBU15" s="476"/>
      <c r="CBV15" s="476"/>
      <c r="CBW15" s="476"/>
      <c r="CBX15" s="476"/>
      <c r="CBY15" s="476"/>
      <c r="CBZ15" s="476"/>
      <c r="CCA15" s="476"/>
      <c r="CCB15" s="476"/>
      <c r="CCC15" s="476"/>
      <c r="CCD15" s="476"/>
      <c r="CCE15" s="477"/>
      <c r="CCF15" s="477"/>
      <c r="CCG15" s="463"/>
      <c r="CCH15" s="475"/>
      <c r="CCI15" s="476"/>
      <c r="CCJ15" s="476"/>
      <c r="CCK15" s="476"/>
      <c r="CCL15" s="476"/>
      <c r="CCM15" s="476"/>
      <c r="CCN15" s="476"/>
      <c r="CCO15" s="476"/>
      <c r="CCP15" s="476"/>
      <c r="CCQ15" s="476"/>
      <c r="CCR15" s="476"/>
      <c r="CCS15" s="476"/>
      <c r="CCT15" s="476"/>
      <c r="CCU15" s="477"/>
      <c r="CCV15" s="477"/>
      <c r="CCW15" s="463"/>
      <c r="CCX15" s="475"/>
      <c r="CCY15" s="476"/>
      <c r="CCZ15" s="476"/>
      <c r="CDA15" s="476"/>
      <c r="CDB15" s="476"/>
      <c r="CDC15" s="476"/>
      <c r="CDD15" s="476"/>
      <c r="CDE15" s="476"/>
      <c r="CDF15" s="476"/>
      <c r="CDG15" s="476"/>
      <c r="CDH15" s="476"/>
      <c r="CDI15" s="476"/>
      <c r="CDJ15" s="476"/>
      <c r="CDK15" s="477"/>
      <c r="CDL15" s="477"/>
      <c r="CDM15" s="463"/>
      <c r="CDN15" s="475"/>
      <c r="CDO15" s="476"/>
      <c r="CDP15" s="476"/>
      <c r="CDQ15" s="476"/>
      <c r="CDR15" s="476"/>
      <c r="CDS15" s="476"/>
      <c r="CDT15" s="476"/>
      <c r="CDU15" s="476"/>
      <c r="CDV15" s="476"/>
      <c r="CDW15" s="476"/>
      <c r="CDX15" s="476"/>
      <c r="CDY15" s="476"/>
      <c r="CDZ15" s="476"/>
      <c r="CEA15" s="477"/>
      <c r="CEB15" s="477"/>
      <c r="CEC15" s="463"/>
      <c r="CED15" s="475"/>
      <c r="CEE15" s="476"/>
      <c r="CEF15" s="476"/>
      <c r="CEG15" s="476"/>
      <c r="CEH15" s="476"/>
      <c r="CEI15" s="476"/>
      <c r="CEJ15" s="476"/>
      <c r="CEK15" s="476"/>
      <c r="CEL15" s="476"/>
      <c r="CEM15" s="476"/>
      <c r="CEN15" s="476"/>
      <c r="CEO15" s="476"/>
      <c r="CEP15" s="476"/>
      <c r="CEQ15" s="477"/>
      <c r="CER15" s="477"/>
      <c r="CES15" s="463"/>
      <c r="CET15" s="475"/>
      <c r="CEU15" s="476"/>
      <c r="CEV15" s="476"/>
      <c r="CEW15" s="476"/>
      <c r="CEX15" s="476"/>
      <c r="CEY15" s="476"/>
      <c r="CEZ15" s="476"/>
      <c r="CFA15" s="476"/>
      <c r="CFB15" s="476"/>
      <c r="CFC15" s="476"/>
      <c r="CFD15" s="476"/>
      <c r="CFE15" s="476"/>
      <c r="CFF15" s="476"/>
      <c r="CFG15" s="477"/>
      <c r="CFH15" s="477"/>
      <c r="CFI15" s="463"/>
      <c r="CFJ15" s="475"/>
      <c r="CFK15" s="476"/>
      <c r="CFL15" s="476"/>
      <c r="CFM15" s="476"/>
      <c r="CFN15" s="476"/>
      <c r="CFO15" s="476"/>
      <c r="CFP15" s="476"/>
      <c r="CFQ15" s="476"/>
      <c r="CFR15" s="476"/>
      <c r="CFS15" s="476"/>
      <c r="CFT15" s="476"/>
      <c r="CFU15" s="476"/>
      <c r="CFV15" s="476"/>
      <c r="CFW15" s="477"/>
      <c r="CFX15" s="477"/>
      <c r="CFY15" s="463"/>
      <c r="CFZ15" s="475"/>
      <c r="CGA15" s="476"/>
      <c r="CGB15" s="476"/>
      <c r="CGC15" s="476"/>
      <c r="CGD15" s="476"/>
      <c r="CGE15" s="476"/>
      <c r="CGF15" s="476"/>
      <c r="CGG15" s="476"/>
      <c r="CGH15" s="476"/>
      <c r="CGI15" s="476"/>
      <c r="CGJ15" s="476"/>
      <c r="CGK15" s="476"/>
      <c r="CGL15" s="476"/>
      <c r="CGM15" s="477"/>
      <c r="CGN15" s="477"/>
      <c r="CGO15" s="463"/>
      <c r="CGP15" s="475"/>
      <c r="CGQ15" s="476"/>
      <c r="CGR15" s="476"/>
      <c r="CGS15" s="476"/>
      <c r="CGT15" s="476"/>
      <c r="CGU15" s="476"/>
      <c r="CGV15" s="476"/>
      <c r="CGW15" s="476"/>
      <c r="CGX15" s="476"/>
      <c r="CGY15" s="476"/>
      <c r="CGZ15" s="476"/>
      <c r="CHA15" s="476"/>
      <c r="CHB15" s="476"/>
      <c r="CHC15" s="477"/>
      <c r="CHD15" s="477"/>
      <c r="CHE15" s="463"/>
      <c r="CHF15" s="475"/>
      <c r="CHG15" s="476"/>
      <c r="CHH15" s="476"/>
      <c r="CHI15" s="476"/>
      <c r="CHJ15" s="476"/>
      <c r="CHK15" s="476"/>
      <c r="CHL15" s="476"/>
      <c r="CHM15" s="476"/>
      <c r="CHN15" s="476"/>
      <c r="CHO15" s="476"/>
      <c r="CHP15" s="476"/>
      <c r="CHQ15" s="476"/>
      <c r="CHR15" s="476"/>
      <c r="CHS15" s="477"/>
      <c r="CHT15" s="477"/>
      <c r="CHU15" s="463"/>
      <c r="CHV15" s="475"/>
      <c r="CHW15" s="476"/>
      <c r="CHX15" s="476"/>
      <c r="CHY15" s="476"/>
      <c r="CHZ15" s="476"/>
      <c r="CIA15" s="476"/>
      <c r="CIB15" s="476"/>
      <c r="CIC15" s="476"/>
      <c r="CID15" s="476"/>
      <c r="CIE15" s="476"/>
      <c r="CIF15" s="476"/>
      <c r="CIG15" s="476"/>
      <c r="CIH15" s="476"/>
      <c r="CII15" s="477"/>
      <c r="CIJ15" s="477"/>
      <c r="CIK15" s="463"/>
      <c r="CIL15" s="475"/>
      <c r="CIM15" s="476"/>
      <c r="CIN15" s="476"/>
      <c r="CIO15" s="476"/>
      <c r="CIP15" s="476"/>
      <c r="CIQ15" s="476"/>
      <c r="CIR15" s="476"/>
      <c r="CIS15" s="476"/>
      <c r="CIT15" s="476"/>
      <c r="CIU15" s="476"/>
      <c r="CIV15" s="476"/>
      <c r="CIW15" s="476"/>
      <c r="CIX15" s="476"/>
      <c r="CIY15" s="477"/>
      <c r="CIZ15" s="477"/>
      <c r="CJA15" s="463"/>
      <c r="CJB15" s="475"/>
      <c r="CJC15" s="476"/>
      <c r="CJD15" s="476"/>
      <c r="CJE15" s="476"/>
      <c r="CJF15" s="476"/>
      <c r="CJG15" s="476"/>
      <c r="CJH15" s="476"/>
      <c r="CJI15" s="476"/>
      <c r="CJJ15" s="476"/>
      <c r="CJK15" s="476"/>
      <c r="CJL15" s="476"/>
      <c r="CJM15" s="476"/>
      <c r="CJN15" s="476"/>
      <c r="CJO15" s="477"/>
      <c r="CJP15" s="477"/>
      <c r="CJQ15" s="463"/>
      <c r="CJR15" s="475"/>
      <c r="CJS15" s="476"/>
      <c r="CJT15" s="476"/>
      <c r="CJU15" s="476"/>
      <c r="CJV15" s="476"/>
      <c r="CJW15" s="476"/>
      <c r="CJX15" s="476"/>
      <c r="CJY15" s="476"/>
      <c r="CJZ15" s="476"/>
      <c r="CKA15" s="476"/>
      <c r="CKB15" s="476"/>
      <c r="CKC15" s="476"/>
      <c r="CKD15" s="476"/>
      <c r="CKE15" s="477"/>
      <c r="CKF15" s="477"/>
      <c r="CKG15" s="463"/>
      <c r="CKH15" s="475"/>
      <c r="CKI15" s="476"/>
      <c r="CKJ15" s="476"/>
      <c r="CKK15" s="476"/>
      <c r="CKL15" s="476"/>
      <c r="CKM15" s="476"/>
      <c r="CKN15" s="476"/>
      <c r="CKO15" s="476"/>
      <c r="CKP15" s="476"/>
      <c r="CKQ15" s="476"/>
      <c r="CKR15" s="476"/>
      <c r="CKS15" s="476"/>
      <c r="CKT15" s="476"/>
      <c r="CKU15" s="477"/>
      <c r="CKV15" s="477"/>
      <c r="CKW15" s="463"/>
      <c r="CKX15" s="475"/>
      <c r="CKY15" s="476"/>
      <c r="CKZ15" s="476"/>
      <c r="CLA15" s="476"/>
      <c r="CLB15" s="476"/>
      <c r="CLC15" s="476"/>
      <c r="CLD15" s="476"/>
      <c r="CLE15" s="476"/>
      <c r="CLF15" s="476"/>
      <c r="CLG15" s="476"/>
      <c r="CLH15" s="476"/>
      <c r="CLI15" s="476"/>
      <c r="CLJ15" s="476"/>
      <c r="CLK15" s="477"/>
      <c r="CLL15" s="477"/>
      <c r="CLM15" s="463"/>
      <c r="CLN15" s="475"/>
      <c r="CLO15" s="476"/>
      <c r="CLP15" s="476"/>
      <c r="CLQ15" s="476"/>
      <c r="CLR15" s="476"/>
      <c r="CLS15" s="476"/>
      <c r="CLT15" s="476"/>
      <c r="CLU15" s="476"/>
      <c r="CLV15" s="476"/>
      <c r="CLW15" s="476"/>
      <c r="CLX15" s="476"/>
      <c r="CLY15" s="476"/>
      <c r="CLZ15" s="476"/>
      <c r="CMA15" s="477"/>
      <c r="CMB15" s="477"/>
      <c r="CMC15" s="463"/>
      <c r="CMD15" s="475"/>
      <c r="CME15" s="476"/>
      <c r="CMF15" s="476"/>
      <c r="CMG15" s="476"/>
      <c r="CMH15" s="476"/>
      <c r="CMI15" s="476"/>
      <c r="CMJ15" s="476"/>
      <c r="CMK15" s="476"/>
      <c r="CML15" s="476"/>
      <c r="CMM15" s="476"/>
      <c r="CMN15" s="476"/>
      <c r="CMO15" s="476"/>
      <c r="CMP15" s="476"/>
      <c r="CMQ15" s="477"/>
      <c r="CMR15" s="477"/>
      <c r="CMS15" s="463"/>
      <c r="CMT15" s="475"/>
      <c r="CMU15" s="476"/>
      <c r="CMV15" s="476"/>
      <c r="CMW15" s="476"/>
      <c r="CMX15" s="476"/>
      <c r="CMY15" s="476"/>
      <c r="CMZ15" s="476"/>
      <c r="CNA15" s="476"/>
      <c r="CNB15" s="476"/>
      <c r="CNC15" s="476"/>
      <c r="CND15" s="476"/>
      <c r="CNE15" s="476"/>
      <c r="CNF15" s="476"/>
      <c r="CNG15" s="477"/>
      <c r="CNH15" s="477"/>
      <c r="CNI15" s="463"/>
      <c r="CNJ15" s="475"/>
      <c r="CNK15" s="476"/>
      <c r="CNL15" s="476"/>
      <c r="CNM15" s="476"/>
      <c r="CNN15" s="476"/>
      <c r="CNO15" s="476"/>
      <c r="CNP15" s="476"/>
      <c r="CNQ15" s="476"/>
      <c r="CNR15" s="476"/>
      <c r="CNS15" s="476"/>
      <c r="CNT15" s="476"/>
      <c r="CNU15" s="476"/>
      <c r="CNV15" s="476"/>
      <c r="CNW15" s="477"/>
      <c r="CNX15" s="477"/>
      <c r="CNY15" s="463"/>
      <c r="CNZ15" s="475"/>
      <c r="COA15" s="476"/>
      <c r="COB15" s="476"/>
      <c r="COC15" s="476"/>
      <c r="COD15" s="476"/>
      <c r="COE15" s="476"/>
      <c r="COF15" s="476"/>
      <c r="COG15" s="476"/>
      <c r="COH15" s="476"/>
      <c r="COI15" s="476"/>
      <c r="COJ15" s="476"/>
      <c r="COK15" s="476"/>
      <c r="COL15" s="476"/>
      <c r="COM15" s="477"/>
      <c r="CON15" s="477"/>
      <c r="COO15" s="463"/>
      <c r="COP15" s="475"/>
      <c r="COQ15" s="476"/>
      <c r="COR15" s="476"/>
      <c r="COS15" s="476"/>
      <c r="COT15" s="476"/>
      <c r="COU15" s="476"/>
      <c r="COV15" s="476"/>
      <c r="COW15" s="476"/>
      <c r="COX15" s="476"/>
      <c r="COY15" s="476"/>
      <c r="COZ15" s="476"/>
      <c r="CPA15" s="476"/>
      <c r="CPB15" s="476"/>
      <c r="CPC15" s="477"/>
      <c r="CPD15" s="477"/>
      <c r="CPE15" s="463"/>
      <c r="CPF15" s="475"/>
      <c r="CPG15" s="476"/>
      <c r="CPH15" s="476"/>
      <c r="CPI15" s="476"/>
      <c r="CPJ15" s="476"/>
      <c r="CPK15" s="476"/>
      <c r="CPL15" s="476"/>
      <c r="CPM15" s="476"/>
      <c r="CPN15" s="476"/>
      <c r="CPO15" s="476"/>
      <c r="CPP15" s="476"/>
      <c r="CPQ15" s="476"/>
      <c r="CPR15" s="476"/>
      <c r="CPS15" s="477"/>
      <c r="CPT15" s="477"/>
      <c r="CPU15" s="463"/>
      <c r="CPV15" s="475"/>
      <c r="CPW15" s="476"/>
      <c r="CPX15" s="476"/>
      <c r="CPY15" s="476"/>
      <c r="CPZ15" s="476"/>
      <c r="CQA15" s="476"/>
      <c r="CQB15" s="476"/>
      <c r="CQC15" s="476"/>
      <c r="CQD15" s="476"/>
      <c r="CQE15" s="476"/>
      <c r="CQF15" s="476"/>
      <c r="CQG15" s="476"/>
      <c r="CQH15" s="476"/>
      <c r="CQI15" s="477"/>
      <c r="CQJ15" s="477"/>
      <c r="CQK15" s="463"/>
      <c r="CQL15" s="475"/>
      <c r="CQM15" s="476"/>
      <c r="CQN15" s="476"/>
      <c r="CQO15" s="476"/>
      <c r="CQP15" s="476"/>
      <c r="CQQ15" s="476"/>
      <c r="CQR15" s="476"/>
      <c r="CQS15" s="476"/>
      <c r="CQT15" s="476"/>
      <c r="CQU15" s="476"/>
      <c r="CQV15" s="476"/>
      <c r="CQW15" s="476"/>
      <c r="CQX15" s="476"/>
      <c r="CQY15" s="477"/>
      <c r="CQZ15" s="477"/>
      <c r="CRA15" s="463"/>
      <c r="CRB15" s="475"/>
      <c r="CRC15" s="476"/>
      <c r="CRD15" s="476"/>
      <c r="CRE15" s="476"/>
      <c r="CRF15" s="476"/>
      <c r="CRG15" s="476"/>
      <c r="CRH15" s="476"/>
      <c r="CRI15" s="476"/>
      <c r="CRJ15" s="476"/>
      <c r="CRK15" s="476"/>
      <c r="CRL15" s="476"/>
      <c r="CRM15" s="476"/>
      <c r="CRN15" s="476"/>
      <c r="CRO15" s="477"/>
      <c r="CRP15" s="477"/>
      <c r="CRQ15" s="463"/>
      <c r="CRR15" s="475"/>
      <c r="CRS15" s="476"/>
      <c r="CRT15" s="476"/>
      <c r="CRU15" s="476"/>
      <c r="CRV15" s="476"/>
      <c r="CRW15" s="476"/>
      <c r="CRX15" s="476"/>
      <c r="CRY15" s="476"/>
      <c r="CRZ15" s="476"/>
      <c r="CSA15" s="476"/>
      <c r="CSB15" s="476"/>
      <c r="CSC15" s="476"/>
      <c r="CSD15" s="476"/>
      <c r="CSE15" s="477"/>
      <c r="CSF15" s="477"/>
      <c r="CSG15" s="463"/>
      <c r="CSH15" s="475"/>
      <c r="CSI15" s="476"/>
      <c r="CSJ15" s="476"/>
      <c r="CSK15" s="476"/>
      <c r="CSL15" s="476"/>
      <c r="CSM15" s="476"/>
      <c r="CSN15" s="476"/>
      <c r="CSO15" s="476"/>
      <c r="CSP15" s="476"/>
      <c r="CSQ15" s="476"/>
      <c r="CSR15" s="476"/>
      <c r="CSS15" s="476"/>
      <c r="CST15" s="476"/>
      <c r="CSU15" s="477"/>
      <c r="CSV15" s="477"/>
      <c r="CSW15" s="463"/>
      <c r="CSX15" s="475"/>
      <c r="CSY15" s="476"/>
      <c r="CSZ15" s="476"/>
      <c r="CTA15" s="476"/>
      <c r="CTB15" s="476"/>
      <c r="CTC15" s="476"/>
      <c r="CTD15" s="476"/>
      <c r="CTE15" s="476"/>
      <c r="CTF15" s="476"/>
      <c r="CTG15" s="476"/>
      <c r="CTH15" s="476"/>
      <c r="CTI15" s="476"/>
      <c r="CTJ15" s="476"/>
      <c r="CTK15" s="477"/>
      <c r="CTL15" s="477"/>
      <c r="CTM15" s="463"/>
      <c r="CTN15" s="475"/>
      <c r="CTO15" s="476"/>
      <c r="CTP15" s="476"/>
      <c r="CTQ15" s="476"/>
      <c r="CTR15" s="476"/>
      <c r="CTS15" s="476"/>
      <c r="CTT15" s="476"/>
      <c r="CTU15" s="476"/>
      <c r="CTV15" s="476"/>
      <c r="CTW15" s="476"/>
      <c r="CTX15" s="476"/>
      <c r="CTY15" s="476"/>
      <c r="CTZ15" s="476"/>
      <c r="CUA15" s="477"/>
      <c r="CUB15" s="477"/>
      <c r="CUC15" s="463"/>
      <c r="CUD15" s="475"/>
      <c r="CUE15" s="476"/>
      <c r="CUF15" s="476"/>
      <c r="CUG15" s="476"/>
      <c r="CUH15" s="476"/>
      <c r="CUI15" s="476"/>
      <c r="CUJ15" s="476"/>
      <c r="CUK15" s="476"/>
      <c r="CUL15" s="476"/>
      <c r="CUM15" s="476"/>
      <c r="CUN15" s="476"/>
      <c r="CUO15" s="476"/>
      <c r="CUP15" s="476"/>
      <c r="CUQ15" s="477"/>
      <c r="CUR15" s="477"/>
      <c r="CUS15" s="463"/>
      <c r="CUT15" s="475"/>
      <c r="CUU15" s="476"/>
      <c r="CUV15" s="476"/>
      <c r="CUW15" s="476"/>
      <c r="CUX15" s="476"/>
      <c r="CUY15" s="476"/>
      <c r="CUZ15" s="476"/>
      <c r="CVA15" s="476"/>
      <c r="CVB15" s="476"/>
      <c r="CVC15" s="476"/>
      <c r="CVD15" s="476"/>
      <c r="CVE15" s="476"/>
      <c r="CVF15" s="476"/>
      <c r="CVG15" s="477"/>
      <c r="CVH15" s="477"/>
      <c r="CVI15" s="463"/>
      <c r="CVJ15" s="475"/>
      <c r="CVK15" s="476"/>
      <c r="CVL15" s="476"/>
      <c r="CVM15" s="476"/>
      <c r="CVN15" s="476"/>
      <c r="CVO15" s="476"/>
      <c r="CVP15" s="476"/>
      <c r="CVQ15" s="476"/>
      <c r="CVR15" s="476"/>
      <c r="CVS15" s="476"/>
      <c r="CVT15" s="476"/>
      <c r="CVU15" s="476"/>
      <c r="CVV15" s="476"/>
      <c r="CVW15" s="477"/>
      <c r="CVX15" s="477"/>
      <c r="CVY15" s="463"/>
      <c r="CVZ15" s="475"/>
      <c r="CWA15" s="476"/>
      <c r="CWB15" s="476"/>
      <c r="CWC15" s="476"/>
      <c r="CWD15" s="476"/>
      <c r="CWE15" s="476"/>
      <c r="CWF15" s="476"/>
      <c r="CWG15" s="476"/>
      <c r="CWH15" s="476"/>
      <c r="CWI15" s="476"/>
      <c r="CWJ15" s="476"/>
      <c r="CWK15" s="476"/>
      <c r="CWL15" s="476"/>
      <c r="CWM15" s="477"/>
      <c r="CWN15" s="477"/>
      <c r="CWO15" s="463"/>
      <c r="CWP15" s="475"/>
      <c r="CWQ15" s="476"/>
      <c r="CWR15" s="476"/>
      <c r="CWS15" s="476"/>
      <c r="CWT15" s="476"/>
      <c r="CWU15" s="476"/>
      <c r="CWV15" s="476"/>
      <c r="CWW15" s="476"/>
      <c r="CWX15" s="476"/>
      <c r="CWY15" s="476"/>
      <c r="CWZ15" s="476"/>
      <c r="CXA15" s="476"/>
      <c r="CXB15" s="476"/>
      <c r="CXC15" s="477"/>
      <c r="CXD15" s="477"/>
      <c r="CXE15" s="463"/>
      <c r="CXF15" s="475"/>
      <c r="CXG15" s="476"/>
      <c r="CXH15" s="476"/>
      <c r="CXI15" s="476"/>
      <c r="CXJ15" s="476"/>
      <c r="CXK15" s="476"/>
      <c r="CXL15" s="476"/>
      <c r="CXM15" s="476"/>
      <c r="CXN15" s="476"/>
      <c r="CXO15" s="476"/>
      <c r="CXP15" s="476"/>
      <c r="CXQ15" s="476"/>
      <c r="CXR15" s="476"/>
      <c r="CXS15" s="477"/>
      <c r="CXT15" s="477"/>
      <c r="CXU15" s="463"/>
      <c r="CXV15" s="475"/>
      <c r="CXW15" s="476"/>
      <c r="CXX15" s="476"/>
      <c r="CXY15" s="476"/>
      <c r="CXZ15" s="476"/>
      <c r="CYA15" s="476"/>
      <c r="CYB15" s="476"/>
      <c r="CYC15" s="476"/>
      <c r="CYD15" s="476"/>
      <c r="CYE15" s="476"/>
      <c r="CYF15" s="476"/>
      <c r="CYG15" s="476"/>
      <c r="CYH15" s="476"/>
      <c r="CYI15" s="477"/>
      <c r="CYJ15" s="477"/>
      <c r="CYK15" s="463"/>
      <c r="CYL15" s="475"/>
      <c r="CYM15" s="476"/>
      <c r="CYN15" s="476"/>
      <c r="CYO15" s="476"/>
      <c r="CYP15" s="476"/>
      <c r="CYQ15" s="476"/>
      <c r="CYR15" s="476"/>
      <c r="CYS15" s="476"/>
      <c r="CYT15" s="476"/>
      <c r="CYU15" s="476"/>
      <c r="CYV15" s="476"/>
      <c r="CYW15" s="476"/>
      <c r="CYX15" s="476"/>
      <c r="CYY15" s="477"/>
      <c r="CYZ15" s="477"/>
      <c r="CZA15" s="463"/>
      <c r="CZB15" s="475"/>
      <c r="CZC15" s="476"/>
      <c r="CZD15" s="476"/>
      <c r="CZE15" s="476"/>
      <c r="CZF15" s="476"/>
      <c r="CZG15" s="476"/>
      <c r="CZH15" s="476"/>
      <c r="CZI15" s="476"/>
      <c r="CZJ15" s="476"/>
      <c r="CZK15" s="476"/>
      <c r="CZL15" s="476"/>
      <c r="CZM15" s="476"/>
      <c r="CZN15" s="476"/>
      <c r="CZO15" s="477"/>
      <c r="CZP15" s="477"/>
      <c r="CZQ15" s="463"/>
      <c r="CZR15" s="475"/>
      <c r="CZS15" s="476"/>
      <c r="CZT15" s="476"/>
      <c r="CZU15" s="476"/>
      <c r="CZV15" s="476"/>
      <c r="CZW15" s="476"/>
      <c r="CZX15" s="476"/>
      <c r="CZY15" s="476"/>
      <c r="CZZ15" s="476"/>
      <c r="DAA15" s="476"/>
      <c r="DAB15" s="476"/>
      <c r="DAC15" s="476"/>
      <c r="DAD15" s="476"/>
      <c r="DAE15" s="477"/>
      <c r="DAF15" s="477"/>
      <c r="DAG15" s="463"/>
      <c r="DAH15" s="475"/>
      <c r="DAI15" s="476"/>
      <c r="DAJ15" s="476"/>
      <c r="DAK15" s="476"/>
      <c r="DAL15" s="476"/>
      <c r="DAM15" s="476"/>
      <c r="DAN15" s="476"/>
      <c r="DAO15" s="476"/>
      <c r="DAP15" s="476"/>
      <c r="DAQ15" s="476"/>
      <c r="DAR15" s="476"/>
      <c r="DAS15" s="476"/>
      <c r="DAT15" s="476"/>
      <c r="DAU15" s="477"/>
      <c r="DAV15" s="477"/>
      <c r="DAW15" s="463"/>
      <c r="DAX15" s="475"/>
      <c r="DAY15" s="476"/>
      <c r="DAZ15" s="476"/>
      <c r="DBA15" s="476"/>
      <c r="DBB15" s="476"/>
      <c r="DBC15" s="476"/>
      <c r="DBD15" s="476"/>
      <c r="DBE15" s="476"/>
      <c r="DBF15" s="476"/>
      <c r="DBG15" s="476"/>
      <c r="DBH15" s="476"/>
      <c r="DBI15" s="476"/>
      <c r="DBJ15" s="476"/>
      <c r="DBK15" s="477"/>
      <c r="DBL15" s="477"/>
      <c r="DBM15" s="463"/>
      <c r="DBN15" s="475"/>
      <c r="DBO15" s="476"/>
      <c r="DBP15" s="476"/>
      <c r="DBQ15" s="476"/>
      <c r="DBR15" s="476"/>
      <c r="DBS15" s="476"/>
      <c r="DBT15" s="476"/>
      <c r="DBU15" s="476"/>
      <c r="DBV15" s="476"/>
      <c r="DBW15" s="476"/>
      <c r="DBX15" s="476"/>
      <c r="DBY15" s="476"/>
      <c r="DBZ15" s="476"/>
      <c r="DCA15" s="477"/>
      <c r="DCB15" s="477"/>
      <c r="DCC15" s="463"/>
      <c r="DCD15" s="475"/>
      <c r="DCE15" s="476"/>
      <c r="DCF15" s="476"/>
      <c r="DCG15" s="476"/>
      <c r="DCH15" s="476"/>
      <c r="DCI15" s="476"/>
      <c r="DCJ15" s="476"/>
      <c r="DCK15" s="476"/>
      <c r="DCL15" s="476"/>
      <c r="DCM15" s="476"/>
      <c r="DCN15" s="476"/>
      <c r="DCO15" s="476"/>
      <c r="DCP15" s="476"/>
      <c r="DCQ15" s="477"/>
      <c r="DCR15" s="477"/>
      <c r="DCS15" s="463"/>
      <c r="DCT15" s="475"/>
      <c r="DCU15" s="476"/>
      <c r="DCV15" s="476"/>
      <c r="DCW15" s="476"/>
      <c r="DCX15" s="476"/>
      <c r="DCY15" s="476"/>
      <c r="DCZ15" s="476"/>
      <c r="DDA15" s="476"/>
      <c r="DDB15" s="476"/>
      <c r="DDC15" s="476"/>
      <c r="DDD15" s="476"/>
      <c r="DDE15" s="476"/>
      <c r="DDF15" s="476"/>
      <c r="DDG15" s="477"/>
      <c r="DDH15" s="477"/>
      <c r="DDI15" s="463"/>
      <c r="DDJ15" s="475"/>
      <c r="DDK15" s="476"/>
      <c r="DDL15" s="476"/>
      <c r="DDM15" s="476"/>
      <c r="DDN15" s="476"/>
      <c r="DDO15" s="476"/>
      <c r="DDP15" s="476"/>
      <c r="DDQ15" s="476"/>
      <c r="DDR15" s="476"/>
      <c r="DDS15" s="476"/>
      <c r="DDT15" s="476"/>
      <c r="DDU15" s="476"/>
      <c r="DDV15" s="476"/>
      <c r="DDW15" s="477"/>
      <c r="DDX15" s="477"/>
      <c r="DDY15" s="463"/>
      <c r="DDZ15" s="475"/>
      <c r="DEA15" s="476"/>
      <c r="DEB15" s="476"/>
      <c r="DEC15" s="476"/>
      <c r="DED15" s="476"/>
      <c r="DEE15" s="476"/>
      <c r="DEF15" s="476"/>
      <c r="DEG15" s="476"/>
      <c r="DEH15" s="476"/>
      <c r="DEI15" s="476"/>
      <c r="DEJ15" s="476"/>
      <c r="DEK15" s="476"/>
      <c r="DEL15" s="476"/>
      <c r="DEM15" s="477"/>
      <c r="DEN15" s="477"/>
      <c r="DEO15" s="463"/>
      <c r="DEP15" s="475"/>
      <c r="DEQ15" s="476"/>
      <c r="DER15" s="476"/>
      <c r="DES15" s="476"/>
      <c r="DET15" s="476"/>
      <c r="DEU15" s="476"/>
      <c r="DEV15" s="476"/>
      <c r="DEW15" s="476"/>
      <c r="DEX15" s="476"/>
      <c r="DEY15" s="476"/>
      <c r="DEZ15" s="476"/>
      <c r="DFA15" s="476"/>
      <c r="DFB15" s="476"/>
      <c r="DFC15" s="477"/>
      <c r="DFD15" s="477"/>
      <c r="DFE15" s="463"/>
      <c r="DFF15" s="475"/>
      <c r="DFG15" s="476"/>
      <c r="DFH15" s="476"/>
      <c r="DFI15" s="476"/>
      <c r="DFJ15" s="476"/>
      <c r="DFK15" s="476"/>
      <c r="DFL15" s="476"/>
      <c r="DFM15" s="476"/>
      <c r="DFN15" s="476"/>
      <c r="DFO15" s="476"/>
      <c r="DFP15" s="476"/>
      <c r="DFQ15" s="476"/>
      <c r="DFR15" s="476"/>
      <c r="DFS15" s="477"/>
      <c r="DFT15" s="477"/>
      <c r="DFU15" s="463"/>
      <c r="DFV15" s="475"/>
      <c r="DFW15" s="476"/>
      <c r="DFX15" s="476"/>
      <c r="DFY15" s="476"/>
      <c r="DFZ15" s="476"/>
      <c r="DGA15" s="476"/>
      <c r="DGB15" s="476"/>
      <c r="DGC15" s="476"/>
      <c r="DGD15" s="476"/>
      <c r="DGE15" s="476"/>
      <c r="DGF15" s="476"/>
      <c r="DGG15" s="476"/>
      <c r="DGH15" s="476"/>
      <c r="DGI15" s="477"/>
      <c r="DGJ15" s="477"/>
      <c r="DGK15" s="463"/>
      <c r="DGL15" s="475"/>
      <c r="DGM15" s="476"/>
      <c r="DGN15" s="476"/>
      <c r="DGO15" s="476"/>
      <c r="DGP15" s="476"/>
      <c r="DGQ15" s="476"/>
      <c r="DGR15" s="476"/>
      <c r="DGS15" s="476"/>
      <c r="DGT15" s="476"/>
      <c r="DGU15" s="476"/>
      <c r="DGV15" s="476"/>
      <c r="DGW15" s="476"/>
      <c r="DGX15" s="476"/>
      <c r="DGY15" s="477"/>
      <c r="DGZ15" s="477"/>
      <c r="DHA15" s="463"/>
      <c r="DHB15" s="475"/>
      <c r="DHC15" s="476"/>
      <c r="DHD15" s="476"/>
      <c r="DHE15" s="476"/>
      <c r="DHF15" s="476"/>
      <c r="DHG15" s="476"/>
      <c r="DHH15" s="476"/>
      <c r="DHI15" s="476"/>
      <c r="DHJ15" s="476"/>
      <c r="DHK15" s="476"/>
      <c r="DHL15" s="476"/>
      <c r="DHM15" s="476"/>
      <c r="DHN15" s="476"/>
      <c r="DHO15" s="477"/>
      <c r="DHP15" s="477"/>
      <c r="DHQ15" s="463"/>
      <c r="DHR15" s="475"/>
      <c r="DHS15" s="476"/>
      <c r="DHT15" s="476"/>
      <c r="DHU15" s="476"/>
      <c r="DHV15" s="476"/>
      <c r="DHW15" s="476"/>
      <c r="DHX15" s="476"/>
      <c r="DHY15" s="476"/>
      <c r="DHZ15" s="476"/>
      <c r="DIA15" s="476"/>
      <c r="DIB15" s="476"/>
      <c r="DIC15" s="476"/>
      <c r="DID15" s="476"/>
      <c r="DIE15" s="477"/>
      <c r="DIF15" s="477"/>
      <c r="DIG15" s="463"/>
      <c r="DIH15" s="475"/>
      <c r="DII15" s="476"/>
      <c r="DIJ15" s="476"/>
      <c r="DIK15" s="476"/>
      <c r="DIL15" s="476"/>
      <c r="DIM15" s="476"/>
      <c r="DIN15" s="476"/>
      <c r="DIO15" s="476"/>
      <c r="DIP15" s="476"/>
      <c r="DIQ15" s="476"/>
      <c r="DIR15" s="476"/>
      <c r="DIS15" s="476"/>
      <c r="DIT15" s="476"/>
      <c r="DIU15" s="477"/>
      <c r="DIV15" s="477"/>
      <c r="DIW15" s="463"/>
      <c r="DIX15" s="475"/>
      <c r="DIY15" s="476"/>
      <c r="DIZ15" s="476"/>
      <c r="DJA15" s="476"/>
      <c r="DJB15" s="476"/>
      <c r="DJC15" s="476"/>
      <c r="DJD15" s="476"/>
      <c r="DJE15" s="476"/>
      <c r="DJF15" s="476"/>
      <c r="DJG15" s="476"/>
      <c r="DJH15" s="476"/>
      <c r="DJI15" s="476"/>
      <c r="DJJ15" s="476"/>
      <c r="DJK15" s="477"/>
      <c r="DJL15" s="477"/>
      <c r="DJM15" s="463"/>
      <c r="DJN15" s="475"/>
      <c r="DJO15" s="476"/>
      <c r="DJP15" s="476"/>
      <c r="DJQ15" s="476"/>
      <c r="DJR15" s="476"/>
      <c r="DJS15" s="476"/>
      <c r="DJT15" s="476"/>
      <c r="DJU15" s="476"/>
      <c r="DJV15" s="476"/>
      <c r="DJW15" s="476"/>
      <c r="DJX15" s="476"/>
      <c r="DJY15" s="476"/>
      <c r="DJZ15" s="476"/>
      <c r="DKA15" s="477"/>
      <c r="DKB15" s="477"/>
      <c r="DKC15" s="463"/>
      <c r="DKD15" s="475"/>
      <c r="DKE15" s="476"/>
      <c r="DKF15" s="476"/>
      <c r="DKG15" s="476"/>
      <c r="DKH15" s="476"/>
      <c r="DKI15" s="476"/>
      <c r="DKJ15" s="476"/>
      <c r="DKK15" s="476"/>
      <c r="DKL15" s="476"/>
      <c r="DKM15" s="476"/>
      <c r="DKN15" s="476"/>
      <c r="DKO15" s="476"/>
      <c r="DKP15" s="476"/>
      <c r="DKQ15" s="477"/>
      <c r="DKR15" s="477"/>
      <c r="DKS15" s="463"/>
      <c r="DKT15" s="475"/>
      <c r="DKU15" s="476"/>
      <c r="DKV15" s="476"/>
      <c r="DKW15" s="476"/>
      <c r="DKX15" s="476"/>
      <c r="DKY15" s="476"/>
      <c r="DKZ15" s="476"/>
      <c r="DLA15" s="476"/>
      <c r="DLB15" s="476"/>
      <c r="DLC15" s="476"/>
      <c r="DLD15" s="476"/>
      <c r="DLE15" s="476"/>
      <c r="DLF15" s="476"/>
      <c r="DLG15" s="477"/>
      <c r="DLH15" s="477"/>
      <c r="DLI15" s="463"/>
      <c r="DLJ15" s="475"/>
      <c r="DLK15" s="476"/>
      <c r="DLL15" s="476"/>
      <c r="DLM15" s="476"/>
      <c r="DLN15" s="476"/>
      <c r="DLO15" s="476"/>
      <c r="DLP15" s="476"/>
      <c r="DLQ15" s="476"/>
      <c r="DLR15" s="476"/>
      <c r="DLS15" s="476"/>
      <c r="DLT15" s="476"/>
      <c r="DLU15" s="476"/>
      <c r="DLV15" s="476"/>
      <c r="DLW15" s="477"/>
      <c r="DLX15" s="477"/>
      <c r="DLY15" s="463"/>
      <c r="DLZ15" s="475"/>
      <c r="DMA15" s="476"/>
      <c r="DMB15" s="476"/>
      <c r="DMC15" s="476"/>
      <c r="DMD15" s="476"/>
      <c r="DME15" s="476"/>
      <c r="DMF15" s="476"/>
      <c r="DMG15" s="476"/>
      <c r="DMH15" s="476"/>
      <c r="DMI15" s="476"/>
      <c r="DMJ15" s="476"/>
      <c r="DMK15" s="476"/>
      <c r="DML15" s="476"/>
      <c r="DMM15" s="477"/>
      <c r="DMN15" s="477"/>
      <c r="DMO15" s="463"/>
      <c r="DMP15" s="475"/>
      <c r="DMQ15" s="476"/>
      <c r="DMR15" s="476"/>
      <c r="DMS15" s="476"/>
      <c r="DMT15" s="476"/>
      <c r="DMU15" s="476"/>
      <c r="DMV15" s="476"/>
      <c r="DMW15" s="476"/>
      <c r="DMX15" s="476"/>
      <c r="DMY15" s="476"/>
      <c r="DMZ15" s="476"/>
      <c r="DNA15" s="476"/>
      <c r="DNB15" s="476"/>
      <c r="DNC15" s="477"/>
      <c r="DND15" s="477"/>
      <c r="DNE15" s="463"/>
      <c r="DNF15" s="475"/>
      <c r="DNG15" s="476"/>
      <c r="DNH15" s="476"/>
      <c r="DNI15" s="476"/>
      <c r="DNJ15" s="476"/>
      <c r="DNK15" s="476"/>
      <c r="DNL15" s="476"/>
      <c r="DNM15" s="476"/>
      <c r="DNN15" s="476"/>
      <c r="DNO15" s="476"/>
      <c r="DNP15" s="476"/>
      <c r="DNQ15" s="476"/>
      <c r="DNR15" s="476"/>
      <c r="DNS15" s="477"/>
      <c r="DNT15" s="477"/>
      <c r="DNU15" s="463"/>
      <c r="DNV15" s="475"/>
      <c r="DNW15" s="476"/>
      <c r="DNX15" s="476"/>
      <c r="DNY15" s="476"/>
      <c r="DNZ15" s="476"/>
      <c r="DOA15" s="476"/>
      <c r="DOB15" s="476"/>
      <c r="DOC15" s="476"/>
      <c r="DOD15" s="476"/>
      <c r="DOE15" s="476"/>
      <c r="DOF15" s="476"/>
      <c r="DOG15" s="476"/>
      <c r="DOH15" s="476"/>
      <c r="DOI15" s="477"/>
      <c r="DOJ15" s="477"/>
      <c r="DOK15" s="463"/>
      <c r="DOL15" s="475"/>
      <c r="DOM15" s="476"/>
      <c r="DON15" s="476"/>
      <c r="DOO15" s="476"/>
      <c r="DOP15" s="476"/>
      <c r="DOQ15" s="476"/>
      <c r="DOR15" s="476"/>
      <c r="DOS15" s="476"/>
      <c r="DOT15" s="476"/>
      <c r="DOU15" s="476"/>
      <c r="DOV15" s="476"/>
      <c r="DOW15" s="476"/>
      <c r="DOX15" s="476"/>
      <c r="DOY15" s="477"/>
      <c r="DOZ15" s="477"/>
      <c r="DPA15" s="463"/>
      <c r="DPB15" s="475"/>
      <c r="DPC15" s="476"/>
      <c r="DPD15" s="476"/>
      <c r="DPE15" s="476"/>
      <c r="DPF15" s="476"/>
      <c r="DPG15" s="476"/>
      <c r="DPH15" s="476"/>
      <c r="DPI15" s="476"/>
      <c r="DPJ15" s="476"/>
      <c r="DPK15" s="476"/>
      <c r="DPL15" s="476"/>
      <c r="DPM15" s="476"/>
      <c r="DPN15" s="476"/>
      <c r="DPO15" s="477"/>
      <c r="DPP15" s="477"/>
      <c r="DPQ15" s="463"/>
      <c r="DPR15" s="475"/>
      <c r="DPS15" s="476"/>
      <c r="DPT15" s="476"/>
      <c r="DPU15" s="476"/>
      <c r="DPV15" s="476"/>
      <c r="DPW15" s="476"/>
      <c r="DPX15" s="476"/>
      <c r="DPY15" s="476"/>
      <c r="DPZ15" s="476"/>
      <c r="DQA15" s="476"/>
      <c r="DQB15" s="476"/>
      <c r="DQC15" s="476"/>
      <c r="DQD15" s="476"/>
      <c r="DQE15" s="477"/>
      <c r="DQF15" s="477"/>
      <c r="DQG15" s="463"/>
      <c r="DQH15" s="475"/>
      <c r="DQI15" s="476"/>
      <c r="DQJ15" s="476"/>
      <c r="DQK15" s="476"/>
      <c r="DQL15" s="476"/>
      <c r="DQM15" s="476"/>
      <c r="DQN15" s="476"/>
      <c r="DQO15" s="476"/>
      <c r="DQP15" s="476"/>
      <c r="DQQ15" s="476"/>
      <c r="DQR15" s="476"/>
      <c r="DQS15" s="476"/>
      <c r="DQT15" s="476"/>
      <c r="DQU15" s="477"/>
      <c r="DQV15" s="477"/>
      <c r="DQW15" s="463"/>
      <c r="DQX15" s="475"/>
      <c r="DQY15" s="476"/>
      <c r="DQZ15" s="476"/>
      <c r="DRA15" s="476"/>
      <c r="DRB15" s="476"/>
      <c r="DRC15" s="476"/>
      <c r="DRD15" s="476"/>
      <c r="DRE15" s="476"/>
      <c r="DRF15" s="476"/>
      <c r="DRG15" s="476"/>
      <c r="DRH15" s="476"/>
      <c r="DRI15" s="476"/>
      <c r="DRJ15" s="476"/>
      <c r="DRK15" s="477"/>
      <c r="DRL15" s="477"/>
      <c r="DRM15" s="463"/>
      <c r="DRN15" s="475"/>
      <c r="DRO15" s="476"/>
      <c r="DRP15" s="476"/>
      <c r="DRQ15" s="476"/>
      <c r="DRR15" s="476"/>
      <c r="DRS15" s="476"/>
      <c r="DRT15" s="476"/>
      <c r="DRU15" s="476"/>
      <c r="DRV15" s="476"/>
      <c r="DRW15" s="476"/>
      <c r="DRX15" s="476"/>
      <c r="DRY15" s="476"/>
      <c r="DRZ15" s="476"/>
      <c r="DSA15" s="477"/>
      <c r="DSB15" s="477"/>
      <c r="DSC15" s="463"/>
      <c r="DSD15" s="475"/>
      <c r="DSE15" s="476"/>
      <c r="DSF15" s="476"/>
      <c r="DSG15" s="476"/>
      <c r="DSH15" s="476"/>
      <c r="DSI15" s="476"/>
      <c r="DSJ15" s="476"/>
      <c r="DSK15" s="476"/>
      <c r="DSL15" s="476"/>
      <c r="DSM15" s="476"/>
      <c r="DSN15" s="476"/>
      <c r="DSO15" s="476"/>
      <c r="DSP15" s="476"/>
      <c r="DSQ15" s="477"/>
      <c r="DSR15" s="477"/>
      <c r="DSS15" s="463"/>
      <c r="DST15" s="475"/>
      <c r="DSU15" s="476"/>
      <c r="DSV15" s="476"/>
      <c r="DSW15" s="476"/>
      <c r="DSX15" s="476"/>
      <c r="DSY15" s="476"/>
      <c r="DSZ15" s="476"/>
      <c r="DTA15" s="476"/>
      <c r="DTB15" s="476"/>
      <c r="DTC15" s="476"/>
      <c r="DTD15" s="476"/>
      <c r="DTE15" s="476"/>
      <c r="DTF15" s="476"/>
      <c r="DTG15" s="477"/>
      <c r="DTH15" s="477"/>
      <c r="DTI15" s="463"/>
      <c r="DTJ15" s="475"/>
      <c r="DTK15" s="476"/>
      <c r="DTL15" s="476"/>
      <c r="DTM15" s="476"/>
      <c r="DTN15" s="476"/>
      <c r="DTO15" s="476"/>
      <c r="DTP15" s="476"/>
      <c r="DTQ15" s="476"/>
      <c r="DTR15" s="476"/>
      <c r="DTS15" s="476"/>
      <c r="DTT15" s="476"/>
      <c r="DTU15" s="476"/>
      <c r="DTV15" s="476"/>
      <c r="DTW15" s="477"/>
      <c r="DTX15" s="477"/>
      <c r="DTY15" s="463"/>
      <c r="DTZ15" s="475"/>
      <c r="DUA15" s="476"/>
      <c r="DUB15" s="476"/>
      <c r="DUC15" s="476"/>
      <c r="DUD15" s="476"/>
      <c r="DUE15" s="476"/>
      <c r="DUF15" s="476"/>
      <c r="DUG15" s="476"/>
      <c r="DUH15" s="476"/>
      <c r="DUI15" s="476"/>
      <c r="DUJ15" s="476"/>
      <c r="DUK15" s="476"/>
      <c r="DUL15" s="476"/>
      <c r="DUM15" s="477"/>
      <c r="DUN15" s="477"/>
      <c r="DUO15" s="463"/>
      <c r="DUP15" s="475"/>
      <c r="DUQ15" s="476"/>
      <c r="DUR15" s="476"/>
      <c r="DUS15" s="476"/>
      <c r="DUT15" s="476"/>
      <c r="DUU15" s="476"/>
      <c r="DUV15" s="476"/>
      <c r="DUW15" s="476"/>
      <c r="DUX15" s="476"/>
      <c r="DUY15" s="476"/>
      <c r="DUZ15" s="476"/>
      <c r="DVA15" s="476"/>
      <c r="DVB15" s="476"/>
      <c r="DVC15" s="477"/>
      <c r="DVD15" s="477"/>
      <c r="DVE15" s="463"/>
      <c r="DVF15" s="475"/>
      <c r="DVG15" s="476"/>
      <c r="DVH15" s="476"/>
      <c r="DVI15" s="476"/>
      <c r="DVJ15" s="476"/>
      <c r="DVK15" s="476"/>
      <c r="DVL15" s="476"/>
      <c r="DVM15" s="476"/>
      <c r="DVN15" s="476"/>
      <c r="DVO15" s="476"/>
      <c r="DVP15" s="476"/>
      <c r="DVQ15" s="476"/>
      <c r="DVR15" s="476"/>
      <c r="DVS15" s="477"/>
      <c r="DVT15" s="477"/>
      <c r="DVU15" s="463"/>
      <c r="DVV15" s="475"/>
      <c r="DVW15" s="476"/>
      <c r="DVX15" s="476"/>
      <c r="DVY15" s="476"/>
      <c r="DVZ15" s="476"/>
      <c r="DWA15" s="476"/>
      <c r="DWB15" s="476"/>
      <c r="DWC15" s="476"/>
      <c r="DWD15" s="476"/>
      <c r="DWE15" s="476"/>
      <c r="DWF15" s="476"/>
      <c r="DWG15" s="476"/>
      <c r="DWH15" s="476"/>
      <c r="DWI15" s="477"/>
      <c r="DWJ15" s="477"/>
      <c r="DWK15" s="463"/>
      <c r="DWL15" s="475"/>
      <c r="DWM15" s="476"/>
      <c r="DWN15" s="476"/>
      <c r="DWO15" s="476"/>
      <c r="DWP15" s="476"/>
      <c r="DWQ15" s="476"/>
      <c r="DWR15" s="476"/>
      <c r="DWS15" s="476"/>
      <c r="DWT15" s="476"/>
      <c r="DWU15" s="476"/>
      <c r="DWV15" s="476"/>
      <c r="DWW15" s="476"/>
      <c r="DWX15" s="476"/>
      <c r="DWY15" s="477"/>
      <c r="DWZ15" s="477"/>
      <c r="DXA15" s="463"/>
      <c r="DXB15" s="475"/>
      <c r="DXC15" s="476"/>
      <c r="DXD15" s="476"/>
      <c r="DXE15" s="476"/>
      <c r="DXF15" s="476"/>
      <c r="DXG15" s="476"/>
      <c r="DXH15" s="476"/>
      <c r="DXI15" s="476"/>
      <c r="DXJ15" s="476"/>
      <c r="DXK15" s="476"/>
      <c r="DXL15" s="476"/>
      <c r="DXM15" s="476"/>
      <c r="DXN15" s="476"/>
      <c r="DXO15" s="477"/>
      <c r="DXP15" s="477"/>
      <c r="DXQ15" s="463"/>
      <c r="DXR15" s="475"/>
      <c r="DXS15" s="476"/>
      <c r="DXT15" s="476"/>
      <c r="DXU15" s="476"/>
      <c r="DXV15" s="476"/>
      <c r="DXW15" s="476"/>
      <c r="DXX15" s="476"/>
      <c r="DXY15" s="476"/>
      <c r="DXZ15" s="476"/>
      <c r="DYA15" s="476"/>
      <c r="DYB15" s="476"/>
      <c r="DYC15" s="476"/>
      <c r="DYD15" s="476"/>
      <c r="DYE15" s="477"/>
      <c r="DYF15" s="477"/>
      <c r="DYG15" s="463"/>
      <c r="DYH15" s="475"/>
      <c r="DYI15" s="476"/>
      <c r="DYJ15" s="476"/>
      <c r="DYK15" s="476"/>
      <c r="DYL15" s="476"/>
      <c r="DYM15" s="476"/>
      <c r="DYN15" s="476"/>
      <c r="DYO15" s="476"/>
      <c r="DYP15" s="476"/>
      <c r="DYQ15" s="476"/>
      <c r="DYR15" s="476"/>
      <c r="DYS15" s="476"/>
      <c r="DYT15" s="476"/>
      <c r="DYU15" s="477"/>
      <c r="DYV15" s="477"/>
      <c r="DYW15" s="463"/>
      <c r="DYX15" s="475"/>
      <c r="DYY15" s="476"/>
      <c r="DYZ15" s="476"/>
      <c r="DZA15" s="476"/>
      <c r="DZB15" s="476"/>
      <c r="DZC15" s="476"/>
      <c r="DZD15" s="476"/>
      <c r="DZE15" s="476"/>
      <c r="DZF15" s="476"/>
      <c r="DZG15" s="476"/>
      <c r="DZH15" s="476"/>
      <c r="DZI15" s="476"/>
      <c r="DZJ15" s="476"/>
      <c r="DZK15" s="477"/>
      <c r="DZL15" s="477"/>
      <c r="DZM15" s="463"/>
      <c r="DZN15" s="475"/>
      <c r="DZO15" s="476"/>
      <c r="DZP15" s="476"/>
      <c r="DZQ15" s="476"/>
      <c r="DZR15" s="476"/>
      <c r="DZS15" s="476"/>
      <c r="DZT15" s="476"/>
      <c r="DZU15" s="476"/>
      <c r="DZV15" s="476"/>
      <c r="DZW15" s="476"/>
      <c r="DZX15" s="476"/>
      <c r="DZY15" s="476"/>
      <c r="DZZ15" s="476"/>
      <c r="EAA15" s="477"/>
      <c r="EAB15" s="477"/>
      <c r="EAC15" s="463"/>
      <c r="EAD15" s="475"/>
      <c r="EAE15" s="476"/>
      <c r="EAF15" s="476"/>
      <c r="EAG15" s="476"/>
      <c r="EAH15" s="476"/>
      <c r="EAI15" s="476"/>
      <c r="EAJ15" s="476"/>
      <c r="EAK15" s="476"/>
      <c r="EAL15" s="476"/>
      <c r="EAM15" s="476"/>
      <c r="EAN15" s="476"/>
      <c r="EAO15" s="476"/>
      <c r="EAP15" s="476"/>
      <c r="EAQ15" s="477"/>
      <c r="EAR15" s="477"/>
      <c r="EAS15" s="463"/>
      <c r="EAT15" s="475"/>
      <c r="EAU15" s="476"/>
      <c r="EAV15" s="476"/>
      <c r="EAW15" s="476"/>
      <c r="EAX15" s="476"/>
      <c r="EAY15" s="476"/>
      <c r="EAZ15" s="476"/>
      <c r="EBA15" s="476"/>
      <c r="EBB15" s="476"/>
      <c r="EBC15" s="476"/>
      <c r="EBD15" s="476"/>
      <c r="EBE15" s="476"/>
      <c r="EBF15" s="476"/>
      <c r="EBG15" s="477"/>
      <c r="EBH15" s="477"/>
      <c r="EBI15" s="463"/>
      <c r="EBJ15" s="475"/>
      <c r="EBK15" s="476"/>
      <c r="EBL15" s="476"/>
      <c r="EBM15" s="476"/>
      <c r="EBN15" s="476"/>
      <c r="EBO15" s="476"/>
      <c r="EBP15" s="476"/>
      <c r="EBQ15" s="476"/>
      <c r="EBR15" s="476"/>
      <c r="EBS15" s="476"/>
      <c r="EBT15" s="476"/>
      <c r="EBU15" s="476"/>
      <c r="EBV15" s="476"/>
      <c r="EBW15" s="477"/>
      <c r="EBX15" s="477"/>
      <c r="EBY15" s="463"/>
      <c r="EBZ15" s="475"/>
      <c r="ECA15" s="476"/>
      <c r="ECB15" s="476"/>
      <c r="ECC15" s="476"/>
      <c r="ECD15" s="476"/>
      <c r="ECE15" s="476"/>
      <c r="ECF15" s="476"/>
      <c r="ECG15" s="476"/>
      <c r="ECH15" s="476"/>
      <c r="ECI15" s="476"/>
      <c r="ECJ15" s="476"/>
      <c r="ECK15" s="476"/>
      <c r="ECL15" s="476"/>
      <c r="ECM15" s="477"/>
      <c r="ECN15" s="477"/>
      <c r="ECO15" s="463"/>
      <c r="ECP15" s="475"/>
      <c r="ECQ15" s="476"/>
      <c r="ECR15" s="476"/>
      <c r="ECS15" s="476"/>
      <c r="ECT15" s="476"/>
      <c r="ECU15" s="476"/>
      <c r="ECV15" s="476"/>
      <c r="ECW15" s="476"/>
      <c r="ECX15" s="476"/>
      <c r="ECY15" s="476"/>
      <c r="ECZ15" s="476"/>
      <c r="EDA15" s="476"/>
      <c r="EDB15" s="476"/>
      <c r="EDC15" s="477"/>
      <c r="EDD15" s="477"/>
      <c r="EDE15" s="463"/>
      <c r="EDF15" s="475"/>
      <c r="EDG15" s="476"/>
      <c r="EDH15" s="476"/>
      <c r="EDI15" s="476"/>
      <c r="EDJ15" s="476"/>
      <c r="EDK15" s="476"/>
      <c r="EDL15" s="476"/>
      <c r="EDM15" s="476"/>
      <c r="EDN15" s="476"/>
      <c r="EDO15" s="476"/>
      <c r="EDP15" s="476"/>
      <c r="EDQ15" s="476"/>
      <c r="EDR15" s="476"/>
      <c r="EDS15" s="477"/>
      <c r="EDT15" s="477"/>
      <c r="EDU15" s="463"/>
      <c r="EDV15" s="475"/>
      <c r="EDW15" s="476"/>
      <c r="EDX15" s="476"/>
      <c r="EDY15" s="476"/>
      <c r="EDZ15" s="476"/>
      <c r="EEA15" s="476"/>
      <c r="EEB15" s="476"/>
      <c r="EEC15" s="476"/>
      <c r="EED15" s="476"/>
      <c r="EEE15" s="476"/>
      <c r="EEF15" s="476"/>
      <c r="EEG15" s="476"/>
      <c r="EEH15" s="476"/>
      <c r="EEI15" s="477"/>
      <c r="EEJ15" s="477"/>
      <c r="EEK15" s="463"/>
      <c r="EEL15" s="475"/>
      <c r="EEM15" s="476"/>
      <c r="EEN15" s="476"/>
      <c r="EEO15" s="476"/>
      <c r="EEP15" s="476"/>
      <c r="EEQ15" s="476"/>
      <c r="EER15" s="476"/>
      <c r="EES15" s="476"/>
      <c r="EET15" s="476"/>
      <c r="EEU15" s="476"/>
      <c r="EEV15" s="476"/>
      <c r="EEW15" s="476"/>
      <c r="EEX15" s="476"/>
      <c r="EEY15" s="477"/>
      <c r="EEZ15" s="477"/>
      <c r="EFA15" s="463"/>
      <c r="EFB15" s="475"/>
      <c r="EFC15" s="476"/>
      <c r="EFD15" s="476"/>
      <c r="EFE15" s="476"/>
      <c r="EFF15" s="476"/>
      <c r="EFG15" s="476"/>
      <c r="EFH15" s="476"/>
      <c r="EFI15" s="476"/>
      <c r="EFJ15" s="476"/>
      <c r="EFK15" s="476"/>
      <c r="EFL15" s="476"/>
      <c r="EFM15" s="476"/>
      <c r="EFN15" s="476"/>
      <c r="EFO15" s="477"/>
      <c r="EFP15" s="477"/>
      <c r="EFQ15" s="463"/>
      <c r="EFR15" s="475"/>
      <c r="EFS15" s="476"/>
      <c r="EFT15" s="476"/>
      <c r="EFU15" s="476"/>
      <c r="EFV15" s="476"/>
      <c r="EFW15" s="476"/>
      <c r="EFX15" s="476"/>
      <c r="EFY15" s="476"/>
      <c r="EFZ15" s="476"/>
      <c r="EGA15" s="476"/>
      <c r="EGB15" s="476"/>
      <c r="EGC15" s="476"/>
      <c r="EGD15" s="476"/>
      <c r="EGE15" s="477"/>
      <c r="EGF15" s="477"/>
      <c r="EGG15" s="463"/>
      <c r="EGH15" s="475"/>
      <c r="EGI15" s="476"/>
      <c r="EGJ15" s="476"/>
      <c r="EGK15" s="476"/>
      <c r="EGL15" s="476"/>
      <c r="EGM15" s="476"/>
      <c r="EGN15" s="476"/>
      <c r="EGO15" s="476"/>
      <c r="EGP15" s="476"/>
      <c r="EGQ15" s="476"/>
      <c r="EGR15" s="476"/>
      <c r="EGS15" s="476"/>
      <c r="EGT15" s="476"/>
      <c r="EGU15" s="477"/>
      <c r="EGV15" s="477"/>
      <c r="EGW15" s="463"/>
      <c r="EGX15" s="475"/>
      <c r="EGY15" s="476"/>
      <c r="EGZ15" s="476"/>
      <c r="EHA15" s="476"/>
      <c r="EHB15" s="476"/>
      <c r="EHC15" s="476"/>
      <c r="EHD15" s="476"/>
      <c r="EHE15" s="476"/>
      <c r="EHF15" s="476"/>
      <c r="EHG15" s="476"/>
      <c r="EHH15" s="476"/>
      <c r="EHI15" s="476"/>
      <c r="EHJ15" s="476"/>
      <c r="EHK15" s="477"/>
      <c r="EHL15" s="477"/>
      <c r="EHM15" s="463"/>
      <c r="EHN15" s="475"/>
      <c r="EHO15" s="476"/>
      <c r="EHP15" s="476"/>
      <c r="EHQ15" s="476"/>
      <c r="EHR15" s="476"/>
      <c r="EHS15" s="476"/>
      <c r="EHT15" s="476"/>
      <c r="EHU15" s="476"/>
      <c r="EHV15" s="476"/>
      <c r="EHW15" s="476"/>
      <c r="EHX15" s="476"/>
      <c r="EHY15" s="476"/>
      <c r="EHZ15" s="476"/>
      <c r="EIA15" s="477"/>
      <c r="EIB15" s="477"/>
      <c r="EIC15" s="463"/>
      <c r="EID15" s="475"/>
      <c r="EIE15" s="476"/>
      <c r="EIF15" s="476"/>
      <c r="EIG15" s="476"/>
      <c r="EIH15" s="476"/>
      <c r="EII15" s="476"/>
      <c r="EIJ15" s="476"/>
      <c r="EIK15" s="476"/>
      <c r="EIL15" s="476"/>
      <c r="EIM15" s="476"/>
      <c r="EIN15" s="476"/>
      <c r="EIO15" s="476"/>
      <c r="EIP15" s="476"/>
      <c r="EIQ15" s="477"/>
      <c r="EIR15" s="477"/>
      <c r="EIS15" s="463"/>
      <c r="EIT15" s="475"/>
      <c r="EIU15" s="476"/>
      <c r="EIV15" s="476"/>
      <c r="EIW15" s="476"/>
      <c r="EIX15" s="476"/>
      <c r="EIY15" s="476"/>
      <c r="EIZ15" s="476"/>
      <c r="EJA15" s="476"/>
      <c r="EJB15" s="476"/>
      <c r="EJC15" s="476"/>
      <c r="EJD15" s="476"/>
      <c r="EJE15" s="476"/>
      <c r="EJF15" s="476"/>
      <c r="EJG15" s="477"/>
      <c r="EJH15" s="477"/>
      <c r="EJI15" s="463"/>
      <c r="EJJ15" s="475"/>
      <c r="EJK15" s="476"/>
      <c r="EJL15" s="476"/>
      <c r="EJM15" s="476"/>
      <c r="EJN15" s="476"/>
      <c r="EJO15" s="476"/>
      <c r="EJP15" s="476"/>
      <c r="EJQ15" s="476"/>
      <c r="EJR15" s="476"/>
      <c r="EJS15" s="476"/>
      <c r="EJT15" s="476"/>
      <c r="EJU15" s="476"/>
      <c r="EJV15" s="476"/>
      <c r="EJW15" s="477"/>
      <c r="EJX15" s="477"/>
      <c r="EJY15" s="463"/>
      <c r="EJZ15" s="475"/>
      <c r="EKA15" s="476"/>
      <c r="EKB15" s="476"/>
      <c r="EKC15" s="476"/>
      <c r="EKD15" s="476"/>
      <c r="EKE15" s="476"/>
      <c r="EKF15" s="476"/>
      <c r="EKG15" s="476"/>
      <c r="EKH15" s="476"/>
      <c r="EKI15" s="476"/>
      <c r="EKJ15" s="476"/>
      <c r="EKK15" s="476"/>
      <c r="EKL15" s="476"/>
      <c r="EKM15" s="477"/>
      <c r="EKN15" s="477"/>
      <c r="EKO15" s="463"/>
      <c r="EKP15" s="475"/>
      <c r="EKQ15" s="476"/>
      <c r="EKR15" s="476"/>
      <c r="EKS15" s="476"/>
      <c r="EKT15" s="476"/>
      <c r="EKU15" s="476"/>
      <c r="EKV15" s="476"/>
      <c r="EKW15" s="476"/>
      <c r="EKX15" s="476"/>
      <c r="EKY15" s="476"/>
      <c r="EKZ15" s="476"/>
      <c r="ELA15" s="476"/>
      <c r="ELB15" s="476"/>
      <c r="ELC15" s="477"/>
      <c r="ELD15" s="477"/>
      <c r="ELE15" s="463"/>
      <c r="ELF15" s="475"/>
      <c r="ELG15" s="476"/>
      <c r="ELH15" s="476"/>
      <c r="ELI15" s="476"/>
      <c r="ELJ15" s="476"/>
      <c r="ELK15" s="476"/>
      <c r="ELL15" s="476"/>
      <c r="ELM15" s="476"/>
      <c r="ELN15" s="476"/>
      <c r="ELO15" s="476"/>
      <c r="ELP15" s="476"/>
      <c r="ELQ15" s="476"/>
      <c r="ELR15" s="476"/>
      <c r="ELS15" s="477"/>
      <c r="ELT15" s="477"/>
      <c r="ELU15" s="463"/>
      <c r="ELV15" s="475"/>
      <c r="ELW15" s="476"/>
      <c r="ELX15" s="476"/>
      <c r="ELY15" s="476"/>
      <c r="ELZ15" s="476"/>
      <c r="EMA15" s="476"/>
      <c r="EMB15" s="476"/>
      <c r="EMC15" s="476"/>
      <c r="EMD15" s="476"/>
      <c r="EME15" s="476"/>
      <c r="EMF15" s="476"/>
      <c r="EMG15" s="476"/>
      <c r="EMH15" s="476"/>
      <c r="EMI15" s="477"/>
      <c r="EMJ15" s="477"/>
      <c r="EMK15" s="463"/>
      <c r="EML15" s="475"/>
      <c r="EMM15" s="476"/>
      <c r="EMN15" s="476"/>
      <c r="EMO15" s="476"/>
      <c r="EMP15" s="476"/>
      <c r="EMQ15" s="476"/>
      <c r="EMR15" s="476"/>
      <c r="EMS15" s="476"/>
      <c r="EMT15" s="476"/>
      <c r="EMU15" s="476"/>
      <c r="EMV15" s="476"/>
      <c r="EMW15" s="476"/>
      <c r="EMX15" s="476"/>
      <c r="EMY15" s="477"/>
      <c r="EMZ15" s="477"/>
      <c r="ENA15" s="463"/>
      <c r="ENB15" s="475"/>
      <c r="ENC15" s="476"/>
      <c r="END15" s="476"/>
      <c r="ENE15" s="476"/>
      <c r="ENF15" s="476"/>
      <c r="ENG15" s="476"/>
      <c r="ENH15" s="476"/>
      <c r="ENI15" s="476"/>
      <c r="ENJ15" s="476"/>
      <c r="ENK15" s="476"/>
      <c r="ENL15" s="476"/>
      <c r="ENM15" s="476"/>
      <c r="ENN15" s="476"/>
      <c r="ENO15" s="477"/>
      <c r="ENP15" s="477"/>
      <c r="ENQ15" s="463"/>
      <c r="ENR15" s="475"/>
      <c r="ENS15" s="476"/>
      <c r="ENT15" s="476"/>
      <c r="ENU15" s="476"/>
      <c r="ENV15" s="476"/>
      <c r="ENW15" s="476"/>
      <c r="ENX15" s="476"/>
      <c r="ENY15" s="476"/>
      <c r="ENZ15" s="476"/>
      <c r="EOA15" s="476"/>
      <c r="EOB15" s="476"/>
      <c r="EOC15" s="476"/>
      <c r="EOD15" s="476"/>
      <c r="EOE15" s="477"/>
      <c r="EOF15" s="477"/>
      <c r="EOG15" s="463"/>
      <c r="EOH15" s="475"/>
      <c r="EOI15" s="476"/>
      <c r="EOJ15" s="476"/>
      <c r="EOK15" s="476"/>
      <c r="EOL15" s="476"/>
      <c r="EOM15" s="476"/>
      <c r="EON15" s="476"/>
      <c r="EOO15" s="476"/>
      <c r="EOP15" s="476"/>
      <c r="EOQ15" s="476"/>
      <c r="EOR15" s="476"/>
      <c r="EOS15" s="476"/>
      <c r="EOT15" s="476"/>
      <c r="EOU15" s="477"/>
      <c r="EOV15" s="477"/>
      <c r="EOW15" s="463"/>
      <c r="EOX15" s="475"/>
      <c r="EOY15" s="476"/>
      <c r="EOZ15" s="476"/>
      <c r="EPA15" s="476"/>
      <c r="EPB15" s="476"/>
      <c r="EPC15" s="476"/>
      <c r="EPD15" s="476"/>
      <c r="EPE15" s="476"/>
      <c r="EPF15" s="476"/>
      <c r="EPG15" s="476"/>
      <c r="EPH15" s="476"/>
      <c r="EPI15" s="476"/>
      <c r="EPJ15" s="476"/>
      <c r="EPK15" s="477"/>
      <c r="EPL15" s="477"/>
      <c r="EPM15" s="463"/>
      <c r="EPN15" s="475"/>
      <c r="EPO15" s="476"/>
      <c r="EPP15" s="476"/>
      <c r="EPQ15" s="476"/>
      <c r="EPR15" s="476"/>
      <c r="EPS15" s="476"/>
      <c r="EPT15" s="476"/>
      <c r="EPU15" s="476"/>
      <c r="EPV15" s="476"/>
      <c r="EPW15" s="476"/>
      <c r="EPX15" s="476"/>
      <c r="EPY15" s="476"/>
      <c r="EPZ15" s="476"/>
      <c r="EQA15" s="477"/>
      <c r="EQB15" s="477"/>
      <c r="EQC15" s="463"/>
      <c r="EQD15" s="475"/>
      <c r="EQE15" s="476"/>
      <c r="EQF15" s="476"/>
      <c r="EQG15" s="476"/>
      <c r="EQH15" s="476"/>
      <c r="EQI15" s="476"/>
      <c r="EQJ15" s="476"/>
      <c r="EQK15" s="476"/>
      <c r="EQL15" s="476"/>
      <c r="EQM15" s="476"/>
      <c r="EQN15" s="476"/>
      <c r="EQO15" s="476"/>
      <c r="EQP15" s="476"/>
      <c r="EQQ15" s="477"/>
      <c r="EQR15" s="477"/>
      <c r="EQS15" s="463"/>
      <c r="EQT15" s="475"/>
      <c r="EQU15" s="476"/>
      <c r="EQV15" s="476"/>
      <c r="EQW15" s="476"/>
      <c r="EQX15" s="476"/>
      <c r="EQY15" s="476"/>
      <c r="EQZ15" s="476"/>
      <c r="ERA15" s="476"/>
      <c r="ERB15" s="476"/>
      <c r="ERC15" s="476"/>
      <c r="ERD15" s="476"/>
      <c r="ERE15" s="476"/>
      <c r="ERF15" s="476"/>
      <c r="ERG15" s="477"/>
      <c r="ERH15" s="477"/>
      <c r="ERI15" s="463"/>
      <c r="ERJ15" s="475"/>
      <c r="ERK15" s="476"/>
      <c r="ERL15" s="476"/>
      <c r="ERM15" s="476"/>
      <c r="ERN15" s="476"/>
      <c r="ERO15" s="476"/>
      <c r="ERP15" s="476"/>
      <c r="ERQ15" s="476"/>
      <c r="ERR15" s="476"/>
      <c r="ERS15" s="476"/>
      <c r="ERT15" s="476"/>
      <c r="ERU15" s="476"/>
      <c r="ERV15" s="476"/>
      <c r="ERW15" s="477"/>
      <c r="ERX15" s="477"/>
      <c r="ERY15" s="463"/>
      <c r="ERZ15" s="475"/>
      <c r="ESA15" s="476"/>
      <c r="ESB15" s="476"/>
      <c r="ESC15" s="476"/>
      <c r="ESD15" s="476"/>
      <c r="ESE15" s="476"/>
      <c r="ESF15" s="476"/>
      <c r="ESG15" s="476"/>
      <c r="ESH15" s="476"/>
      <c r="ESI15" s="476"/>
      <c r="ESJ15" s="476"/>
      <c r="ESK15" s="476"/>
      <c r="ESL15" s="476"/>
      <c r="ESM15" s="477"/>
      <c r="ESN15" s="477"/>
      <c r="ESO15" s="463"/>
      <c r="ESP15" s="475"/>
      <c r="ESQ15" s="476"/>
      <c r="ESR15" s="476"/>
      <c r="ESS15" s="476"/>
      <c r="EST15" s="476"/>
      <c r="ESU15" s="476"/>
      <c r="ESV15" s="476"/>
      <c r="ESW15" s="476"/>
      <c r="ESX15" s="476"/>
      <c r="ESY15" s="476"/>
      <c r="ESZ15" s="476"/>
      <c r="ETA15" s="476"/>
      <c r="ETB15" s="476"/>
      <c r="ETC15" s="477"/>
      <c r="ETD15" s="477"/>
      <c r="ETE15" s="463"/>
      <c r="ETF15" s="475"/>
      <c r="ETG15" s="476"/>
      <c r="ETH15" s="476"/>
      <c r="ETI15" s="476"/>
      <c r="ETJ15" s="476"/>
      <c r="ETK15" s="476"/>
      <c r="ETL15" s="476"/>
      <c r="ETM15" s="476"/>
      <c r="ETN15" s="476"/>
      <c r="ETO15" s="476"/>
      <c r="ETP15" s="476"/>
      <c r="ETQ15" s="476"/>
      <c r="ETR15" s="476"/>
      <c r="ETS15" s="477"/>
      <c r="ETT15" s="477"/>
      <c r="ETU15" s="463"/>
      <c r="ETV15" s="475"/>
      <c r="ETW15" s="476"/>
      <c r="ETX15" s="476"/>
      <c r="ETY15" s="476"/>
      <c r="ETZ15" s="476"/>
      <c r="EUA15" s="476"/>
      <c r="EUB15" s="476"/>
      <c r="EUC15" s="476"/>
      <c r="EUD15" s="476"/>
      <c r="EUE15" s="476"/>
      <c r="EUF15" s="476"/>
      <c r="EUG15" s="476"/>
      <c r="EUH15" s="476"/>
      <c r="EUI15" s="477"/>
      <c r="EUJ15" s="477"/>
      <c r="EUK15" s="463"/>
      <c r="EUL15" s="475"/>
      <c r="EUM15" s="476"/>
      <c r="EUN15" s="476"/>
      <c r="EUO15" s="476"/>
      <c r="EUP15" s="476"/>
      <c r="EUQ15" s="476"/>
      <c r="EUR15" s="476"/>
      <c r="EUS15" s="476"/>
      <c r="EUT15" s="476"/>
      <c r="EUU15" s="476"/>
      <c r="EUV15" s="476"/>
      <c r="EUW15" s="476"/>
      <c r="EUX15" s="476"/>
      <c r="EUY15" s="477"/>
      <c r="EUZ15" s="477"/>
      <c r="EVA15" s="463"/>
      <c r="EVB15" s="475"/>
      <c r="EVC15" s="476"/>
      <c r="EVD15" s="476"/>
      <c r="EVE15" s="476"/>
      <c r="EVF15" s="476"/>
      <c r="EVG15" s="476"/>
      <c r="EVH15" s="476"/>
      <c r="EVI15" s="476"/>
      <c r="EVJ15" s="476"/>
      <c r="EVK15" s="476"/>
      <c r="EVL15" s="476"/>
      <c r="EVM15" s="476"/>
      <c r="EVN15" s="476"/>
      <c r="EVO15" s="477"/>
      <c r="EVP15" s="477"/>
      <c r="EVQ15" s="463"/>
      <c r="EVR15" s="475"/>
      <c r="EVS15" s="476"/>
      <c r="EVT15" s="476"/>
      <c r="EVU15" s="476"/>
      <c r="EVV15" s="476"/>
      <c r="EVW15" s="476"/>
      <c r="EVX15" s="476"/>
      <c r="EVY15" s="476"/>
      <c r="EVZ15" s="476"/>
      <c r="EWA15" s="476"/>
      <c r="EWB15" s="476"/>
      <c r="EWC15" s="476"/>
      <c r="EWD15" s="476"/>
      <c r="EWE15" s="477"/>
      <c r="EWF15" s="477"/>
      <c r="EWG15" s="463"/>
      <c r="EWH15" s="475"/>
      <c r="EWI15" s="476"/>
      <c r="EWJ15" s="476"/>
      <c r="EWK15" s="476"/>
      <c r="EWL15" s="476"/>
      <c r="EWM15" s="476"/>
      <c r="EWN15" s="476"/>
      <c r="EWO15" s="476"/>
      <c r="EWP15" s="476"/>
      <c r="EWQ15" s="476"/>
      <c r="EWR15" s="476"/>
      <c r="EWS15" s="476"/>
      <c r="EWT15" s="476"/>
      <c r="EWU15" s="477"/>
      <c r="EWV15" s="477"/>
      <c r="EWW15" s="463"/>
      <c r="EWX15" s="475"/>
      <c r="EWY15" s="476"/>
      <c r="EWZ15" s="476"/>
      <c r="EXA15" s="476"/>
      <c r="EXB15" s="476"/>
      <c r="EXC15" s="476"/>
      <c r="EXD15" s="476"/>
      <c r="EXE15" s="476"/>
      <c r="EXF15" s="476"/>
      <c r="EXG15" s="476"/>
      <c r="EXH15" s="476"/>
      <c r="EXI15" s="476"/>
      <c r="EXJ15" s="476"/>
      <c r="EXK15" s="477"/>
      <c r="EXL15" s="477"/>
      <c r="EXM15" s="463"/>
      <c r="EXN15" s="475"/>
      <c r="EXO15" s="476"/>
      <c r="EXP15" s="476"/>
      <c r="EXQ15" s="476"/>
      <c r="EXR15" s="476"/>
      <c r="EXS15" s="476"/>
      <c r="EXT15" s="476"/>
      <c r="EXU15" s="476"/>
      <c r="EXV15" s="476"/>
      <c r="EXW15" s="476"/>
      <c r="EXX15" s="476"/>
      <c r="EXY15" s="476"/>
      <c r="EXZ15" s="476"/>
      <c r="EYA15" s="477"/>
      <c r="EYB15" s="477"/>
      <c r="EYC15" s="463"/>
      <c r="EYD15" s="475"/>
      <c r="EYE15" s="476"/>
      <c r="EYF15" s="476"/>
      <c r="EYG15" s="476"/>
      <c r="EYH15" s="476"/>
      <c r="EYI15" s="476"/>
      <c r="EYJ15" s="476"/>
      <c r="EYK15" s="476"/>
      <c r="EYL15" s="476"/>
      <c r="EYM15" s="476"/>
      <c r="EYN15" s="476"/>
      <c r="EYO15" s="476"/>
      <c r="EYP15" s="476"/>
      <c r="EYQ15" s="477"/>
      <c r="EYR15" s="477"/>
      <c r="EYS15" s="463"/>
      <c r="EYT15" s="475"/>
      <c r="EYU15" s="476"/>
      <c r="EYV15" s="476"/>
      <c r="EYW15" s="476"/>
      <c r="EYX15" s="476"/>
      <c r="EYY15" s="476"/>
      <c r="EYZ15" s="476"/>
      <c r="EZA15" s="476"/>
      <c r="EZB15" s="476"/>
      <c r="EZC15" s="476"/>
      <c r="EZD15" s="476"/>
      <c r="EZE15" s="476"/>
      <c r="EZF15" s="476"/>
      <c r="EZG15" s="477"/>
      <c r="EZH15" s="477"/>
      <c r="EZI15" s="463"/>
      <c r="EZJ15" s="475"/>
      <c r="EZK15" s="476"/>
      <c r="EZL15" s="476"/>
      <c r="EZM15" s="476"/>
      <c r="EZN15" s="476"/>
      <c r="EZO15" s="476"/>
      <c r="EZP15" s="476"/>
      <c r="EZQ15" s="476"/>
      <c r="EZR15" s="476"/>
      <c r="EZS15" s="476"/>
      <c r="EZT15" s="476"/>
      <c r="EZU15" s="476"/>
      <c r="EZV15" s="476"/>
      <c r="EZW15" s="477"/>
      <c r="EZX15" s="477"/>
      <c r="EZY15" s="463"/>
      <c r="EZZ15" s="475"/>
      <c r="FAA15" s="476"/>
      <c r="FAB15" s="476"/>
      <c r="FAC15" s="476"/>
      <c r="FAD15" s="476"/>
      <c r="FAE15" s="476"/>
      <c r="FAF15" s="476"/>
      <c r="FAG15" s="476"/>
      <c r="FAH15" s="476"/>
      <c r="FAI15" s="476"/>
      <c r="FAJ15" s="476"/>
      <c r="FAK15" s="476"/>
      <c r="FAL15" s="476"/>
      <c r="FAM15" s="477"/>
      <c r="FAN15" s="477"/>
      <c r="FAO15" s="463"/>
      <c r="FAP15" s="475"/>
      <c r="FAQ15" s="476"/>
      <c r="FAR15" s="476"/>
      <c r="FAS15" s="476"/>
      <c r="FAT15" s="476"/>
      <c r="FAU15" s="476"/>
      <c r="FAV15" s="476"/>
      <c r="FAW15" s="476"/>
      <c r="FAX15" s="476"/>
      <c r="FAY15" s="476"/>
      <c r="FAZ15" s="476"/>
      <c r="FBA15" s="476"/>
      <c r="FBB15" s="476"/>
      <c r="FBC15" s="477"/>
      <c r="FBD15" s="477"/>
      <c r="FBE15" s="463"/>
      <c r="FBF15" s="475"/>
      <c r="FBG15" s="476"/>
      <c r="FBH15" s="476"/>
      <c r="FBI15" s="476"/>
      <c r="FBJ15" s="476"/>
      <c r="FBK15" s="476"/>
      <c r="FBL15" s="476"/>
      <c r="FBM15" s="476"/>
      <c r="FBN15" s="476"/>
      <c r="FBO15" s="476"/>
      <c r="FBP15" s="476"/>
      <c r="FBQ15" s="476"/>
      <c r="FBR15" s="476"/>
      <c r="FBS15" s="477"/>
      <c r="FBT15" s="477"/>
      <c r="FBU15" s="463"/>
      <c r="FBV15" s="475"/>
      <c r="FBW15" s="476"/>
      <c r="FBX15" s="476"/>
      <c r="FBY15" s="476"/>
      <c r="FBZ15" s="476"/>
      <c r="FCA15" s="476"/>
      <c r="FCB15" s="476"/>
      <c r="FCC15" s="476"/>
      <c r="FCD15" s="476"/>
      <c r="FCE15" s="476"/>
      <c r="FCF15" s="476"/>
      <c r="FCG15" s="476"/>
      <c r="FCH15" s="476"/>
      <c r="FCI15" s="477"/>
      <c r="FCJ15" s="477"/>
      <c r="FCK15" s="463"/>
      <c r="FCL15" s="475"/>
      <c r="FCM15" s="476"/>
      <c r="FCN15" s="476"/>
      <c r="FCO15" s="476"/>
      <c r="FCP15" s="476"/>
      <c r="FCQ15" s="476"/>
      <c r="FCR15" s="476"/>
      <c r="FCS15" s="476"/>
      <c r="FCT15" s="476"/>
      <c r="FCU15" s="476"/>
      <c r="FCV15" s="476"/>
      <c r="FCW15" s="476"/>
      <c r="FCX15" s="476"/>
      <c r="FCY15" s="477"/>
      <c r="FCZ15" s="477"/>
      <c r="FDA15" s="463"/>
      <c r="FDB15" s="475"/>
      <c r="FDC15" s="476"/>
      <c r="FDD15" s="476"/>
      <c r="FDE15" s="476"/>
      <c r="FDF15" s="476"/>
      <c r="FDG15" s="476"/>
      <c r="FDH15" s="476"/>
      <c r="FDI15" s="476"/>
      <c r="FDJ15" s="476"/>
      <c r="FDK15" s="476"/>
      <c r="FDL15" s="476"/>
      <c r="FDM15" s="476"/>
      <c r="FDN15" s="476"/>
      <c r="FDO15" s="477"/>
      <c r="FDP15" s="477"/>
      <c r="FDQ15" s="463"/>
      <c r="FDR15" s="475"/>
      <c r="FDS15" s="476"/>
      <c r="FDT15" s="476"/>
      <c r="FDU15" s="476"/>
      <c r="FDV15" s="476"/>
      <c r="FDW15" s="476"/>
      <c r="FDX15" s="476"/>
      <c r="FDY15" s="476"/>
      <c r="FDZ15" s="476"/>
      <c r="FEA15" s="476"/>
      <c r="FEB15" s="476"/>
      <c r="FEC15" s="476"/>
      <c r="FED15" s="476"/>
      <c r="FEE15" s="477"/>
      <c r="FEF15" s="477"/>
      <c r="FEG15" s="463"/>
      <c r="FEH15" s="475"/>
      <c r="FEI15" s="476"/>
      <c r="FEJ15" s="476"/>
      <c r="FEK15" s="476"/>
      <c r="FEL15" s="476"/>
      <c r="FEM15" s="476"/>
      <c r="FEN15" s="476"/>
      <c r="FEO15" s="476"/>
      <c r="FEP15" s="476"/>
      <c r="FEQ15" s="476"/>
      <c r="FER15" s="476"/>
      <c r="FES15" s="476"/>
      <c r="FET15" s="476"/>
      <c r="FEU15" s="477"/>
      <c r="FEV15" s="477"/>
      <c r="FEW15" s="463"/>
      <c r="FEX15" s="475"/>
      <c r="FEY15" s="476"/>
      <c r="FEZ15" s="476"/>
      <c r="FFA15" s="476"/>
      <c r="FFB15" s="476"/>
      <c r="FFC15" s="476"/>
      <c r="FFD15" s="476"/>
      <c r="FFE15" s="476"/>
      <c r="FFF15" s="476"/>
      <c r="FFG15" s="476"/>
      <c r="FFH15" s="476"/>
      <c r="FFI15" s="476"/>
      <c r="FFJ15" s="476"/>
      <c r="FFK15" s="477"/>
      <c r="FFL15" s="477"/>
      <c r="FFM15" s="463"/>
      <c r="FFN15" s="475"/>
      <c r="FFO15" s="476"/>
      <c r="FFP15" s="476"/>
      <c r="FFQ15" s="476"/>
      <c r="FFR15" s="476"/>
      <c r="FFS15" s="476"/>
      <c r="FFT15" s="476"/>
      <c r="FFU15" s="476"/>
      <c r="FFV15" s="476"/>
      <c r="FFW15" s="476"/>
      <c r="FFX15" s="476"/>
      <c r="FFY15" s="476"/>
      <c r="FFZ15" s="476"/>
      <c r="FGA15" s="477"/>
      <c r="FGB15" s="477"/>
      <c r="FGC15" s="463"/>
      <c r="FGD15" s="475"/>
      <c r="FGE15" s="476"/>
      <c r="FGF15" s="476"/>
      <c r="FGG15" s="476"/>
      <c r="FGH15" s="476"/>
      <c r="FGI15" s="476"/>
      <c r="FGJ15" s="476"/>
      <c r="FGK15" s="476"/>
      <c r="FGL15" s="476"/>
      <c r="FGM15" s="476"/>
      <c r="FGN15" s="476"/>
      <c r="FGO15" s="476"/>
      <c r="FGP15" s="476"/>
      <c r="FGQ15" s="477"/>
      <c r="FGR15" s="477"/>
      <c r="FGS15" s="463"/>
      <c r="FGT15" s="475"/>
      <c r="FGU15" s="476"/>
      <c r="FGV15" s="476"/>
      <c r="FGW15" s="476"/>
      <c r="FGX15" s="476"/>
      <c r="FGY15" s="476"/>
      <c r="FGZ15" s="476"/>
      <c r="FHA15" s="476"/>
      <c r="FHB15" s="476"/>
      <c r="FHC15" s="476"/>
      <c r="FHD15" s="476"/>
      <c r="FHE15" s="476"/>
      <c r="FHF15" s="476"/>
      <c r="FHG15" s="477"/>
      <c r="FHH15" s="477"/>
      <c r="FHI15" s="463"/>
      <c r="FHJ15" s="475"/>
      <c r="FHK15" s="476"/>
      <c r="FHL15" s="476"/>
      <c r="FHM15" s="476"/>
      <c r="FHN15" s="476"/>
      <c r="FHO15" s="476"/>
      <c r="FHP15" s="476"/>
      <c r="FHQ15" s="476"/>
      <c r="FHR15" s="476"/>
      <c r="FHS15" s="476"/>
      <c r="FHT15" s="476"/>
      <c r="FHU15" s="476"/>
      <c r="FHV15" s="476"/>
      <c r="FHW15" s="477"/>
      <c r="FHX15" s="477"/>
      <c r="FHY15" s="463"/>
      <c r="FHZ15" s="475"/>
      <c r="FIA15" s="476"/>
      <c r="FIB15" s="476"/>
      <c r="FIC15" s="476"/>
      <c r="FID15" s="476"/>
      <c r="FIE15" s="476"/>
      <c r="FIF15" s="476"/>
      <c r="FIG15" s="476"/>
      <c r="FIH15" s="476"/>
      <c r="FII15" s="476"/>
      <c r="FIJ15" s="476"/>
      <c r="FIK15" s="476"/>
      <c r="FIL15" s="476"/>
      <c r="FIM15" s="477"/>
      <c r="FIN15" s="477"/>
      <c r="FIO15" s="463"/>
      <c r="FIP15" s="475"/>
      <c r="FIQ15" s="476"/>
      <c r="FIR15" s="476"/>
      <c r="FIS15" s="476"/>
      <c r="FIT15" s="476"/>
      <c r="FIU15" s="476"/>
      <c r="FIV15" s="476"/>
      <c r="FIW15" s="476"/>
      <c r="FIX15" s="476"/>
      <c r="FIY15" s="476"/>
      <c r="FIZ15" s="476"/>
      <c r="FJA15" s="476"/>
      <c r="FJB15" s="476"/>
      <c r="FJC15" s="477"/>
      <c r="FJD15" s="477"/>
      <c r="FJE15" s="463"/>
      <c r="FJF15" s="475"/>
      <c r="FJG15" s="476"/>
      <c r="FJH15" s="476"/>
      <c r="FJI15" s="476"/>
      <c r="FJJ15" s="476"/>
      <c r="FJK15" s="476"/>
      <c r="FJL15" s="476"/>
      <c r="FJM15" s="476"/>
      <c r="FJN15" s="476"/>
      <c r="FJO15" s="476"/>
      <c r="FJP15" s="476"/>
      <c r="FJQ15" s="476"/>
      <c r="FJR15" s="476"/>
      <c r="FJS15" s="477"/>
      <c r="FJT15" s="477"/>
      <c r="FJU15" s="463"/>
      <c r="FJV15" s="475"/>
      <c r="FJW15" s="476"/>
      <c r="FJX15" s="476"/>
      <c r="FJY15" s="476"/>
      <c r="FJZ15" s="476"/>
      <c r="FKA15" s="476"/>
      <c r="FKB15" s="476"/>
      <c r="FKC15" s="476"/>
      <c r="FKD15" s="476"/>
      <c r="FKE15" s="476"/>
      <c r="FKF15" s="476"/>
      <c r="FKG15" s="476"/>
      <c r="FKH15" s="476"/>
      <c r="FKI15" s="477"/>
      <c r="FKJ15" s="477"/>
      <c r="FKK15" s="463"/>
      <c r="FKL15" s="475"/>
      <c r="FKM15" s="476"/>
      <c r="FKN15" s="476"/>
      <c r="FKO15" s="476"/>
      <c r="FKP15" s="476"/>
      <c r="FKQ15" s="476"/>
      <c r="FKR15" s="476"/>
      <c r="FKS15" s="476"/>
      <c r="FKT15" s="476"/>
      <c r="FKU15" s="476"/>
      <c r="FKV15" s="476"/>
      <c r="FKW15" s="476"/>
      <c r="FKX15" s="476"/>
      <c r="FKY15" s="477"/>
      <c r="FKZ15" s="477"/>
      <c r="FLA15" s="463"/>
      <c r="FLB15" s="475"/>
      <c r="FLC15" s="476"/>
      <c r="FLD15" s="476"/>
      <c r="FLE15" s="476"/>
      <c r="FLF15" s="476"/>
      <c r="FLG15" s="476"/>
      <c r="FLH15" s="476"/>
      <c r="FLI15" s="476"/>
      <c r="FLJ15" s="476"/>
      <c r="FLK15" s="476"/>
      <c r="FLL15" s="476"/>
      <c r="FLM15" s="476"/>
      <c r="FLN15" s="476"/>
      <c r="FLO15" s="477"/>
      <c r="FLP15" s="477"/>
      <c r="FLQ15" s="463"/>
      <c r="FLR15" s="475"/>
      <c r="FLS15" s="476"/>
      <c r="FLT15" s="476"/>
      <c r="FLU15" s="476"/>
      <c r="FLV15" s="476"/>
      <c r="FLW15" s="476"/>
      <c r="FLX15" s="476"/>
      <c r="FLY15" s="476"/>
      <c r="FLZ15" s="476"/>
      <c r="FMA15" s="476"/>
      <c r="FMB15" s="476"/>
      <c r="FMC15" s="476"/>
      <c r="FMD15" s="476"/>
      <c r="FME15" s="477"/>
      <c r="FMF15" s="477"/>
      <c r="FMG15" s="463"/>
      <c r="FMH15" s="475"/>
      <c r="FMI15" s="476"/>
      <c r="FMJ15" s="476"/>
      <c r="FMK15" s="476"/>
      <c r="FML15" s="476"/>
      <c r="FMM15" s="476"/>
      <c r="FMN15" s="476"/>
      <c r="FMO15" s="476"/>
      <c r="FMP15" s="476"/>
      <c r="FMQ15" s="476"/>
      <c r="FMR15" s="476"/>
      <c r="FMS15" s="476"/>
      <c r="FMT15" s="476"/>
      <c r="FMU15" s="477"/>
      <c r="FMV15" s="477"/>
      <c r="FMW15" s="463"/>
      <c r="FMX15" s="475"/>
      <c r="FMY15" s="476"/>
      <c r="FMZ15" s="476"/>
      <c r="FNA15" s="476"/>
      <c r="FNB15" s="476"/>
      <c r="FNC15" s="476"/>
      <c r="FND15" s="476"/>
      <c r="FNE15" s="476"/>
      <c r="FNF15" s="476"/>
      <c r="FNG15" s="476"/>
      <c r="FNH15" s="476"/>
      <c r="FNI15" s="476"/>
      <c r="FNJ15" s="476"/>
      <c r="FNK15" s="477"/>
      <c r="FNL15" s="477"/>
      <c r="FNM15" s="463"/>
      <c r="FNN15" s="475"/>
      <c r="FNO15" s="476"/>
      <c r="FNP15" s="476"/>
      <c r="FNQ15" s="476"/>
      <c r="FNR15" s="476"/>
      <c r="FNS15" s="476"/>
      <c r="FNT15" s="476"/>
      <c r="FNU15" s="476"/>
      <c r="FNV15" s="476"/>
      <c r="FNW15" s="476"/>
      <c r="FNX15" s="476"/>
      <c r="FNY15" s="476"/>
      <c r="FNZ15" s="476"/>
      <c r="FOA15" s="477"/>
      <c r="FOB15" s="477"/>
      <c r="FOC15" s="463"/>
      <c r="FOD15" s="475"/>
      <c r="FOE15" s="476"/>
      <c r="FOF15" s="476"/>
      <c r="FOG15" s="476"/>
      <c r="FOH15" s="476"/>
      <c r="FOI15" s="476"/>
      <c r="FOJ15" s="476"/>
      <c r="FOK15" s="476"/>
      <c r="FOL15" s="476"/>
      <c r="FOM15" s="476"/>
      <c r="FON15" s="476"/>
      <c r="FOO15" s="476"/>
      <c r="FOP15" s="476"/>
      <c r="FOQ15" s="477"/>
      <c r="FOR15" s="477"/>
      <c r="FOS15" s="463"/>
      <c r="FOT15" s="475"/>
      <c r="FOU15" s="476"/>
      <c r="FOV15" s="476"/>
      <c r="FOW15" s="476"/>
      <c r="FOX15" s="476"/>
      <c r="FOY15" s="476"/>
      <c r="FOZ15" s="476"/>
      <c r="FPA15" s="476"/>
      <c r="FPB15" s="476"/>
      <c r="FPC15" s="476"/>
      <c r="FPD15" s="476"/>
      <c r="FPE15" s="476"/>
      <c r="FPF15" s="476"/>
      <c r="FPG15" s="477"/>
      <c r="FPH15" s="477"/>
      <c r="FPI15" s="463"/>
      <c r="FPJ15" s="475"/>
      <c r="FPK15" s="476"/>
      <c r="FPL15" s="476"/>
      <c r="FPM15" s="476"/>
      <c r="FPN15" s="476"/>
      <c r="FPO15" s="476"/>
      <c r="FPP15" s="476"/>
      <c r="FPQ15" s="476"/>
      <c r="FPR15" s="476"/>
      <c r="FPS15" s="476"/>
      <c r="FPT15" s="476"/>
      <c r="FPU15" s="476"/>
      <c r="FPV15" s="476"/>
      <c r="FPW15" s="477"/>
      <c r="FPX15" s="477"/>
      <c r="FPY15" s="463"/>
      <c r="FPZ15" s="475"/>
      <c r="FQA15" s="476"/>
      <c r="FQB15" s="476"/>
      <c r="FQC15" s="476"/>
      <c r="FQD15" s="476"/>
      <c r="FQE15" s="476"/>
      <c r="FQF15" s="476"/>
      <c r="FQG15" s="476"/>
      <c r="FQH15" s="476"/>
      <c r="FQI15" s="476"/>
      <c r="FQJ15" s="476"/>
      <c r="FQK15" s="476"/>
      <c r="FQL15" s="476"/>
      <c r="FQM15" s="477"/>
      <c r="FQN15" s="477"/>
      <c r="FQO15" s="463"/>
      <c r="FQP15" s="475"/>
      <c r="FQQ15" s="476"/>
      <c r="FQR15" s="476"/>
      <c r="FQS15" s="476"/>
      <c r="FQT15" s="476"/>
      <c r="FQU15" s="476"/>
      <c r="FQV15" s="476"/>
      <c r="FQW15" s="476"/>
      <c r="FQX15" s="476"/>
      <c r="FQY15" s="476"/>
      <c r="FQZ15" s="476"/>
      <c r="FRA15" s="476"/>
      <c r="FRB15" s="476"/>
      <c r="FRC15" s="477"/>
      <c r="FRD15" s="477"/>
      <c r="FRE15" s="463"/>
      <c r="FRF15" s="475"/>
      <c r="FRG15" s="476"/>
      <c r="FRH15" s="476"/>
      <c r="FRI15" s="476"/>
      <c r="FRJ15" s="476"/>
      <c r="FRK15" s="476"/>
      <c r="FRL15" s="476"/>
      <c r="FRM15" s="476"/>
      <c r="FRN15" s="476"/>
      <c r="FRO15" s="476"/>
      <c r="FRP15" s="476"/>
      <c r="FRQ15" s="476"/>
      <c r="FRR15" s="476"/>
      <c r="FRS15" s="477"/>
      <c r="FRT15" s="477"/>
      <c r="FRU15" s="463"/>
      <c r="FRV15" s="475"/>
      <c r="FRW15" s="476"/>
      <c r="FRX15" s="476"/>
      <c r="FRY15" s="476"/>
      <c r="FRZ15" s="476"/>
      <c r="FSA15" s="476"/>
      <c r="FSB15" s="476"/>
      <c r="FSC15" s="476"/>
      <c r="FSD15" s="476"/>
      <c r="FSE15" s="476"/>
      <c r="FSF15" s="476"/>
      <c r="FSG15" s="476"/>
      <c r="FSH15" s="476"/>
      <c r="FSI15" s="477"/>
      <c r="FSJ15" s="477"/>
      <c r="FSK15" s="463"/>
      <c r="FSL15" s="475"/>
      <c r="FSM15" s="476"/>
      <c r="FSN15" s="476"/>
      <c r="FSO15" s="476"/>
      <c r="FSP15" s="476"/>
      <c r="FSQ15" s="476"/>
      <c r="FSR15" s="476"/>
      <c r="FSS15" s="476"/>
      <c r="FST15" s="476"/>
      <c r="FSU15" s="476"/>
      <c r="FSV15" s="476"/>
      <c r="FSW15" s="476"/>
      <c r="FSX15" s="476"/>
      <c r="FSY15" s="477"/>
      <c r="FSZ15" s="477"/>
      <c r="FTA15" s="463"/>
      <c r="FTB15" s="475"/>
      <c r="FTC15" s="476"/>
      <c r="FTD15" s="476"/>
      <c r="FTE15" s="476"/>
      <c r="FTF15" s="476"/>
      <c r="FTG15" s="476"/>
      <c r="FTH15" s="476"/>
      <c r="FTI15" s="476"/>
      <c r="FTJ15" s="476"/>
      <c r="FTK15" s="476"/>
      <c r="FTL15" s="476"/>
      <c r="FTM15" s="476"/>
      <c r="FTN15" s="476"/>
      <c r="FTO15" s="477"/>
      <c r="FTP15" s="477"/>
      <c r="FTQ15" s="463"/>
      <c r="FTR15" s="475"/>
      <c r="FTS15" s="476"/>
      <c r="FTT15" s="476"/>
      <c r="FTU15" s="476"/>
      <c r="FTV15" s="476"/>
      <c r="FTW15" s="476"/>
      <c r="FTX15" s="476"/>
      <c r="FTY15" s="476"/>
      <c r="FTZ15" s="476"/>
      <c r="FUA15" s="476"/>
      <c r="FUB15" s="476"/>
      <c r="FUC15" s="476"/>
      <c r="FUD15" s="476"/>
      <c r="FUE15" s="477"/>
      <c r="FUF15" s="477"/>
      <c r="FUG15" s="463"/>
      <c r="FUH15" s="475"/>
      <c r="FUI15" s="476"/>
      <c r="FUJ15" s="476"/>
      <c r="FUK15" s="476"/>
      <c r="FUL15" s="476"/>
      <c r="FUM15" s="476"/>
      <c r="FUN15" s="476"/>
      <c r="FUO15" s="476"/>
      <c r="FUP15" s="476"/>
      <c r="FUQ15" s="476"/>
      <c r="FUR15" s="476"/>
      <c r="FUS15" s="476"/>
      <c r="FUT15" s="476"/>
      <c r="FUU15" s="477"/>
      <c r="FUV15" s="477"/>
      <c r="FUW15" s="463"/>
      <c r="FUX15" s="475"/>
      <c r="FUY15" s="476"/>
      <c r="FUZ15" s="476"/>
      <c r="FVA15" s="476"/>
      <c r="FVB15" s="476"/>
      <c r="FVC15" s="476"/>
      <c r="FVD15" s="476"/>
      <c r="FVE15" s="476"/>
      <c r="FVF15" s="476"/>
      <c r="FVG15" s="476"/>
      <c r="FVH15" s="476"/>
      <c r="FVI15" s="476"/>
      <c r="FVJ15" s="476"/>
      <c r="FVK15" s="477"/>
      <c r="FVL15" s="477"/>
      <c r="FVM15" s="463"/>
      <c r="FVN15" s="475"/>
      <c r="FVO15" s="476"/>
      <c r="FVP15" s="476"/>
      <c r="FVQ15" s="476"/>
      <c r="FVR15" s="476"/>
      <c r="FVS15" s="476"/>
      <c r="FVT15" s="476"/>
      <c r="FVU15" s="476"/>
      <c r="FVV15" s="476"/>
      <c r="FVW15" s="476"/>
      <c r="FVX15" s="476"/>
      <c r="FVY15" s="476"/>
      <c r="FVZ15" s="476"/>
      <c r="FWA15" s="477"/>
      <c r="FWB15" s="477"/>
      <c r="FWC15" s="463"/>
      <c r="FWD15" s="475"/>
      <c r="FWE15" s="476"/>
      <c r="FWF15" s="476"/>
      <c r="FWG15" s="476"/>
      <c r="FWH15" s="476"/>
      <c r="FWI15" s="476"/>
      <c r="FWJ15" s="476"/>
      <c r="FWK15" s="476"/>
      <c r="FWL15" s="476"/>
      <c r="FWM15" s="476"/>
      <c r="FWN15" s="476"/>
      <c r="FWO15" s="476"/>
      <c r="FWP15" s="476"/>
      <c r="FWQ15" s="477"/>
      <c r="FWR15" s="477"/>
      <c r="FWS15" s="463"/>
      <c r="FWT15" s="475"/>
      <c r="FWU15" s="476"/>
      <c r="FWV15" s="476"/>
      <c r="FWW15" s="476"/>
      <c r="FWX15" s="476"/>
      <c r="FWY15" s="476"/>
      <c r="FWZ15" s="476"/>
      <c r="FXA15" s="476"/>
      <c r="FXB15" s="476"/>
      <c r="FXC15" s="476"/>
      <c r="FXD15" s="476"/>
      <c r="FXE15" s="476"/>
      <c r="FXF15" s="476"/>
      <c r="FXG15" s="477"/>
      <c r="FXH15" s="477"/>
      <c r="FXI15" s="463"/>
      <c r="FXJ15" s="475"/>
      <c r="FXK15" s="476"/>
      <c r="FXL15" s="476"/>
      <c r="FXM15" s="476"/>
      <c r="FXN15" s="476"/>
      <c r="FXO15" s="476"/>
      <c r="FXP15" s="476"/>
      <c r="FXQ15" s="476"/>
      <c r="FXR15" s="476"/>
      <c r="FXS15" s="476"/>
      <c r="FXT15" s="476"/>
      <c r="FXU15" s="476"/>
      <c r="FXV15" s="476"/>
      <c r="FXW15" s="477"/>
      <c r="FXX15" s="477"/>
      <c r="FXY15" s="463"/>
      <c r="FXZ15" s="475"/>
      <c r="FYA15" s="476"/>
      <c r="FYB15" s="476"/>
      <c r="FYC15" s="476"/>
      <c r="FYD15" s="476"/>
      <c r="FYE15" s="476"/>
      <c r="FYF15" s="476"/>
      <c r="FYG15" s="476"/>
      <c r="FYH15" s="476"/>
      <c r="FYI15" s="476"/>
      <c r="FYJ15" s="476"/>
      <c r="FYK15" s="476"/>
      <c r="FYL15" s="476"/>
      <c r="FYM15" s="477"/>
      <c r="FYN15" s="477"/>
      <c r="FYO15" s="463"/>
      <c r="FYP15" s="475"/>
      <c r="FYQ15" s="476"/>
      <c r="FYR15" s="476"/>
      <c r="FYS15" s="476"/>
      <c r="FYT15" s="476"/>
      <c r="FYU15" s="476"/>
      <c r="FYV15" s="476"/>
      <c r="FYW15" s="476"/>
      <c r="FYX15" s="476"/>
      <c r="FYY15" s="476"/>
      <c r="FYZ15" s="476"/>
      <c r="FZA15" s="476"/>
      <c r="FZB15" s="476"/>
      <c r="FZC15" s="477"/>
      <c r="FZD15" s="477"/>
      <c r="FZE15" s="463"/>
      <c r="FZF15" s="475"/>
      <c r="FZG15" s="476"/>
      <c r="FZH15" s="476"/>
      <c r="FZI15" s="476"/>
      <c r="FZJ15" s="476"/>
      <c r="FZK15" s="476"/>
      <c r="FZL15" s="476"/>
      <c r="FZM15" s="476"/>
      <c r="FZN15" s="476"/>
      <c r="FZO15" s="476"/>
      <c r="FZP15" s="476"/>
      <c r="FZQ15" s="476"/>
      <c r="FZR15" s="476"/>
      <c r="FZS15" s="477"/>
      <c r="FZT15" s="477"/>
      <c r="FZU15" s="463"/>
      <c r="FZV15" s="475"/>
      <c r="FZW15" s="476"/>
      <c r="FZX15" s="476"/>
      <c r="FZY15" s="476"/>
      <c r="FZZ15" s="476"/>
      <c r="GAA15" s="476"/>
      <c r="GAB15" s="476"/>
      <c r="GAC15" s="476"/>
      <c r="GAD15" s="476"/>
      <c r="GAE15" s="476"/>
      <c r="GAF15" s="476"/>
      <c r="GAG15" s="476"/>
      <c r="GAH15" s="476"/>
      <c r="GAI15" s="477"/>
      <c r="GAJ15" s="477"/>
      <c r="GAK15" s="463"/>
      <c r="GAL15" s="475"/>
      <c r="GAM15" s="476"/>
      <c r="GAN15" s="476"/>
      <c r="GAO15" s="476"/>
      <c r="GAP15" s="476"/>
      <c r="GAQ15" s="476"/>
      <c r="GAR15" s="476"/>
      <c r="GAS15" s="476"/>
      <c r="GAT15" s="476"/>
      <c r="GAU15" s="476"/>
      <c r="GAV15" s="476"/>
      <c r="GAW15" s="476"/>
      <c r="GAX15" s="476"/>
      <c r="GAY15" s="477"/>
      <c r="GAZ15" s="477"/>
      <c r="GBA15" s="463"/>
      <c r="GBB15" s="475"/>
      <c r="GBC15" s="476"/>
      <c r="GBD15" s="476"/>
      <c r="GBE15" s="476"/>
      <c r="GBF15" s="476"/>
      <c r="GBG15" s="476"/>
      <c r="GBH15" s="476"/>
      <c r="GBI15" s="476"/>
      <c r="GBJ15" s="476"/>
      <c r="GBK15" s="476"/>
      <c r="GBL15" s="476"/>
      <c r="GBM15" s="476"/>
      <c r="GBN15" s="476"/>
      <c r="GBO15" s="477"/>
      <c r="GBP15" s="477"/>
      <c r="GBQ15" s="463"/>
      <c r="GBR15" s="475"/>
      <c r="GBS15" s="476"/>
      <c r="GBT15" s="476"/>
      <c r="GBU15" s="476"/>
      <c r="GBV15" s="476"/>
      <c r="GBW15" s="476"/>
      <c r="GBX15" s="476"/>
      <c r="GBY15" s="476"/>
      <c r="GBZ15" s="476"/>
      <c r="GCA15" s="476"/>
      <c r="GCB15" s="476"/>
      <c r="GCC15" s="476"/>
      <c r="GCD15" s="476"/>
      <c r="GCE15" s="477"/>
      <c r="GCF15" s="477"/>
      <c r="GCG15" s="463"/>
      <c r="GCH15" s="475"/>
      <c r="GCI15" s="476"/>
      <c r="GCJ15" s="476"/>
      <c r="GCK15" s="476"/>
      <c r="GCL15" s="476"/>
      <c r="GCM15" s="476"/>
      <c r="GCN15" s="476"/>
      <c r="GCO15" s="476"/>
      <c r="GCP15" s="476"/>
      <c r="GCQ15" s="476"/>
      <c r="GCR15" s="476"/>
      <c r="GCS15" s="476"/>
      <c r="GCT15" s="476"/>
      <c r="GCU15" s="477"/>
      <c r="GCV15" s="477"/>
      <c r="GCW15" s="463"/>
      <c r="GCX15" s="475"/>
      <c r="GCY15" s="476"/>
      <c r="GCZ15" s="476"/>
      <c r="GDA15" s="476"/>
      <c r="GDB15" s="476"/>
      <c r="GDC15" s="476"/>
      <c r="GDD15" s="476"/>
      <c r="GDE15" s="476"/>
      <c r="GDF15" s="476"/>
      <c r="GDG15" s="476"/>
      <c r="GDH15" s="476"/>
      <c r="GDI15" s="476"/>
      <c r="GDJ15" s="476"/>
      <c r="GDK15" s="477"/>
      <c r="GDL15" s="477"/>
      <c r="GDM15" s="463"/>
      <c r="GDN15" s="475"/>
      <c r="GDO15" s="476"/>
      <c r="GDP15" s="476"/>
      <c r="GDQ15" s="476"/>
      <c r="GDR15" s="476"/>
      <c r="GDS15" s="476"/>
      <c r="GDT15" s="476"/>
      <c r="GDU15" s="476"/>
      <c r="GDV15" s="476"/>
      <c r="GDW15" s="476"/>
      <c r="GDX15" s="476"/>
      <c r="GDY15" s="476"/>
      <c r="GDZ15" s="476"/>
      <c r="GEA15" s="477"/>
      <c r="GEB15" s="477"/>
      <c r="GEC15" s="463"/>
      <c r="GED15" s="475"/>
      <c r="GEE15" s="476"/>
      <c r="GEF15" s="476"/>
      <c r="GEG15" s="476"/>
      <c r="GEH15" s="476"/>
      <c r="GEI15" s="476"/>
      <c r="GEJ15" s="476"/>
      <c r="GEK15" s="476"/>
      <c r="GEL15" s="476"/>
      <c r="GEM15" s="476"/>
      <c r="GEN15" s="476"/>
      <c r="GEO15" s="476"/>
      <c r="GEP15" s="476"/>
      <c r="GEQ15" s="477"/>
      <c r="GER15" s="477"/>
      <c r="GES15" s="463"/>
      <c r="GET15" s="475"/>
      <c r="GEU15" s="476"/>
      <c r="GEV15" s="476"/>
      <c r="GEW15" s="476"/>
      <c r="GEX15" s="476"/>
      <c r="GEY15" s="476"/>
      <c r="GEZ15" s="476"/>
      <c r="GFA15" s="476"/>
      <c r="GFB15" s="476"/>
      <c r="GFC15" s="476"/>
      <c r="GFD15" s="476"/>
      <c r="GFE15" s="476"/>
      <c r="GFF15" s="476"/>
      <c r="GFG15" s="477"/>
      <c r="GFH15" s="477"/>
      <c r="GFI15" s="463"/>
      <c r="GFJ15" s="475"/>
      <c r="GFK15" s="476"/>
      <c r="GFL15" s="476"/>
      <c r="GFM15" s="476"/>
      <c r="GFN15" s="476"/>
      <c r="GFO15" s="476"/>
      <c r="GFP15" s="476"/>
      <c r="GFQ15" s="476"/>
      <c r="GFR15" s="476"/>
      <c r="GFS15" s="476"/>
      <c r="GFT15" s="476"/>
      <c r="GFU15" s="476"/>
      <c r="GFV15" s="476"/>
      <c r="GFW15" s="477"/>
      <c r="GFX15" s="477"/>
      <c r="GFY15" s="463"/>
      <c r="GFZ15" s="475"/>
      <c r="GGA15" s="476"/>
      <c r="GGB15" s="476"/>
      <c r="GGC15" s="476"/>
      <c r="GGD15" s="476"/>
      <c r="GGE15" s="476"/>
      <c r="GGF15" s="476"/>
      <c r="GGG15" s="476"/>
      <c r="GGH15" s="476"/>
      <c r="GGI15" s="476"/>
      <c r="GGJ15" s="476"/>
      <c r="GGK15" s="476"/>
      <c r="GGL15" s="476"/>
      <c r="GGM15" s="477"/>
      <c r="GGN15" s="477"/>
      <c r="GGO15" s="463"/>
      <c r="GGP15" s="475"/>
      <c r="GGQ15" s="476"/>
      <c r="GGR15" s="476"/>
      <c r="GGS15" s="476"/>
      <c r="GGT15" s="476"/>
      <c r="GGU15" s="476"/>
      <c r="GGV15" s="476"/>
      <c r="GGW15" s="476"/>
      <c r="GGX15" s="476"/>
      <c r="GGY15" s="476"/>
      <c r="GGZ15" s="476"/>
      <c r="GHA15" s="476"/>
      <c r="GHB15" s="476"/>
      <c r="GHC15" s="477"/>
      <c r="GHD15" s="477"/>
      <c r="GHE15" s="463"/>
      <c r="GHF15" s="475"/>
      <c r="GHG15" s="476"/>
      <c r="GHH15" s="476"/>
      <c r="GHI15" s="476"/>
      <c r="GHJ15" s="476"/>
      <c r="GHK15" s="476"/>
      <c r="GHL15" s="476"/>
      <c r="GHM15" s="476"/>
      <c r="GHN15" s="476"/>
      <c r="GHO15" s="476"/>
      <c r="GHP15" s="476"/>
      <c r="GHQ15" s="476"/>
      <c r="GHR15" s="476"/>
      <c r="GHS15" s="477"/>
      <c r="GHT15" s="477"/>
      <c r="GHU15" s="463"/>
      <c r="GHV15" s="475"/>
      <c r="GHW15" s="476"/>
      <c r="GHX15" s="476"/>
      <c r="GHY15" s="476"/>
      <c r="GHZ15" s="476"/>
      <c r="GIA15" s="476"/>
      <c r="GIB15" s="476"/>
      <c r="GIC15" s="476"/>
      <c r="GID15" s="476"/>
      <c r="GIE15" s="476"/>
      <c r="GIF15" s="476"/>
      <c r="GIG15" s="476"/>
      <c r="GIH15" s="476"/>
      <c r="GII15" s="477"/>
      <c r="GIJ15" s="477"/>
      <c r="GIK15" s="463"/>
      <c r="GIL15" s="475"/>
      <c r="GIM15" s="476"/>
      <c r="GIN15" s="476"/>
      <c r="GIO15" s="476"/>
      <c r="GIP15" s="476"/>
      <c r="GIQ15" s="476"/>
      <c r="GIR15" s="476"/>
      <c r="GIS15" s="476"/>
      <c r="GIT15" s="476"/>
      <c r="GIU15" s="476"/>
      <c r="GIV15" s="476"/>
      <c r="GIW15" s="476"/>
      <c r="GIX15" s="476"/>
      <c r="GIY15" s="477"/>
      <c r="GIZ15" s="477"/>
      <c r="GJA15" s="463"/>
      <c r="GJB15" s="475"/>
      <c r="GJC15" s="476"/>
      <c r="GJD15" s="476"/>
      <c r="GJE15" s="476"/>
      <c r="GJF15" s="476"/>
      <c r="GJG15" s="476"/>
      <c r="GJH15" s="476"/>
      <c r="GJI15" s="476"/>
      <c r="GJJ15" s="476"/>
      <c r="GJK15" s="476"/>
      <c r="GJL15" s="476"/>
      <c r="GJM15" s="476"/>
      <c r="GJN15" s="476"/>
      <c r="GJO15" s="477"/>
      <c r="GJP15" s="477"/>
      <c r="GJQ15" s="463"/>
      <c r="GJR15" s="475"/>
      <c r="GJS15" s="476"/>
      <c r="GJT15" s="476"/>
      <c r="GJU15" s="476"/>
      <c r="GJV15" s="476"/>
      <c r="GJW15" s="476"/>
      <c r="GJX15" s="476"/>
      <c r="GJY15" s="476"/>
      <c r="GJZ15" s="476"/>
      <c r="GKA15" s="476"/>
      <c r="GKB15" s="476"/>
      <c r="GKC15" s="476"/>
      <c r="GKD15" s="476"/>
      <c r="GKE15" s="477"/>
      <c r="GKF15" s="477"/>
      <c r="GKG15" s="463"/>
      <c r="GKH15" s="475"/>
      <c r="GKI15" s="476"/>
      <c r="GKJ15" s="476"/>
      <c r="GKK15" s="476"/>
      <c r="GKL15" s="476"/>
      <c r="GKM15" s="476"/>
      <c r="GKN15" s="476"/>
      <c r="GKO15" s="476"/>
      <c r="GKP15" s="476"/>
      <c r="GKQ15" s="476"/>
      <c r="GKR15" s="476"/>
      <c r="GKS15" s="476"/>
      <c r="GKT15" s="476"/>
      <c r="GKU15" s="477"/>
      <c r="GKV15" s="477"/>
      <c r="GKW15" s="463"/>
      <c r="GKX15" s="475"/>
      <c r="GKY15" s="476"/>
      <c r="GKZ15" s="476"/>
      <c r="GLA15" s="476"/>
      <c r="GLB15" s="476"/>
      <c r="GLC15" s="476"/>
      <c r="GLD15" s="476"/>
      <c r="GLE15" s="476"/>
      <c r="GLF15" s="476"/>
      <c r="GLG15" s="476"/>
      <c r="GLH15" s="476"/>
      <c r="GLI15" s="476"/>
      <c r="GLJ15" s="476"/>
      <c r="GLK15" s="477"/>
      <c r="GLL15" s="477"/>
      <c r="GLM15" s="463"/>
      <c r="GLN15" s="475"/>
      <c r="GLO15" s="476"/>
      <c r="GLP15" s="476"/>
      <c r="GLQ15" s="476"/>
      <c r="GLR15" s="476"/>
      <c r="GLS15" s="476"/>
      <c r="GLT15" s="476"/>
      <c r="GLU15" s="476"/>
      <c r="GLV15" s="476"/>
      <c r="GLW15" s="476"/>
      <c r="GLX15" s="476"/>
      <c r="GLY15" s="476"/>
      <c r="GLZ15" s="476"/>
      <c r="GMA15" s="477"/>
      <c r="GMB15" s="477"/>
      <c r="GMC15" s="463"/>
      <c r="GMD15" s="475"/>
      <c r="GME15" s="476"/>
      <c r="GMF15" s="476"/>
      <c r="GMG15" s="476"/>
      <c r="GMH15" s="476"/>
      <c r="GMI15" s="476"/>
      <c r="GMJ15" s="476"/>
      <c r="GMK15" s="476"/>
      <c r="GML15" s="476"/>
      <c r="GMM15" s="476"/>
      <c r="GMN15" s="476"/>
      <c r="GMO15" s="476"/>
      <c r="GMP15" s="476"/>
      <c r="GMQ15" s="477"/>
      <c r="GMR15" s="477"/>
      <c r="GMS15" s="463"/>
      <c r="GMT15" s="475"/>
      <c r="GMU15" s="476"/>
      <c r="GMV15" s="476"/>
      <c r="GMW15" s="476"/>
      <c r="GMX15" s="476"/>
      <c r="GMY15" s="476"/>
      <c r="GMZ15" s="476"/>
      <c r="GNA15" s="476"/>
      <c r="GNB15" s="476"/>
      <c r="GNC15" s="476"/>
      <c r="GND15" s="476"/>
      <c r="GNE15" s="476"/>
      <c r="GNF15" s="476"/>
      <c r="GNG15" s="477"/>
      <c r="GNH15" s="477"/>
      <c r="GNI15" s="463"/>
      <c r="GNJ15" s="475"/>
      <c r="GNK15" s="476"/>
      <c r="GNL15" s="476"/>
      <c r="GNM15" s="476"/>
      <c r="GNN15" s="476"/>
      <c r="GNO15" s="476"/>
      <c r="GNP15" s="476"/>
      <c r="GNQ15" s="476"/>
      <c r="GNR15" s="476"/>
      <c r="GNS15" s="476"/>
      <c r="GNT15" s="476"/>
      <c r="GNU15" s="476"/>
      <c r="GNV15" s="476"/>
      <c r="GNW15" s="477"/>
      <c r="GNX15" s="477"/>
      <c r="GNY15" s="463"/>
      <c r="GNZ15" s="475"/>
      <c r="GOA15" s="476"/>
      <c r="GOB15" s="476"/>
      <c r="GOC15" s="476"/>
      <c r="GOD15" s="476"/>
      <c r="GOE15" s="476"/>
      <c r="GOF15" s="476"/>
      <c r="GOG15" s="476"/>
      <c r="GOH15" s="476"/>
      <c r="GOI15" s="476"/>
      <c r="GOJ15" s="476"/>
      <c r="GOK15" s="476"/>
      <c r="GOL15" s="476"/>
      <c r="GOM15" s="477"/>
      <c r="GON15" s="477"/>
      <c r="GOO15" s="463"/>
      <c r="GOP15" s="475"/>
      <c r="GOQ15" s="476"/>
      <c r="GOR15" s="476"/>
      <c r="GOS15" s="476"/>
      <c r="GOT15" s="476"/>
      <c r="GOU15" s="476"/>
      <c r="GOV15" s="476"/>
      <c r="GOW15" s="476"/>
      <c r="GOX15" s="476"/>
      <c r="GOY15" s="476"/>
      <c r="GOZ15" s="476"/>
      <c r="GPA15" s="476"/>
      <c r="GPB15" s="476"/>
      <c r="GPC15" s="477"/>
      <c r="GPD15" s="477"/>
      <c r="GPE15" s="463"/>
      <c r="GPF15" s="475"/>
      <c r="GPG15" s="476"/>
      <c r="GPH15" s="476"/>
      <c r="GPI15" s="476"/>
      <c r="GPJ15" s="476"/>
      <c r="GPK15" s="476"/>
      <c r="GPL15" s="476"/>
      <c r="GPM15" s="476"/>
      <c r="GPN15" s="476"/>
      <c r="GPO15" s="476"/>
      <c r="GPP15" s="476"/>
      <c r="GPQ15" s="476"/>
      <c r="GPR15" s="476"/>
      <c r="GPS15" s="477"/>
      <c r="GPT15" s="477"/>
      <c r="GPU15" s="463"/>
      <c r="GPV15" s="475"/>
      <c r="GPW15" s="476"/>
      <c r="GPX15" s="476"/>
      <c r="GPY15" s="476"/>
      <c r="GPZ15" s="476"/>
      <c r="GQA15" s="476"/>
      <c r="GQB15" s="476"/>
      <c r="GQC15" s="476"/>
      <c r="GQD15" s="476"/>
      <c r="GQE15" s="476"/>
      <c r="GQF15" s="476"/>
      <c r="GQG15" s="476"/>
      <c r="GQH15" s="476"/>
      <c r="GQI15" s="477"/>
      <c r="GQJ15" s="477"/>
      <c r="GQK15" s="463"/>
      <c r="GQL15" s="475"/>
      <c r="GQM15" s="476"/>
      <c r="GQN15" s="476"/>
      <c r="GQO15" s="476"/>
      <c r="GQP15" s="476"/>
      <c r="GQQ15" s="476"/>
      <c r="GQR15" s="476"/>
      <c r="GQS15" s="476"/>
      <c r="GQT15" s="476"/>
      <c r="GQU15" s="476"/>
      <c r="GQV15" s="476"/>
      <c r="GQW15" s="476"/>
      <c r="GQX15" s="476"/>
      <c r="GQY15" s="477"/>
      <c r="GQZ15" s="477"/>
      <c r="GRA15" s="463"/>
      <c r="GRB15" s="475"/>
      <c r="GRC15" s="476"/>
      <c r="GRD15" s="476"/>
      <c r="GRE15" s="476"/>
      <c r="GRF15" s="476"/>
      <c r="GRG15" s="476"/>
      <c r="GRH15" s="476"/>
      <c r="GRI15" s="476"/>
      <c r="GRJ15" s="476"/>
      <c r="GRK15" s="476"/>
      <c r="GRL15" s="476"/>
      <c r="GRM15" s="476"/>
      <c r="GRN15" s="476"/>
      <c r="GRO15" s="477"/>
      <c r="GRP15" s="477"/>
      <c r="GRQ15" s="463"/>
      <c r="GRR15" s="475"/>
      <c r="GRS15" s="476"/>
      <c r="GRT15" s="476"/>
      <c r="GRU15" s="476"/>
      <c r="GRV15" s="476"/>
      <c r="GRW15" s="476"/>
      <c r="GRX15" s="476"/>
      <c r="GRY15" s="476"/>
      <c r="GRZ15" s="476"/>
      <c r="GSA15" s="476"/>
      <c r="GSB15" s="476"/>
      <c r="GSC15" s="476"/>
      <c r="GSD15" s="476"/>
      <c r="GSE15" s="477"/>
      <c r="GSF15" s="477"/>
      <c r="GSG15" s="463"/>
      <c r="GSH15" s="475"/>
      <c r="GSI15" s="476"/>
      <c r="GSJ15" s="476"/>
      <c r="GSK15" s="476"/>
      <c r="GSL15" s="476"/>
      <c r="GSM15" s="476"/>
      <c r="GSN15" s="476"/>
      <c r="GSO15" s="476"/>
      <c r="GSP15" s="476"/>
      <c r="GSQ15" s="476"/>
      <c r="GSR15" s="476"/>
      <c r="GSS15" s="476"/>
      <c r="GST15" s="476"/>
      <c r="GSU15" s="477"/>
      <c r="GSV15" s="477"/>
      <c r="GSW15" s="463"/>
      <c r="GSX15" s="475"/>
      <c r="GSY15" s="476"/>
      <c r="GSZ15" s="476"/>
      <c r="GTA15" s="476"/>
      <c r="GTB15" s="476"/>
      <c r="GTC15" s="476"/>
      <c r="GTD15" s="476"/>
      <c r="GTE15" s="476"/>
      <c r="GTF15" s="476"/>
      <c r="GTG15" s="476"/>
      <c r="GTH15" s="476"/>
      <c r="GTI15" s="476"/>
      <c r="GTJ15" s="476"/>
      <c r="GTK15" s="477"/>
      <c r="GTL15" s="477"/>
      <c r="GTM15" s="463"/>
      <c r="GTN15" s="475"/>
      <c r="GTO15" s="476"/>
      <c r="GTP15" s="476"/>
      <c r="GTQ15" s="476"/>
      <c r="GTR15" s="476"/>
      <c r="GTS15" s="476"/>
      <c r="GTT15" s="476"/>
      <c r="GTU15" s="476"/>
      <c r="GTV15" s="476"/>
      <c r="GTW15" s="476"/>
      <c r="GTX15" s="476"/>
      <c r="GTY15" s="476"/>
      <c r="GTZ15" s="476"/>
      <c r="GUA15" s="477"/>
      <c r="GUB15" s="477"/>
      <c r="GUC15" s="463"/>
      <c r="GUD15" s="475"/>
      <c r="GUE15" s="476"/>
      <c r="GUF15" s="476"/>
      <c r="GUG15" s="476"/>
      <c r="GUH15" s="476"/>
      <c r="GUI15" s="476"/>
      <c r="GUJ15" s="476"/>
      <c r="GUK15" s="476"/>
      <c r="GUL15" s="476"/>
      <c r="GUM15" s="476"/>
      <c r="GUN15" s="476"/>
      <c r="GUO15" s="476"/>
      <c r="GUP15" s="476"/>
      <c r="GUQ15" s="477"/>
      <c r="GUR15" s="477"/>
      <c r="GUS15" s="463"/>
      <c r="GUT15" s="475"/>
      <c r="GUU15" s="476"/>
      <c r="GUV15" s="476"/>
      <c r="GUW15" s="476"/>
      <c r="GUX15" s="476"/>
      <c r="GUY15" s="476"/>
      <c r="GUZ15" s="476"/>
      <c r="GVA15" s="476"/>
      <c r="GVB15" s="476"/>
      <c r="GVC15" s="476"/>
      <c r="GVD15" s="476"/>
      <c r="GVE15" s="476"/>
      <c r="GVF15" s="476"/>
      <c r="GVG15" s="477"/>
      <c r="GVH15" s="477"/>
      <c r="GVI15" s="463"/>
      <c r="GVJ15" s="475"/>
      <c r="GVK15" s="476"/>
      <c r="GVL15" s="476"/>
      <c r="GVM15" s="476"/>
      <c r="GVN15" s="476"/>
      <c r="GVO15" s="476"/>
      <c r="GVP15" s="476"/>
      <c r="GVQ15" s="476"/>
      <c r="GVR15" s="476"/>
      <c r="GVS15" s="476"/>
      <c r="GVT15" s="476"/>
      <c r="GVU15" s="476"/>
      <c r="GVV15" s="476"/>
      <c r="GVW15" s="477"/>
      <c r="GVX15" s="477"/>
      <c r="GVY15" s="463"/>
      <c r="GVZ15" s="475"/>
      <c r="GWA15" s="476"/>
      <c r="GWB15" s="476"/>
      <c r="GWC15" s="476"/>
      <c r="GWD15" s="476"/>
      <c r="GWE15" s="476"/>
      <c r="GWF15" s="476"/>
      <c r="GWG15" s="476"/>
      <c r="GWH15" s="476"/>
      <c r="GWI15" s="476"/>
      <c r="GWJ15" s="476"/>
      <c r="GWK15" s="476"/>
      <c r="GWL15" s="476"/>
      <c r="GWM15" s="477"/>
      <c r="GWN15" s="477"/>
      <c r="GWO15" s="463"/>
      <c r="GWP15" s="475"/>
      <c r="GWQ15" s="476"/>
      <c r="GWR15" s="476"/>
      <c r="GWS15" s="476"/>
      <c r="GWT15" s="476"/>
      <c r="GWU15" s="476"/>
      <c r="GWV15" s="476"/>
      <c r="GWW15" s="476"/>
      <c r="GWX15" s="476"/>
      <c r="GWY15" s="476"/>
      <c r="GWZ15" s="476"/>
      <c r="GXA15" s="476"/>
      <c r="GXB15" s="476"/>
      <c r="GXC15" s="477"/>
      <c r="GXD15" s="477"/>
      <c r="GXE15" s="463"/>
      <c r="GXF15" s="475"/>
      <c r="GXG15" s="476"/>
      <c r="GXH15" s="476"/>
      <c r="GXI15" s="476"/>
      <c r="GXJ15" s="476"/>
      <c r="GXK15" s="476"/>
      <c r="GXL15" s="476"/>
      <c r="GXM15" s="476"/>
      <c r="GXN15" s="476"/>
      <c r="GXO15" s="476"/>
      <c r="GXP15" s="476"/>
      <c r="GXQ15" s="476"/>
      <c r="GXR15" s="476"/>
      <c r="GXS15" s="477"/>
      <c r="GXT15" s="477"/>
      <c r="GXU15" s="463"/>
      <c r="GXV15" s="475"/>
      <c r="GXW15" s="476"/>
      <c r="GXX15" s="476"/>
      <c r="GXY15" s="476"/>
      <c r="GXZ15" s="476"/>
      <c r="GYA15" s="476"/>
      <c r="GYB15" s="476"/>
      <c r="GYC15" s="476"/>
      <c r="GYD15" s="476"/>
      <c r="GYE15" s="476"/>
      <c r="GYF15" s="476"/>
      <c r="GYG15" s="476"/>
      <c r="GYH15" s="476"/>
      <c r="GYI15" s="477"/>
      <c r="GYJ15" s="477"/>
      <c r="GYK15" s="463"/>
      <c r="GYL15" s="475"/>
      <c r="GYM15" s="476"/>
      <c r="GYN15" s="476"/>
      <c r="GYO15" s="476"/>
      <c r="GYP15" s="476"/>
      <c r="GYQ15" s="476"/>
      <c r="GYR15" s="476"/>
      <c r="GYS15" s="476"/>
      <c r="GYT15" s="476"/>
      <c r="GYU15" s="476"/>
      <c r="GYV15" s="476"/>
      <c r="GYW15" s="476"/>
      <c r="GYX15" s="476"/>
      <c r="GYY15" s="477"/>
      <c r="GYZ15" s="477"/>
      <c r="GZA15" s="463"/>
      <c r="GZB15" s="475"/>
      <c r="GZC15" s="476"/>
      <c r="GZD15" s="476"/>
      <c r="GZE15" s="476"/>
      <c r="GZF15" s="476"/>
      <c r="GZG15" s="476"/>
      <c r="GZH15" s="476"/>
      <c r="GZI15" s="476"/>
      <c r="GZJ15" s="476"/>
      <c r="GZK15" s="476"/>
      <c r="GZL15" s="476"/>
      <c r="GZM15" s="476"/>
      <c r="GZN15" s="476"/>
      <c r="GZO15" s="477"/>
      <c r="GZP15" s="477"/>
      <c r="GZQ15" s="463"/>
      <c r="GZR15" s="475"/>
      <c r="GZS15" s="476"/>
      <c r="GZT15" s="476"/>
      <c r="GZU15" s="476"/>
      <c r="GZV15" s="476"/>
      <c r="GZW15" s="476"/>
      <c r="GZX15" s="476"/>
      <c r="GZY15" s="476"/>
      <c r="GZZ15" s="476"/>
      <c r="HAA15" s="476"/>
      <c r="HAB15" s="476"/>
      <c r="HAC15" s="476"/>
      <c r="HAD15" s="476"/>
      <c r="HAE15" s="477"/>
      <c r="HAF15" s="477"/>
      <c r="HAG15" s="463"/>
      <c r="HAH15" s="475"/>
      <c r="HAI15" s="476"/>
      <c r="HAJ15" s="476"/>
      <c r="HAK15" s="476"/>
      <c r="HAL15" s="476"/>
      <c r="HAM15" s="476"/>
      <c r="HAN15" s="476"/>
      <c r="HAO15" s="476"/>
      <c r="HAP15" s="476"/>
      <c r="HAQ15" s="476"/>
      <c r="HAR15" s="476"/>
      <c r="HAS15" s="476"/>
      <c r="HAT15" s="476"/>
      <c r="HAU15" s="477"/>
      <c r="HAV15" s="477"/>
      <c r="HAW15" s="463"/>
      <c r="HAX15" s="475"/>
      <c r="HAY15" s="476"/>
      <c r="HAZ15" s="476"/>
      <c r="HBA15" s="476"/>
      <c r="HBB15" s="476"/>
      <c r="HBC15" s="476"/>
      <c r="HBD15" s="476"/>
      <c r="HBE15" s="476"/>
      <c r="HBF15" s="476"/>
      <c r="HBG15" s="476"/>
      <c r="HBH15" s="476"/>
      <c r="HBI15" s="476"/>
      <c r="HBJ15" s="476"/>
      <c r="HBK15" s="477"/>
      <c r="HBL15" s="477"/>
      <c r="HBM15" s="463"/>
      <c r="HBN15" s="475"/>
      <c r="HBO15" s="476"/>
      <c r="HBP15" s="476"/>
      <c r="HBQ15" s="476"/>
      <c r="HBR15" s="476"/>
      <c r="HBS15" s="476"/>
      <c r="HBT15" s="476"/>
      <c r="HBU15" s="476"/>
      <c r="HBV15" s="476"/>
      <c r="HBW15" s="476"/>
      <c r="HBX15" s="476"/>
      <c r="HBY15" s="476"/>
      <c r="HBZ15" s="476"/>
      <c r="HCA15" s="477"/>
      <c r="HCB15" s="477"/>
      <c r="HCC15" s="463"/>
      <c r="HCD15" s="475"/>
      <c r="HCE15" s="476"/>
      <c r="HCF15" s="476"/>
      <c r="HCG15" s="476"/>
      <c r="HCH15" s="476"/>
      <c r="HCI15" s="476"/>
      <c r="HCJ15" s="476"/>
      <c r="HCK15" s="476"/>
      <c r="HCL15" s="476"/>
      <c r="HCM15" s="476"/>
      <c r="HCN15" s="476"/>
      <c r="HCO15" s="476"/>
      <c r="HCP15" s="476"/>
      <c r="HCQ15" s="477"/>
      <c r="HCR15" s="477"/>
      <c r="HCS15" s="463"/>
      <c r="HCT15" s="475"/>
      <c r="HCU15" s="476"/>
      <c r="HCV15" s="476"/>
      <c r="HCW15" s="476"/>
      <c r="HCX15" s="476"/>
      <c r="HCY15" s="476"/>
      <c r="HCZ15" s="476"/>
      <c r="HDA15" s="476"/>
      <c r="HDB15" s="476"/>
      <c r="HDC15" s="476"/>
      <c r="HDD15" s="476"/>
      <c r="HDE15" s="476"/>
      <c r="HDF15" s="476"/>
      <c r="HDG15" s="477"/>
      <c r="HDH15" s="477"/>
      <c r="HDI15" s="463"/>
      <c r="HDJ15" s="475"/>
      <c r="HDK15" s="476"/>
      <c r="HDL15" s="476"/>
      <c r="HDM15" s="476"/>
      <c r="HDN15" s="476"/>
      <c r="HDO15" s="476"/>
      <c r="HDP15" s="476"/>
      <c r="HDQ15" s="476"/>
      <c r="HDR15" s="476"/>
      <c r="HDS15" s="476"/>
      <c r="HDT15" s="476"/>
      <c r="HDU15" s="476"/>
      <c r="HDV15" s="476"/>
      <c r="HDW15" s="477"/>
      <c r="HDX15" s="477"/>
      <c r="HDY15" s="463"/>
      <c r="HDZ15" s="475"/>
      <c r="HEA15" s="476"/>
      <c r="HEB15" s="476"/>
      <c r="HEC15" s="476"/>
      <c r="HED15" s="476"/>
      <c r="HEE15" s="476"/>
      <c r="HEF15" s="476"/>
      <c r="HEG15" s="476"/>
      <c r="HEH15" s="476"/>
      <c r="HEI15" s="476"/>
      <c r="HEJ15" s="476"/>
      <c r="HEK15" s="476"/>
      <c r="HEL15" s="476"/>
      <c r="HEM15" s="477"/>
      <c r="HEN15" s="477"/>
      <c r="HEO15" s="463"/>
      <c r="HEP15" s="475"/>
      <c r="HEQ15" s="476"/>
      <c r="HER15" s="476"/>
      <c r="HES15" s="476"/>
      <c r="HET15" s="476"/>
      <c r="HEU15" s="476"/>
      <c r="HEV15" s="476"/>
      <c r="HEW15" s="476"/>
      <c r="HEX15" s="476"/>
      <c r="HEY15" s="476"/>
      <c r="HEZ15" s="476"/>
      <c r="HFA15" s="476"/>
      <c r="HFB15" s="476"/>
      <c r="HFC15" s="477"/>
      <c r="HFD15" s="477"/>
      <c r="HFE15" s="463"/>
      <c r="HFF15" s="475"/>
      <c r="HFG15" s="476"/>
      <c r="HFH15" s="476"/>
      <c r="HFI15" s="476"/>
      <c r="HFJ15" s="476"/>
      <c r="HFK15" s="476"/>
      <c r="HFL15" s="476"/>
      <c r="HFM15" s="476"/>
      <c r="HFN15" s="476"/>
      <c r="HFO15" s="476"/>
      <c r="HFP15" s="476"/>
      <c r="HFQ15" s="476"/>
      <c r="HFR15" s="476"/>
      <c r="HFS15" s="477"/>
      <c r="HFT15" s="477"/>
      <c r="HFU15" s="463"/>
      <c r="HFV15" s="475"/>
      <c r="HFW15" s="476"/>
      <c r="HFX15" s="476"/>
      <c r="HFY15" s="476"/>
      <c r="HFZ15" s="476"/>
      <c r="HGA15" s="476"/>
      <c r="HGB15" s="476"/>
      <c r="HGC15" s="476"/>
      <c r="HGD15" s="476"/>
      <c r="HGE15" s="476"/>
      <c r="HGF15" s="476"/>
      <c r="HGG15" s="476"/>
      <c r="HGH15" s="476"/>
      <c r="HGI15" s="477"/>
      <c r="HGJ15" s="477"/>
      <c r="HGK15" s="463"/>
      <c r="HGL15" s="475"/>
      <c r="HGM15" s="476"/>
      <c r="HGN15" s="476"/>
      <c r="HGO15" s="476"/>
      <c r="HGP15" s="476"/>
      <c r="HGQ15" s="476"/>
      <c r="HGR15" s="476"/>
      <c r="HGS15" s="476"/>
      <c r="HGT15" s="476"/>
      <c r="HGU15" s="476"/>
      <c r="HGV15" s="476"/>
      <c r="HGW15" s="476"/>
      <c r="HGX15" s="476"/>
      <c r="HGY15" s="477"/>
      <c r="HGZ15" s="477"/>
      <c r="HHA15" s="463"/>
      <c r="HHB15" s="475"/>
      <c r="HHC15" s="476"/>
      <c r="HHD15" s="476"/>
      <c r="HHE15" s="476"/>
      <c r="HHF15" s="476"/>
      <c r="HHG15" s="476"/>
      <c r="HHH15" s="476"/>
      <c r="HHI15" s="476"/>
      <c r="HHJ15" s="476"/>
      <c r="HHK15" s="476"/>
      <c r="HHL15" s="476"/>
      <c r="HHM15" s="476"/>
      <c r="HHN15" s="476"/>
      <c r="HHO15" s="477"/>
      <c r="HHP15" s="477"/>
      <c r="HHQ15" s="463"/>
      <c r="HHR15" s="475"/>
      <c r="HHS15" s="476"/>
      <c r="HHT15" s="476"/>
      <c r="HHU15" s="476"/>
      <c r="HHV15" s="476"/>
      <c r="HHW15" s="476"/>
      <c r="HHX15" s="476"/>
      <c r="HHY15" s="476"/>
      <c r="HHZ15" s="476"/>
      <c r="HIA15" s="476"/>
      <c r="HIB15" s="476"/>
      <c r="HIC15" s="476"/>
      <c r="HID15" s="476"/>
      <c r="HIE15" s="477"/>
      <c r="HIF15" s="477"/>
      <c r="HIG15" s="463"/>
      <c r="HIH15" s="475"/>
      <c r="HII15" s="476"/>
      <c r="HIJ15" s="476"/>
      <c r="HIK15" s="476"/>
      <c r="HIL15" s="476"/>
      <c r="HIM15" s="476"/>
      <c r="HIN15" s="476"/>
      <c r="HIO15" s="476"/>
      <c r="HIP15" s="476"/>
      <c r="HIQ15" s="476"/>
      <c r="HIR15" s="476"/>
      <c r="HIS15" s="476"/>
      <c r="HIT15" s="476"/>
      <c r="HIU15" s="477"/>
      <c r="HIV15" s="477"/>
      <c r="HIW15" s="463"/>
      <c r="HIX15" s="475"/>
      <c r="HIY15" s="476"/>
      <c r="HIZ15" s="476"/>
      <c r="HJA15" s="476"/>
      <c r="HJB15" s="476"/>
      <c r="HJC15" s="476"/>
      <c r="HJD15" s="476"/>
      <c r="HJE15" s="476"/>
      <c r="HJF15" s="476"/>
      <c r="HJG15" s="476"/>
      <c r="HJH15" s="476"/>
      <c r="HJI15" s="476"/>
      <c r="HJJ15" s="476"/>
      <c r="HJK15" s="477"/>
      <c r="HJL15" s="477"/>
      <c r="HJM15" s="463"/>
      <c r="HJN15" s="475"/>
      <c r="HJO15" s="476"/>
      <c r="HJP15" s="476"/>
      <c r="HJQ15" s="476"/>
      <c r="HJR15" s="476"/>
      <c r="HJS15" s="476"/>
      <c r="HJT15" s="476"/>
      <c r="HJU15" s="476"/>
      <c r="HJV15" s="476"/>
      <c r="HJW15" s="476"/>
      <c r="HJX15" s="476"/>
      <c r="HJY15" s="476"/>
      <c r="HJZ15" s="476"/>
      <c r="HKA15" s="477"/>
      <c r="HKB15" s="477"/>
      <c r="HKC15" s="463"/>
      <c r="HKD15" s="475"/>
      <c r="HKE15" s="476"/>
      <c r="HKF15" s="476"/>
      <c r="HKG15" s="476"/>
      <c r="HKH15" s="476"/>
      <c r="HKI15" s="476"/>
      <c r="HKJ15" s="476"/>
      <c r="HKK15" s="476"/>
      <c r="HKL15" s="476"/>
      <c r="HKM15" s="476"/>
      <c r="HKN15" s="476"/>
      <c r="HKO15" s="476"/>
      <c r="HKP15" s="476"/>
      <c r="HKQ15" s="477"/>
      <c r="HKR15" s="477"/>
      <c r="HKS15" s="463"/>
      <c r="HKT15" s="475"/>
      <c r="HKU15" s="476"/>
      <c r="HKV15" s="476"/>
      <c r="HKW15" s="476"/>
      <c r="HKX15" s="476"/>
      <c r="HKY15" s="476"/>
      <c r="HKZ15" s="476"/>
      <c r="HLA15" s="476"/>
      <c r="HLB15" s="476"/>
      <c r="HLC15" s="476"/>
      <c r="HLD15" s="476"/>
      <c r="HLE15" s="476"/>
      <c r="HLF15" s="476"/>
      <c r="HLG15" s="477"/>
      <c r="HLH15" s="477"/>
      <c r="HLI15" s="463"/>
      <c r="HLJ15" s="475"/>
      <c r="HLK15" s="476"/>
      <c r="HLL15" s="476"/>
      <c r="HLM15" s="476"/>
      <c r="HLN15" s="476"/>
      <c r="HLO15" s="476"/>
      <c r="HLP15" s="476"/>
      <c r="HLQ15" s="476"/>
      <c r="HLR15" s="476"/>
      <c r="HLS15" s="476"/>
      <c r="HLT15" s="476"/>
      <c r="HLU15" s="476"/>
      <c r="HLV15" s="476"/>
      <c r="HLW15" s="477"/>
      <c r="HLX15" s="477"/>
      <c r="HLY15" s="463"/>
      <c r="HLZ15" s="475"/>
      <c r="HMA15" s="476"/>
      <c r="HMB15" s="476"/>
      <c r="HMC15" s="476"/>
      <c r="HMD15" s="476"/>
      <c r="HME15" s="476"/>
      <c r="HMF15" s="476"/>
      <c r="HMG15" s="476"/>
      <c r="HMH15" s="476"/>
      <c r="HMI15" s="476"/>
      <c r="HMJ15" s="476"/>
      <c r="HMK15" s="476"/>
      <c r="HML15" s="476"/>
      <c r="HMM15" s="477"/>
      <c r="HMN15" s="477"/>
      <c r="HMO15" s="463"/>
      <c r="HMP15" s="475"/>
      <c r="HMQ15" s="476"/>
      <c r="HMR15" s="476"/>
      <c r="HMS15" s="476"/>
      <c r="HMT15" s="476"/>
      <c r="HMU15" s="476"/>
      <c r="HMV15" s="476"/>
      <c r="HMW15" s="476"/>
      <c r="HMX15" s="476"/>
      <c r="HMY15" s="476"/>
      <c r="HMZ15" s="476"/>
      <c r="HNA15" s="476"/>
      <c r="HNB15" s="476"/>
      <c r="HNC15" s="477"/>
      <c r="HND15" s="477"/>
      <c r="HNE15" s="463"/>
      <c r="HNF15" s="475"/>
      <c r="HNG15" s="476"/>
      <c r="HNH15" s="476"/>
      <c r="HNI15" s="476"/>
      <c r="HNJ15" s="476"/>
      <c r="HNK15" s="476"/>
      <c r="HNL15" s="476"/>
      <c r="HNM15" s="476"/>
      <c r="HNN15" s="476"/>
      <c r="HNO15" s="476"/>
      <c r="HNP15" s="476"/>
      <c r="HNQ15" s="476"/>
      <c r="HNR15" s="476"/>
      <c r="HNS15" s="477"/>
      <c r="HNT15" s="477"/>
      <c r="HNU15" s="463"/>
      <c r="HNV15" s="475"/>
      <c r="HNW15" s="476"/>
      <c r="HNX15" s="476"/>
      <c r="HNY15" s="476"/>
      <c r="HNZ15" s="476"/>
      <c r="HOA15" s="476"/>
      <c r="HOB15" s="476"/>
      <c r="HOC15" s="476"/>
      <c r="HOD15" s="476"/>
      <c r="HOE15" s="476"/>
      <c r="HOF15" s="476"/>
      <c r="HOG15" s="476"/>
      <c r="HOH15" s="476"/>
      <c r="HOI15" s="477"/>
      <c r="HOJ15" s="477"/>
      <c r="HOK15" s="463"/>
      <c r="HOL15" s="475"/>
      <c r="HOM15" s="476"/>
      <c r="HON15" s="476"/>
      <c r="HOO15" s="476"/>
      <c r="HOP15" s="476"/>
      <c r="HOQ15" s="476"/>
      <c r="HOR15" s="476"/>
      <c r="HOS15" s="476"/>
      <c r="HOT15" s="476"/>
      <c r="HOU15" s="476"/>
      <c r="HOV15" s="476"/>
      <c r="HOW15" s="476"/>
      <c r="HOX15" s="476"/>
      <c r="HOY15" s="477"/>
      <c r="HOZ15" s="477"/>
      <c r="HPA15" s="463"/>
      <c r="HPB15" s="475"/>
      <c r="HPC15" s="476"/>
      <c r="HPD15" s="476"/>
      <c r="HPE15" s="476"/>
      <c r="HPF15" s="476"/>
      <c r="HPG15" s="476"/>
      <c r="HPH15" s="476"/>
      <c r="HPI15" s="476"/>
      <c r="HPJ15" s="476"/>
      <c r="HPK15" s="476"/>
      <c r="HPL15" s="476"/>
      <c r="HPM15" s="476"/>
      <c r="HPN15" s="476"/>
      <c r="HPO15" s="477"/>
      <c r="HPP15" s="477"/>
      <c r="HPQ15" s="463"/>
      <c r="HPR15" s="475"/>
      <c r="HPS15" s="476"/>
      <c r="HPT15" s="476"/>
      <c r="HPU15" s="476"/>
      <c r="HPV15" s="476"/>
      <c r="HPW15" s="476"/>
      <c r="HPX15" s="476"/>
      <c r="HPY15" s="476"/>
      <c r="HPZ15" s="476"/>
      <c r="HQA15" s="476"/>
      <c r="HQB15" s="476"/>
      <c r="HQC15" s="476"/>
      <c r="HQD15" s="476"/>
      <c r="HQE15" s="477"/>
      <c r="HQF15" s="477"/>
      <c r="HQG15" s="463"/>
      <c r="HQH15" s="475"/>
      <c r="HQI15" s="476"/>
      <c r="HQJ15" s="476"/>
      <c r="HQK15" s="476"/>
      <c r="HQL15" s="476"/>
      <c r="HQM15" s="476"/>
      <c r="HQN15" s="476"/>
      <c r="HQO15" s="476"/>
      <c r="HQP15" s="476"/>
      <c r="HQQ15" s="476"/>
      <c r="HQR15" s="476"/>
      <c r="HQS15" s="476"/>
      <c r="HQT15" s="476"/>
      <c r="HQU15" s="477"/>
      <c r="HQV15" s="477"/>
      <c r="HQW15" s="463"/>
      <c r="HQX15" s="475"/>
      <c r="HQY15" s="476"/>
      <c r="HQZ15" s="476"/>
      <c r="HRA15" s="476"/>
      <c r="HRB15" s="476"/>
      <c r="HRC15" s="476"/>
      <c r="HRD15" s="476"/>
      <c r="HRE15" s="476"/>
      <c r="HRF15" s="476"/>
      <c r="HRG15" s="476"/>
      <c r="HRH15" s="476"/>
      <c r="HRI15" s="476"/>
      <c r="HRJ15" s="476"/>
      <c r="HRK15" s="477"/>
      <c r="HRL15" s="477"/>
      <c r="HRM15" s="463"/>
      <c r="HRN15" s="475"/>
      <c r="HRO15" s="476"/>
      <c r="HRP15" s="476"/>
      <c r="HRQ15" s="476"/>
      <c r="HRR15" s="476"/>
      <c r="HRS15" s="476"/>
      <c r="HRT15" s="476"/>
      <c r="HRU15" s="476"/>
      <c r="HRV15" s="476"/>
      <c r="HRW15" s="476"/>
      <c r="HRX15" s="476"/>
      <c r="HRY15" s="476"/>
      <c r="HRZ15" s="476"/>
      <c r="HSA15" s="477"/>
      <c r="HSB15" s="477"/>
      <c r="HSC15" s="463"/>
      <c r="HSD15" s="475"/>
      <c r="HSE15" s="476"/>
      <c r="HSF15" s="476"/>
      <c r="HSG15" s="476"/>
      <c r="HSH15" s="476"/>
      <c r="HSI15" s="476"/>
      <c r="HSJ15" s="476"/>
      <c r="HSK15" s="476"/>
      <c r="HSL15" s="476"/>
      <c r="HSM15" s="476"/>
      <c r="HSN15" s="476"/>
      <c r="HSO15" s="476"/>
      <c r="HSP15" s="476"/>
      <c r="HSQ15" s="477"/>
      <c r="HSR15" s="477"/>
      <c r="HSS15" s="463"/>
      <c r="HST15" s="475"/>
      <c r="HSU15" s="476"/>
      <c r="HSV15" s="476"/>
      <c r="HSW15" s="476"/>
      <c r="HSX15" s="476"/>
      <c r="HSY15" s="476"/>
      <c r="HSZ15" s="476"/>
      <c r="HTA15" s="476"/>
      <c r="HTB15" s="476"/>
      <c r="HTC15" s="476"/>
      <c r="HTD15" s="476"/>
      <c r="HTE15" s="476"/>
      <c r="HTF15" s="476"/>
      <c r="HTG15" s="477"/>
      <c r="HTH15" s="477"/>
      <c r="HTI15" s="463"/>
      <c r="HTJ15" s="475"/>
      <c r="HTK15" s="476"/>
      <c r="HTL15" s="476"/>
      <c r="HTM15" s="476"/>
      <c r="HTN15" s="476"/>
      <c r="HTO15" s="476"/>
      <c r="HTP15" s="476"/>
      <c r="HTQ15" s="476"/>
      <c r="HTR15" s="476"/>
      <c r="HTS15" s="476"/>
      <c r="HTT15" s="476"/>
      <c r="HTU15" s="476"/>
      <c r="HTV15" s="476"/>
      <c r="HTW15" s="477"/>
      <c r="HTX15" s="477"/>
      <c r="HTY15" s="463"/>
      <c r="HTZ15" s="475"/>
      <c r="HUA15" s="476"/>
      <c r="HUB15" s="476"/>
      <c r="HUC15" s="476"/>
      <c r="HUD15" s="476"/>
      <c r="HUE15" s="476"/>
      <c r="HUF15" s="476"/>
      <c r="HUG15" s="476"/>
      <c r="HUH15" s="476"/>
      <c r="HUI15" s="476"/>
      <c r="HUJ15" s="476"/>
      <c r="HUK15" s="476"/>
      <c r="HUL15" s="476"/>
      <c r="HUM15" s="477"/>
      <c r="HUN15" s="477"/>
      <c r="HUO15" s="463"/>
      <c r="HUP15" s="475"/>
      <c r="HUQ15" s="476"/>
      <c r="HUR15" s="476"/>
      <c r="HUS15" s="476"/>
      <c r="HUT15" s="476"/>
      <c r="HUU15" s="476"/>
      <c r="HUV15" s="476"/>
      <c r="HUW15" s="476"/>
      <c r="HUX15" s="476"/>
      <c r="HUY15" s="476"/>
      <c r="HUZ15" s="476"/>
      <c r="HVA15" s="476"/>
      <c r="HVB15" s="476"/>
      <c r="HVC15" s="477"/>
      <c r="HVD15" s="477"/>
      <c r="HVE15" s="463"/>
      <c r="HVF15" s="475"/>
      <c r="HVG15" s="476"/>
      <c r="HVH15" s="476"/>
      <c r="HVI15" s="476"/>
      <c r="HVJ15" s="476"/>
      <c r="HVK15" s="476"/>
      <c r="HVL15" s="476"/>
      <c r="HVM15" s="476"/>
      <c r="HVN15" s="476"/>
      <c r="HVO15" s="476"/>
      <c r="HVP15" s="476"/>
      <c r="HVQ15" s="476"/>
      <c r="HVR15" s="476"/>
      <c r="HVS15" s="477"/>
      <c r="HVT15" s="477"/>
      <c r="HVU15" s="463"/>
      <c r="HVV15" s="475"/>
      <c r="HVW15" s="476"/>
      <c r="HVX15" s="476"/>
      <c r="HVY15" s="476"/>
      <c r="HVZ15" s="476"/>
      <c r="HWA15" s="476"/>
      <c r="HWB15" s="476"/>
      <c r="HWC15" s="476"/>
      <c r="HWD15" s="476"/>
      <c r="HWE15" s="476"/>
      <c r="HWF15" s="476"/>
      <c r="HWG15" s="476"/>
      <c r="HWH15" s="476"/>
      <c r="HWI15" s="477"/>
      <c r="HWJ15" s="477"/>
      <c r="HWK15" s="463"/>
      <c r="HWL15" s="475"/>
      <c r="HWM15" s="476"/>
      <c r="HWN15" s="476"/>
      <c r="HWO15" s="476"/>
      <c r="HWP15" s="476"/>
      <c r="HWQ15" s="476"/>
      <c r="HWR15" s="476"/>
      <c r="HWS15" s="476"/>
      <c r="HWT15" s="476"/>
      <c r="HWU15" s="476"/>
      <c r="HWV15" s="476"/>
      <c r="HWW15" s="476"/>
      <c r="HWX15" s="476"/>
      <c r="HWY15" s="477"/>
      <c r="HWZ15" s="477"/>
      <c r="HXA15" s="463"/>
      <c r="HXB15" s="475"/>
      <c r="HXC15" s="476"/>
      <c r="HXD15" s="476"/>
      <c r="HXE15" s="476"/>
      <c r="HXF15" s="476"/>
      <c r="HXG15" s="476"/>
      <c r="HXH15" s="476"/>
      <c r="HXI15" s="476"/>
      <c r="HXJ15" s="476"/>
      <c r="HXK15" s="476"/>
      <c r="HXL15" s="476"/>
      <c r="HXM15" s="476"/>
      <c r="HXN15" s="476"/>
      <c r="HXO15" s="477"/>
      <c r="HXP15" s="477"/>
      <c r="HXQ15" s="463"/>
      <c r="HXR15" s="475"/>
      <c r="HXS15" s="476"/>
      <c r="HXT15" s="476"/>
      <c r="HXU15" s="476"/>
      <c r="HXV15" s="476"/>
      <c r="HXW15" s="476"/>
      <c r="HXX15" s="476"/>
      <c r="HXY15" s="476"/>
      <c r="HXZ15" s="476"/>
      <c r="HYA15" s="476"/>
      <c r="HYB15" s="476"/>
      <c r="HYC15" s="476"/>
      <c r="HYD15" s="476"/>
      <c r="HYE15" s="477"/>
      <c r="HYF15" s="477"/>
      <c r="HYG15" s="463"/>
      <c r="HYH15" s="475"/>
      <c r="HYI15" s="476"/>
      <c r="HYJ15" s="476"/>
      <c r="HYK15" s="476"/>
      <c r="HYL15" s="476"/>
      <c r="HYM15" s="476"/>
      <c r="HYN15" s="476"/>
      <c r="HYO15" s="476"/>
      <c r="HYP15" s="476"/>
      <c r="HYQ15" s="476"/>
      <c r="HYR15" s="476"/>
      <c r="HYS15" s="476"/>
      <c r="HYT15" s="476"/>
      <c r="HYU15" s="477"/>
      <c r="HYV15" s="477"/>
      <c r="HYW15" s="463"/>
      <c r="HYX15" s="475"/>
      <c r="HYY15" s="476"/>
      <c r="HYZ15" s="476"/>
      <c r="HZA15" s="476"/>
      <c r="HZB15" s="476"/>
      <c r="HZC15" s="476"/>
      <c r="HZD15" s="476"/>
      <c r="HZE15" s="476"/>
      <c r="HZF15" s="476"/>
      <c r="HZG15" s="476"/>
      <c r="HZH15" s="476"/>
      <c r="HZI15" s="476"/>
      <c r="HZJ15" s="476"/>
      <c r="HZK15" s="477"/>
      <c r="HZL15" s="477"/>
      <c r="HZM15" s="463"/>
      <c r="HZN15" s="475"/>
      <c r="HZO15" s="476"/>
      <c r="HZP15" s="476"/>
      <c r="HZQ15" s="476"/>
      <c r="HZR15" s="476"/>
      <c r="HZS15" s="476"/>
      <c r="HZT15" s="476"/>
      <c r="HZU15" s="476"/>
      <c r="HZV15" s="476"/>
      <c r="HZW15" s="476"/>
      <c r="HZX15" s="476"/>
      <c r="HZY15" s="476"/>
      <c r="HZZ15" s="476"/>
      <c r="IAA15" s="477"/>
      <c r="IAB15" s="477"/>
      <c r="IAC15" s="463"/>
      <c r="IAD15" s="475"/>
      <c r="IAE15" s="476"/>
      <c r="IAF15" s="476"/>
      <c r="IAG15" s="476"/>
      <c r="IAH15" s="476"/>
      <c r="IAI15" s="476"/>
      <c r="IAJ15" s="476"/>
      <c r="IAK15" s="476"/>
      <c r="IAL15" s="476"/>
      <c r="IAM15" s="476"/>
      <c r="IAN15" s="476"/>
      <c r="IAO15" s="476"/>
      <c r="IAP15" s="476"/>
      <c r="IAQ15" s="477"/>
      <c r="IAR15" s="477"/>
      <c r="IAS15" s="463"/>
      <c r="IAT15" s="475"/>
      <c r="IAU15" s="476"/>
      <c r="IAV15" s="476"/>
      <c r="IAW15" s="476"/>
      <c r="IAX15" s="476"/>
      <c r="IAY15" s="476"/>
      <c r="IAZ15" s="476"/>
      <c r="IBA15" s="476"/>
      <c r="IBB15" s="476"/>
      <c r="IBC15" s="476"/>
      <c r="IBD15" s="476"/>
      <c r="IBE15" s="476"/>
      <c r="IBF15" s="476"/>
      <c r="IBG15" s="477"/>
      <c r="IBH15" s="477"/>
      <c r="IBI15" s="463"/>
      <c r="IBJ15" s="475"/>
      <c r="IBK15" s="476"/>
      <c r="IBL15" s="476"/>
      <c r="IBM15" s="476"/>
      <c r="IBN15" s="476"/>
      <c r="IBO15" s="476"/>
      <c r="IBP15" s="476"/>
      <c r="IBQ15" s="476"/>
      <c r="IBR15" s="476"/>
      <c r="IBS15" s="476"/>
      <c r="IBT15" s="476"/>
      <c r="IBU15" s="476"/>
      <c r="IBV15" s="476"/>
      <c r="IBW15" s="477"/>
      <c r="IBX15" s="477"/>
      <c r="IBY15" s="463"/>
      <c r="IBZ15" s="475"/>
      <c r="ICA15" s="476"/>
      <c r="ICB15" s="476"/>
      <c r="ICC15" s="476"/>
      <c r="ICD15" s="476"/>
      <c r="ICE15" s="476"/>
      <c r="ICF15" s="476"/>
      <c r="ICG15" s="476"/>
      <c r="ICH15" s="476"/>
      <c r="ICI15" s="476"/>
      <c r="ICJ15" s="476"/>
      <c r="ICK15" s="476"/>
      <c r="ICL15" s="476"/>
      <c r="ICM15" s="477"/>
      <c r="ICN15" s="477"/>
      <c r="ICO15" s="463"/>
      <c r="ICP15" s="475"/>
      <c r="ICQ15" s="476"/>
      <c r="ICR15" s="476"/>
      <c r="ICS15" s="476"/>
      <c r="ICT15" s="476"/>
      <c r="ICU15" s="476"/>
      <c r="ICV15" s="476"/>
      <c r="ICW15" s="476"/>
      <c r="ICX15" s="476"/>
      <c r="ICY15" s="476"/>
      <c r="ICZ15" s="476"/>
      <c r="IDA15" s="476"/>
      <c r="IDB15" s="476"/>
      <c r="IDC15" s="477"/>
      <c r="IDD15" s="477"/>
      <c r="IDE15" s="463"/>
      <c r="IDF15" s="475"/>
      <c r="IDG15" s="476"/>
      <c r="IDH15" s="476"/>
      <c r="IDI15" s="476"/>
      <c r="IDJ15" s="476"/>
      <c r="IDK15" s="476"/>
      <c r="IDL15" s="476"/>
      <c r="IDM15" s="476"/>
      <c r="IDN15" s="476"/>
      <c r="IDO15" s="476"/>
      <c r="IDP15" s="476"/>
      <c r="IDQ15" s="476"/>
      <c r="IDR15" s="476"/>
      <c r="IDS15" s="477"/>
      <c r="IDT15" s="477"/>
      <c r="IDU15" s="463"/>
      <c r="IDV15" s="475"/>
      <c r="IDW15" s="476"/>
      <c r="IDX15" s="476"/>
      <c r="IDY15" s="476"/>
      <c r="IDZ15" s="476"/>
      <c r="IEA15" s="476"/>
      <c r="IEB15" s="476"/>
      <c r="IEC15" s="476"/>
      <c r="IED15" s="476"/>
      <c r="IEE15" s="476"/>
      <c r="IEF15" s="476"/>
      <c r="IEG15" s="476"/>
      <c r="IEH15" s="476"/>
      <c r="IEI15" s="477"/>
      <c r="IEJ15" s="477"/>
      <c r="IEK15" s="463"/>
      <c r="IEL15" s="475"/>
      <c r="IEM15" s="476"/>
      <c r="IEN15" s="476"/>
      <c r="IEO15" s="476"/>
      <c r="IEP15" s="476"/>
      <c r="IEQ15" s="476"/>
      <c r="IER15" s="476"/>
      <c r="IES15" s="476"/>
      <c r="IET15" s="476"/>
      <c r="IEU15" s="476"/>
      <c r="IEV15" s="476"/>
      <c r="IEW15" s="476"/>
      <c r="IEX15" s="476"/>
      <c r="IEY15" s="477"/>
      <c r="IEZ15" s="477"/>
      <c r="IFA15" s="463"/>
      <c r="IFB15" s="475"/>
      <c r="IFC15" s="476"/>
      <c r="IFD15" s="476"/>
      <c r="IFE15" s="476"/>
      <c r="IFF15" s="476"/>
      <c r="IFG15" s="476"/>
      <c r="IFH15" s="476"/>
      <c r="IFI15" s="476"/>
      <c r="IFJ15" s="476"/>
      <c r="IFK15" s="476"/>
      <c r="IFL15" s="476"/>
      <c r="IFM15" s="476"/>
      <c r="IFN15" s="476"/>
      <c r="IFO15" s="477"/>
      <c r="IFP15" s="477"/>
      <c r="IFQ15" s="463"/>
      <c r="IFR15" s="475"/>
      <c r="IFS15" s="476"/>
      <c r="IFT15" s="476"/>
      <c r="IFU15" s="476"/>
      <c r="IFV15" s="476"/>
      <c r="IFW15" s="476"/>
      <c r="IFX15" s="476"/>
      <c r="IFY15" s="476"/>
      <c r="IFZ15" s="476"/>
      <c r="IGA15" s="476"/>
      <c r="IGB15" s="476"/>
      <c r="IGC15" s="476"/>
      <c r="IGD15" s="476"/>
      <c r="IGE15" s="477"/>
      <c r="IGF15" s="477"/>
      <c r="IGG15" s="463"/>
      <c r="IGH15" s="475"/>
      <c r="IGI15" s="476"/>
      <c r="IGJ15" s="476"/>
      <c r="IGK15" s="476"/>
      <c r="IGL15" s="476"/>
      <c r="IGM15" s="476"/>
      <c r="IGN15" s="476"/>
      <c r="IGO15" s="476"/>
      <c r="IGP15" s="476"/>
      <c r="IGQ15" s="476"/>
      <c r="IGR15" s="476"/>
      <c r="IGS15" s="476"/>
      <c r="IGT15" s="476"/>
      <c r="IGU15" s="477"/>
      <c r="IGV15" s="477"/>
      <c r="IGW15" s="463"/>
      <c r="IGX15" s="475"/>
      <c r="IGY15" s="476"/>
      <c r="IGZ15" s="476"/>
      <c r="IHA15" s="476"/>
      <c r="IHB15" s="476"/>
      <c r="IHC15" s="476"/>
      <c r="IHD15" s="476"/>
      <c r="IHE15" s="476"/>
      <c r="IHF15" s="476"/>
      <c r="IHG15" s="476"/>
      <c r="IHH15" s="476"/>
      <c r="IHI15" s="476"/>
      <c r="IHJ15" s="476"/>
      <c r="IHK15" s="477"/>
      <c r="IHL15" s="477"/>
      <c r="IHM15" s="463"/>
      <c r="IHN15" s="475"/>
      <c r="IHO15" s="476"/>
      <c r="IHP15" s="476"/>
      <c r="IHQ15" s="476"/>
      <c r="IHR15" s="476"/>
      <c r="IHS15" s="476"/>
      <c r="IHT15" s="476"/>
      <c r="IHU15" s="476"/>
      <c r="IHV15" s="476"/>
      <c r="IHW15" s="476"/>
      <c r="IHX15" s="476"/>
      <c r="IHY15" s="476"/>
      <c r="IHZ15" s="476"/>
      <c r="IIA15" s="477"/>
      <c r="IIB15" s="477"/>
      <c r="IIC15" s="463"/>
      <c r="IID15" s="475"/>
      <c r="IIE15" s="476"/>
      <c r="IIF15" s="476"/>
      <c r="IIG15" s="476"/>
      <c r="IIH15" s="476"/>
      <c r="III15" s="476"/>
      <c r="IIJ15" s="476"/>
      <c r="IIK15" s="476"/>
      <c r="IIL15" s="476"/>
      <c r="IIM15" s="476"/>
      <c r="IIN15" s="476"/>
      <c r="IIO15" s="476"/>
      <c r="IIP15" s="476"/>
      <c r="IIQ15" s="477"/>
      <c r="IIR15" s="477"/>
      <c r="IIS15" s="463"/>
      <c r="IIT15" s="475"/>
      <c r="IIU15" s="476"/>
      <c r="IIV15" s="476"/>
      <c r="IIW15" s="476"/>
      <c r="IIX15" s="476"/>
      <c r="IIY15" s="476"/>
      <c r="IIZ15" s="476"/>
      <c r="IJA15" s="476"/>
      <c r="IJB15" s="476"/>
      <c r="IJC15" s="476"/>
      <c r="IJD15" s="476"/>
      <c r="IJE15" s="476"/>
      <c r="IJF15" s="476"/>
      <c r="IJG15" s="477"/>
      <c r="IJH15" s="477"/>
      <c r="IJI15" s="463"/>
      <c r="IJJ15" s="475"/>
      <c r="IJK15" s="476"/>
      <c r="IJL15" s="476"/>
      <c r="IJM15" s="476"/>
      <c r="IJN15" s="476"/>
      <c r="IJO15" s="476"/>
      <c r="IJP15" s="476"/>
      <c r="IJQ15" s="476"/>
      <c r="IJR15" s="476"/>
      <c r="IJS15" s="476"/>
      <c r="IJT15" s="476"/>
      <c r="IJU15" s="476"/>
      <c r="IJV15" s="476"/>
      <c r="IJW15" s="477"/>
      <c r="IJX15" s="477"/>
      <c r="IJY15" s="463"/>
      <c r="IJZ15" s="475"/>
      <c r="IKA15" s="476"/>
      <c r="IKB15" s="476"/>
      <c r="IKC15" s="476"/>
      <c r="IKD15" s="476"/>
      <c r="IKE15" s="476"/>
      <c r="IKF15" s="476"/>
      <c r="IKG15" s="476"/>
      <c r="IKH15" s="476"/>
      <c r="IKI15" s="476"/>
      <c r="IKJ15" s="476"/>
      <c r="IKK15" s="476"/>
      <c r="IKL15" s="476"/>
      <c r="IKM15" s="477"/>
      <c r="IKN15" s="477"/>
      <c r="IKO15" s="463"/>
      <c r="IKP15" s="475"/>
      <c r="IKQ15" s="476"/>
      <c r="IKR15" s="476"/>
      <c r="IKS15" s="476"/>
      <c r="IKT15" s="476"/>
      <c r="IKU15" s="476"/>
      <c r="IKV15" s="476"/>
      <c r="IKW15" s="476"/>
      <c r="IKX15" s="476"/>
      <c r="IKY15" s="476"/>
      <c r="IKZ15" s="476"/>
      <c r="ILA15" s="476"/>
      <c r="ILB15" s="476"/>
      <c r="ILC15" s="477"/>
      <c r="ILD15" s="477"/>
      <c r="ILE15" s="463"/>
      <c r="ILF15" s="475"/>
      <c r="ILG15" s="476"/>
      <c r="ILH15" s="476"/>
      <c r="ILI15" s="476"/>
      <c r="ILJ15" s="476"/>
      <c r="ILK15" s="476"/>
      <c r="ILL15" s="476"/>
      <c r="ILM15" s="476"/>
      <c r="ILN15" s="476"/>
      <c r="ILO15" s="476"/>
      <c r="ILP15" s="476"/>
      <c r="ILQ15" s="476"/>
      <c r="ILR15" s="476"/>
      <c r="ILS15" s="477"/>
      <c r="ILT15" s="477"/>
      <c r="ILU15" s="463"/>
      <c r="ILV15" s="475"/>
      <c r="ILW15" s="476"/>
      <c r="ILX15" s="476"/>
      <c r="ILY15" s="476"/>
      <c r="ILZ15" s="476"/>
      <c r="IMA15" s="476"/>
      <c r="IMB15" s="476"/>
      <c r="IMC15" s="476"/>
      <c r="IMD15" s="476"/>
      <c r="IME15" s="476"/>
      <c r="IMF15" s="476"/>
      <c r="IMG15" s="476"/>
      <c r="IMH15" s="476"/>
      <c r="IMI15" s="477"/>
      <c r="IMJ15" s="477"/>
      <c r="IMK15" s="463"/>
      <c r="IML15" s="475"/>
      <c r="IMM15" s="476"/>
      <c r="IMN15" s="476"/>
      <c r="IMO15" s="476"/>
      <c r="IMP15" s="476"/>
      <c r="IMQ15" s="476"/>
      <c r="IMR15" s="476"/>
      <c r="IMS15" s="476"/>
      <c r="IMT15" s="476"/>
      <c r="IMU15" s="476"/>
      <c r="IMV15" s="476"/>
      <c r="IMW15" s="476"/>
      <c r="IMX15" s="476"/>
      <c r="IMY15" s="477"/>
      <c r="IMZ15" s="477"/>
      <c r="INA15" s="463"/>
      <c r="INB15" s="475"/>
      <c r="INC15" s="476"/>
      <c r="IND15" s="476"/>
      <c r="INE15" s="476"/>
      <c r="INF15" s="476"/>
      <c r="ING15" s="476"/>
      <c r="INH15" s="476"/>
      <c r="INI15" s="476"/>
      <c r="INJ15" s="476"/>
      <c r="INK15" s="476"/>
      <c r="INL15" s="476"/>
      <c r="INM15" s="476"/>
      <c r="INN15" s="476"/>
      <c r="INO15" s="477"/>
      <c r="INP15" s="477"/>
      <c r="INQ15" s="463"/>
      <c r="INR15" s="475"/>
      <c r="INS15" s="476"/>
      <c r="INT15" s="476"/>
      <c r="INU15" s="476"/>
      <c r="INV15" s="476"/>
      <c r="INW15" s="476"/>
      <c r="INX15" s="476"/>
      <c r="INY15" s="476"/>
      <c r="INZ15" s="476"/>
      <c r="IOA15" s="476"/>
      <c r="IOB15" s="476"/>
      <c r="IOC15" s="476"/>
      <c r="IOD15" s="476"/>
      <c r="IOE15" s="477"/>
      <c r="IOF15" s="477"/>
      <c r="IOG15" s="463"/>
      <c r="IOH15" s="475"/>
      <c r="IOI15" s="476"/>
      <c r="IOJ15" s="476"/>
      <c r="IOK15" s="476"/>
      <c r="IOL15" s="476"/>
      <c r="IOM15" s="476"/>
      <c r="ION15" s="476"/>
      <c r="IOO15" s="476"/>
      <c r="IOP15" s="476"/>
      <c r="IOQ15" s="476"/>
      <c r="IOR15" s="476"/>
      <c r="IOS15" s="476"/>
      <c r="IOT15" s="476"/>
      <c r="IOU15" s="477"/>
      <c r="IOV15" s="477"/>
      <c r="IOW15" s="463"/>
      <c r="IOX15" s="475"/>
      <c r="IOY15" s="476"/>
      <c r="IOZ15" s="476"/>
      <c r="IPA15" s="476"/>
      <c r="IPB15" s="476"/>
      <c r="IPC15" s="476"/>
      <c r="IPD15" s="476"/>
      <c r="IPE15" s="476"/>
      <c r="IPF15" s="476"/>
      <c r="IPG15" s="476"/>
      <c r="IPH15" s="476"/>
      <c r="IPI15" s="476"/>
      <c r="IPJ15" s="476"/>
      <c r="IPK15" s="477"/>
      <c r="IPL15" s="477"/>
      <c r="IPM15" s="463"/>
      <c r="IPN15" s="475"/>
      <c r="IPO15" s="476"/>
      <c r="IPP15" s="476"/>
      <c r="IPQ15" s="476"/>
      <c r="IPR15" s="476"/>
      <c r="IPS15" s="476"/>
      <c r="IPT15" s="476"/>
      <c r="IPU15" s="476"/>
      <c r="IPV15" s="476"/>
      <c r="IPW15" s="476"/>
      <c r="IPX15" s="476"/>
      <c r="IPY15" s="476"/>
      <c r="IPZ15" s="476"/>
      <c r="IQA15" s="477"/>
      <c r="IQB15" s="477"/>
      <c r="IQC15" s="463"/>
      <c r="IQD15" s="475"/>
      <c r="IQE15" s="476"/>
      <c r="IQF15" s="476"/>
      <c r="IQG15" s="476"/>
      <c r="IQH15" s="476"/>
      <c r="IQI15" s="476"/>
      <c r="IQJ15" s="476"/>
      <c r="IQK15" s="476"/>
      <c r="IQL15" s="476"/>
      <c r="IQM15" s="476"/>
      <c r="IQN15" s="476"/>
      <c r="IQO15" s="476"/>
      <c r="IQP15" s="476"/>
      <c r="IQQ15" s="477"/>
      <c r="IQR15" s="477"/>
      <c r="IQS15" s="463"/>
      <c r="IQT15" s="475"/>
      <c r="IQU15" s="476"/>
      <c r="IQV15" s="476"/>
      <c r="IQW15" s="476"/>
      <c r="IQX15" s="476"/>
      <c r="IQY15" s="476"/>
      <c r="IQZ15" s="476"/>
      <c r="IRA15" s="476"/>
      <c r="IRB15" s="476"/>
      <c r="IRC15" s="476"/>
      <c r="IRD15" s="476"/>
      <c r="IRE15" s="476"/>
      <c r="IRF15" s="476"/>
      <c r="IRG15" s="477"/>
      <c r="IRH15" s="477"/>
      <c r="IRI15" s="463"/>
      <c r="IRJ15" s="475"/>
      <c r="IRK15" s="476"/>
      <c r="IRL15" s="476"/>
      <c r="IRM15" s="476"/>
      <c r="IRN15" s="476"/>
      <c r="IRO15" s="476"/>
      <c r="IRP15" s="476"/>
      <c r="IRQ15" s="476"/>
      <c r="IRR15" s="476"/>
      <c r="IRS15" s="476"/>
      <c r="IRT15" s="476"/>
      <c r="IRU15" s="476"/>
      <c r="IRV15" s="476"/>
      <c r="IRW15" s="477"/>
      <c r="IRX15" s="477"/>
      <c r="IRY15" s="463"/>
      <c r="IRZ15" s="475"/>
      <c r="ISA15" s="476"/>
      <c r="ISB15" s="476"/>
      <c r="ISC15" s="476"/>
      <c r="ISD15" s="476"/>
      <c r="ISE15" s="476"/>
      <c r="ISF15" s="476"/>
      <c r="ISG15" s="476"/>
      <c r="ISH15" s="476"/>
      <c r="ISI15" s="476"/>
      <c r="ISJ15" s="476"/>
      <c r="ISK15" s="476"/>
      <c r="ISL15" s="476"/>
      <c r="ISM15" s="477"/>
      <c r="ISN15" s="477"/>
      <c r="ISO15" s="463"/>
      <c r="ISP15" s="475"/>
      <c r="ISQ15" s="476"/>
      <c r="ISR15" s="476"/>
      <c r="ISS15" s="476"/>
      <c r="IST15" s="476"/>
      <c r="ISU15" s="476"/>
      <c r="ISV15" s="476"/>
      <c r="ISW15" s="476"/>
      <c r="ISX15" s="476"/>
      <c r="ISY15" s="476"/>
      <c r="ISZ15" s="476"/>
      <c r="ITA15" s="476"/>
      <c r="ITB15" s="476"/>
      <c r="ITC15" s="477"/>
      <c r="ITD15" s="477"/>
      <c r="ITE15" s="463"/>
      <c r="ITF15" s="475"/>
      <c r="ITG15" s="476"/>
      <c r="ITH15" s="476"/>
      <c r="ITI15" s="476"/>
      <c r="ITJ15" s="476"/>
      <c r="ITK15" s="476"/>
      <c r="ITL15" s="476"/>
      <c r="ITM15" s="476"/>
      <c r="ITN15" s="476"/>
      <c r="ITO15" s="476"/>
      <c r="ITP15" s="476"/>
      <c r="ITQ15" s="476"/>
      <c r="ITR15" s="476"/>
      <c r="ITS15" s="477"/>
      <c r="ITT15" s="477"/>
      <c r="ITU15" s="463"/>
      <c r="ITV15" s="475"/>
      <c r="ITW15" s="476"/>
      <c r="ITX15" s="476"/>
      <c r="ITY15" s="476"/>
      <c r="ITZ15" s="476"/>
      <c r="IUA15" s="476"/>
      <c r="IUB15" s="476"/>
      <c r="IUC15" s="476"/>
      <c r="IUD15" s="476"/>
      <c r="IUE15" s="476"/>
      <c r="IUF15" s="476"/>
      <c r="IUG15" s="476"/>
      <c r="IUH15" s="476"/>
      <c r="IUI15" s="477"/>
      <c r="IUJ15" s="477"/>
      <c r="IUK15" s="463"/>
      <c r="IUL15" s="475"/>
      <c r="IUM15" s="476"/>
      <c r="IUN15" s="476"/>
      <c r="IUO15" s="476"/>
      <c r="IUP15" s="476"/>
      <c r="IUQ15" s="476"/>
      <c r="IUR15" s="476"/>
      <c r="IUS15" s="476"/>
      <c r="IUT15" s="476"/>
      <c r="IUU15" s="476"/>
      <c r="IUV15" s="476"/>
      <c r="IUW15" s="476"/>
      <c r="IUX15" s="476"/>
      <c r="IUY15" s="477"/>
      <c r="IUZ15" s="477"/>
      <c r="IVA15" s="463"/>
      <c r="IVB15" s="475"/>
      <c r="IVC15" s="476"/>
      <c r="IVD15" s="476"/>
      <c r="IVE15" s="476"/>
      <c r="IVF15" s="476"/>
      <c r="IVG15" s="476"/>
      <c r="IVH15" s="476"/>
      <c r="IVI15" s="476"/>
      <c r="IVJ15" s="476"/>
      <c r="IVK15" s="476"/>
      <c r="IVL15" s="476"/>
      <c r="IVM15" s="476"/>
      <c r="IVN15" s="476"/>
      <c r="IVO15" s="477"/>
      <c r="IVP15" s="477"/>
      <c r="IVQ15" s="463"/>
      <c r="IVR15" s="475"/>
      <c r="IVS15" s="476"/>
      <c r="IVT15" s="476"/>
      <c r="IVU15" s="476"/>
      <c r="IVV15" s="476"/>
      <c r="IVW15" s="476"/>
      <c r="IVX15" s="476"/>
      <c r="IVY15" s="476"/>
      <c r="IVZ15" s="476"/>
      <c r="IWA15" s="476"/>
      <c r="IWB15" s="476"/>
      <c r="IWC15" s="476"/>
      <c r="IWD15" s="476"/>
      <c r="IWE15" s="477"/>
      <c r="IWF15" s="477"/>
      <c r="IWG15" s="463"/>
      <c r="IWH15" s="475"/>
      <c r="IWI15" s="476"/>
      <c r="IWJ15" s="476"/>
      <c r="IWK15" s="476"/>
      <c r="IWL15" s="476"/>
      <c r="IWM15" s="476"/>
      <c r="IWN15" s="476"/>
      <c r="IWO15" s="476"/>
      <c r="IWP15" s="476"/>
      <c r="IWQ15" s="476"/>
      <c r="IWR15" s="476"/>
      <c r="IWS15" s="476"/>
      <c r="IWT15" s="476"/>
      <c r="IWU15" s="477"/>
      <c r="IWV15" s="477"/>
      <c r="IWW15" s="463"/>
      <c r="IWX15" s="475"/>
      <c r="IWY15" s="476"/>
      <c r="IWZ15" s="476"/>
      <c r="IXA15" s="476"/>
      <c r="IXB15" s="476"/>
      <c r="IXC15" s="476"/>
      <c r="IXD15" s="476"/>
      <c r="IXE15" s="476"/>
      <c r="IXF15" s="476"/>
      <c r="IXG15" s="476"/>
      <c r="IXH15" s="476"/>
      <c r="IXI15" s="476"/>
      <c r="IXJ15" s="476"/>
      <c r="IXK15" s="477"/>
      <c r="IXL15" s="477"/>
      <c r="IXM15" s="463"/>
      <c r="IXN15" s="475"/>
      <c r="IXO15" s="476"/>
      <c r="IXP15" s="476"/>
      <c r="IXQ15" s="476"/>
      <c r="IXR15" s="476"/>
      <c r="IXS15" s="476"/>
      <c r="IXT15" s="476"/>
      <c r="IXU15" s="476"/>
      <c r="IXV15" s="476"/>
      <c r="IXW15" s="476"/>
      <c r="IXX15" s="476"/>
      <c r="IXY15" s="476"/>
      <c r="IXZ15" s="476"/>
      <c r="IYA15" s="477"/>
      <c r="IYB15" s="477"/>
      <c r="IYC15" s="463"/>
      <c r="IYD15" s="475"/>
      <c r="IYE15" s="476"/>
      <c r="IYF15" s="476"/>
      <c r="IYG15" s="476"/>
      <c r="IYH15" s="476"/>
      <c r="IYI15" s="476"/>
      <c r="IYJ15" s="476"/>
      <c r="IYK15" s="476"/>
      <c r="IYL15" s="476"/>
      <c r="IYM15" s="476"/>
      <c r="IYN15" s="476"/>
      <c r="IYO15" s="476"/>
      <c r="IYP15" s="476"/>
      <c r="IYQ15" s="477"/>
      <c r="IYR15" s="477"/>
      <c r="IYS15" s="463"/>
      <c r="IYT15" s="475"/>
      <c r="IYU15" s="476"/>
      <c r="IYV15" s="476"/>
      <c r="IYW15" s="476"/>
      <c r="IYX15" s="476"/>
      <c r="IYY15" s="476"/>
      <c r="IYZ15" s="476"/>
      <c r="IZA15" s="476"/>
      <c r="IZB15" s="476"/>
      <c r="IZC15" s="476"/>
      <c r="IZD15" s="476"/>
      <c r="IZE15" s="476"/>
      <c r="IZF15" s="476"/>
      <c r="IZG15" s="477"/>
      <c r="IZH15" s="477"/>
      <c r="IZI15" s="463"/>
      <c r="IZJ15" s="475"/>
      <c r="IZK15" s="476"/>
      <c r="IZL15" s="476"/>
      <c r="IZM15" s="476"/>
      <c r="IZN15" s="476"/>
      <c r="IZO15" s="476"/>
      <c r="IZP15" s="476"/>
      <c r="IZQ15" s="476"/>
      <c r="IZR15" s="476"/>
      <c r="IZS15" s="476"/>
      <c r="IZT15" s="476"/>
      <c r="IZU15" s="476"/>
      <c r="IZV15" s="476"/>
      <c r="IZW15" s="477"/>
      <c r="IZX15" s="477"/>
      <c r="IZY15" s="463"/>
      <c r="IZZ15" s="475"/>
      <c r="JAA15" s="476"/>
      <c r="JAB15" s="476"/>
      <c r="JAC15" s="476"/>
      <c r="JAD15" s="476"/>
      <c r="JAE15" s="476"/>
      <c r="JAF15" s="476"/>
      <c r="JAG15" s="476"/>
      <c r="JAH15" s="476"/>
      <c r="JAI15" s="476"/>
      <c r="JAJ15" s="476"/>
      <c r="JAK15" s="476"/>
      <c r="JAL15" s="476"/>
      <c r="JAM15" s="477"/>
      <c r="JAN15" s="477"/>
      <c r="JAO15" s="463"/>
      <c r="JAP15" s="475"/>
      <c r="JAQ15" s="476"/>
      <c r="JAR15" s="476"/>
      <c r="JAS15" s="476"/>
      <c r="JAT15" s="476"/>
      <c r="JAU15" s="476"/>
      <c r="JAV15" s="476"/>
      <c r="JAW15" s="476"/>
      <c r="JAX15" s="476"/>
      <c r="JAY15" s="476"/>
      <c r="JAZ15" s="476"/>
      <c r="JBA15" s="476"/>
      <c r="JBB15" s="476"/>
      <c r="JBC15" s="477"/>
      <c r="JBD15" s="477"/>
      <c r="JBE15" s="463"/>
      <c r="JBF15" s="475"/>
      <c r="JBG15" s="476"/>
      <c r="JBH15" s="476"/>
      <c r="JBI15" s="476"/>
      <c r="JBJ15" s="476"/>
      <c r="JBK15" s="476"/>
      <c r="JBL15" s="476"/>
      <c r="JBM15" s="476"/>
      <c r="JBN15" s="476"/>
      <c r="JBO15" s="476"/>
      <c r="JBP15" s="476"/>
      <c r="JBQ15" s="476"/>
      <c r="JBR15" s="476"/>
      <c r="JBS15" s="477"/>
      <c r="JBT15" s="477"/>
      <c r="JBU15" s="463"/>
      <c r="JBV15" s="475"/>
      <c r="JBW15" s="476"/>
      <c r="JBX15" s="476"/>
      <c r="JBY15" s="476"/>
      <c r="JBZ15" s="476"/>
      <c r="JCA15" s="476"/>
      <c r="JCB15" s="476"/>
      <c r="JCC15" s="476"/>
      <c r="JCD15" s="476"/>
      <c r="JCE15" s="476"/>
      <c r="JCF15" s="476"/>
      <c r="JCG15" s="476"/>
      <c r="JCH15" s="476"/>
      <c r="JCI15" s="477"/>
      <c r="JCJ15" s="477"/>
      <c r="JCK15" s="463"/>
      <c r="JCL15" s="475"/>
      <c r="JCM15" s="476"/>
      <c r="JCN15" s="476"/>
      <c r="JCO15" s="476"/>
      <c r="JCP15" s="476"/>
      <c r="JCQ15" s="476"/>
      <c r="JCR15" s="476"/>
      <c r="JCS15" s="476"/>
      <c r="JCT15" s="476"/>
      <c r="JCU15" s="476"/>
      <c r="JCV15" s="476"/>
      <c r="JCW15" s="476"/>
      <c r="JCX15" s="476"/>
      <c r="JCY15" s="477"/>
      <c r="JCZ15" s="477"/>
      <c r="JDA15" s="463"/>
      <c r="JDB15" s="475"/>
      <c r="JDC15" s="476"/>
      <c r="JDD15" s="476"/>
      <c r="JDE15" s="476"/>
      <c r="JDF15" s="476"/>
      <c r="JDG15" s="476"/>
      <c r="JDH15" s="476"/>
      <c r="JDI15" s="476"/>
      <c r="JDJ15" s="476"/>
      <c r="JDK15" s="476"/>
      <c r="JDL15" s="476"/>
      <c r="JDM15" s="476"/>
      <c r="JDN15" s="476"/>
      <c r="JDO15" s="477"/>
      <c r="JDP15" s="477"/>
      <c r="JDQ15" s="463"/>
      <c r="JDR15" s="475"/>
      <c r="JDS15" s="476"/>
      <c r="JDT15" s="476"/>
      <c r="JDU15" s="476"/>
      <c r="JDV15" s="476"/>
      <c r="JDW15" s="476"/>
      <c r="JDX15" s="476"/>
      <c r="JDY15" s="476"/>
      <c r="JDZ15" s="476"/>
      <c r="JEA15" s="476"/>
      <c r="JEB15" s="476"/>
      <c r="JEC15" s="476"/>
      <c r="JED15" s="476"/>
      <c r="JEE15" s="477"/>
      <c r="JEF15" s="477"/>
      <c r="JEG15" s="463"/>
      <c r="JEH15" s="475"/>
      <c r="JEI15" s="476"/>
      <c r="JEJ15" s="476"/>
      <c r="JEK15" s="476"/>
      <c r="JEL15" s="476"/>
      <c r="JEM15" s="476"/>
      <c r="JEN15" s="476"/>
      <c r="JEO15" s="476"/>
      <c r="JEP15" s="476"/>
      <c r="JEQ15" s="476"/>
      <c r="JER15" s="476"/>
      <c r="JES15" s="476"/>
      <c r="JET15" s="476"/>
      <c r="JEU15" s="477"/>
      <c r="JEV15" s="477"/>
      <c r="JEW15" s="463"/>
      <c r="JEX15" s="475"/>
      <c r="JEY15" s="476"/>
      <c r="JEZ15" s="476"/>
      <c r="JFA15" s="476"/>
      <c r="JFB15" s="476"/>
      <c r="JFC15" s="476"/>
      <c r="JFD15" s="476"/>
      <c r="JFE15" s="476"/>
      <c r="JFF15" s="476"/>
      <c r="JFG15" s="476"/>
      <c r="JFH15" s="476"/>
      <c r="JFI15" s="476"/>
      <c r="JFJ15" s="476"/>
      <c r="JFK15" s="477"/>
      <c r="JFL15" s="477"/>
      <c r="JFM15" s="463"/>
      <c r="JFN15" s="475"/>
      <c r="JFO15" s="476"/>
      <c r="JFP15" s="476"/>
      <c r="JFQ15" s="476"/>
      <c r="JFR15" s="476"/>
      <c r="JFS15" s="476"/>
      <c r="JFT15" s="476"/>
      <c r="JFU15" s="476"/>
      <c r="JFV15" s="476"/>
      <c r="JFW15" s="476"/>
      <c r="JFX15" s="476"/>
      <c r="JFY15" s="476"/>
      <c r="JFZ15" s="476"/>
      <c r="JGA15" s="477"/>
      <c r="JGB15" s="477"/>
      <c r="JGC15" s="463"/>
      <c r="JGD15" s="475"/>
      <c r="JGE15" s="476"/>
      <c r="JGF15" s="476"/>
      <c r="JGG15" s="476"/>
      <c r="JGH15" s="476"/>
      <c r="JGI15" s="476"/>
      <c r="JGJ15" s="476"/>
      <c r="JGK15" s="476"/>
      <c r="JGL15" s="476"/>
      <c r="JGM15" s="476"/>
      <c r="JGN15" s="476"/>
      <c r="JGO15" s="476"/>
      <c r="JGP15" s="476"/>
      <c r="JGQ15" s="477"/>
      <c r="JGR15" s="477"/>
      <c r="JGS15" s="463"/>
      <c r="JGT15" s="475"/>
      <c r="JGU15" s="476"/>
      <c r="JGV15" s="476"/>
      <c r="JGW15" s="476"/>
      <c r="JGX15" s="476"/>
      <c r="JGY15" s="476"/>
      <c r="JGZ15" s="476"/>
      <c r="JHA15" s="476"/>
      <c r="JHB15" s="476"/>
      <c r="JHC15" s="476"/>
      <c r="JHD15" s="476"/>
      <c r="JHE15" s="476"/>
      <c r="JHF15" s="476"/>
      <c r="JHG15" s="477"/>
      <c r="JHH15" s="477"/>
      <c r="JHI15" s="463"/>
      <c r="JHJ15" s="475"/>
      <c r="JHK15" s="476"/>
      <c r="JHL15" s="476"/>
      <c r="JHM15" s="476"/>
      <c r="JHN15" s="476"/>
      <c r="JHO15" s="476"/>
      <c r="JHP15" s="476"/>
      <c r="JHQ15" s="476"/>
      <c r="JHR15" s="476"/>
      <c r="JHS15" s="476"/>
      <c r="JHT15" s="476"/>
      <c r="JHU15" s="476"/>
      <c r="JHV15" s="476"/>
      <c r="JHW15" s="477"/>
      <c r="JHX15" s="477"/>
      <c r="JHY15" s="463"/>
      <c r="JHZ15" s="475"/>
      <c r="JIA15" s="476"/>
      <c r="JIB15" s="476"/>
      <c r="JIC15" s="476"/>
      <c r="JID15" s="476"/>
      <c r="JIE15" s="476"/>
      <c r="JIF15" s="476"/>
      <c r="JIG15" s="476"/>
      <c r="JIH15" s="476"/>
      <c r="JII15" s="476"/>
      <c r="JIJ15" s="476"/>
      <c r="JIK15" s="476"/>
      <c r="JIL15" s="476"/>
      <c r="JIM15" s="477"/>
      <c r="JIN15" s="477"/>
      <c r="JIO15" s="463"/>
      <c r="JIP15" s="475"/>
      <c r="JIQ15" s="476"/>
      <c r="JIR15" s="476"/>
      <c r="JIS15" s="476"/>
      <c r="JIT15" s="476"/>
      <c r="JIU15" s="476"/>
      <c r="JIV15" s="476"/>
      <c r="JIW15" s="476"/>
      <c r="JIX15" s="476"/>
      <c r="JIY15" s="476"/>
      <c r="JIZ15" s="476"/>
      <c r="JJA15" s="476"/>
      <c r="JJB15" s="476"/>
      <c r="JJC15" s="477"/>
      <c r="JJD15" s="477"/>
      <c r="JJE15" s="463"/>
      <c r="JJF15" s="475"/>
      <c r="JJG15" s="476"/>
      <c r="JJH15" s="476"/>
      <c r="JJI15" s="476"/>
      <c r="JJJ15" s="476"/>
      <c r="JJK15" s="476"/>
      <c r="JJL15" s="476"/>
      <c r="JJM15" s="476"/>
      <c r="JJN15" s="476"/>
      <c r="JJO15" s="476"/>
      <c r="JJP15" s="476"/>
      <c r="JJQ15" s="476"/>
      <c r="JJR15" s="476"/>
      <c r="JJS15" s="477"/>
      <c r="JJT15" s="477"/>
      <c r="JJU15" s="463"/>
      <c r="JJV15" s="475"/>
      <c r="JJW15" s="476"/>
      <c r="JJX15" s="476"/>
      <c r="JJY15" s="476"/>
      <c r="JJZ15" s="476"/>
      <c r="JKA15" s="476"/>
      <c r="JKB15" s="476"/>
      <c r="JKC15" s="476"/>
      <c r="JKD15" s="476"/>
      <c r="JKE15" s="476"/>
      <c r="JKF15" s="476"/>
      <c r="JKG15" s="476"/>
      <c r="JKH15" s="476"/>
      <c r="JKI15" s="477"/>
      <c r="JKJ15" s="477"/>
      <c r="JKK15" s="463"/>
      <c r="JKL15" s="475"/>
      <c r="JKM15" s="476"/>
      <c r="JKN15" s="476"/>
      <c r="JKO15" s="476"/>
      <c r="JKP15" s="476"/>
      <c r="JKQ15" s="476"/>
      <c r="JKR15" s="476"/>
      <c r="JKS15" s="476"/>
      <c r="JKT15" s="476"/>
      <c r="JKU15" s="476"/>
      <c r="JKV15" s="476"/>
      <c r="JKW15" s="476"/>
      <c r="JKX15" s="476"/>
      <c r="JKY15" s="477"/>
      <c r="JKZ15" s="477"/>
      <c r="JLA15" s="463"/>
      <c r="JLB15" s="475"/>
      <c r="JLC15" s="476"/>
      <c r="JLD15" s="476"/>
      <c r="JLE15" s="476"/>
      <c r="JLF15" s="476"/>
      <c r="JLG15" s="476"/>
      <c r="JLH15" s="476"/>
      <c r="JLI15" s="476"/>
      <c r="JLJ15" s="476"/>
      <c r="JLK15" s="476"/>
      <c r="JLL15" s="476"/>
      <c r="JLM15" s="476"/>
      <c r="JLN15" s="476"/>
      <c r="JLO15" s="477"/>
      <c r="JLP15" s="477"/>
      <c r="JLQ15" s="463"/>
      <c r="JLR15" s="475"/>
      <c r="JLS15" s="476"/>
      <c r="JLT15" s="476"/>
      <c r="JLU15" s="476"/>
      <c r="JLV15" s="476"/>
      <c r="JLW15" s="476"/>
      <c r="JLX15" s="476"/>
      <c r="JLY15" s="476"/>
      <c r="JLZ15" s="476"/>
      <c r="JMA15" s="476"/>
      <c r="JMB15" s="476"/>
      <c r="JMC15" s="476"/>
      <c r="JMD15" s="476"/>
      <c r="JME15" s="477"/>
      <c r="JMF15" s="477"/>
      <c r="JMG15" s="463"/>
      <c r="JMH15" s="475"/>
      <c r="JMI15" s="476"/>
      <c r="JMJ15" s="476"/>
      <c r="JMK15" s="476"/>
      <c r="JML15" s="476"/>
      <c r="JMM15" s="476"/>
      <c r="JMN15" s="476"/>
      <c r="JMO15" s="476"/>
      <c r="JMP15" s="476"/>
      <c r="JMQ15" s="476"/>
      <c r="JMR15" s="476"/>
      <c r="JMS15" s="476"/>
      <c r="JMT15" s="476"/>
      <c r="JMU15" s="477"/>
      <c r="JMV15" s="477"/>
      <c r="JMW15" s="463"/>
      <c r="JMX15" s="475"/>
      <c r="JMY15" s="476"/>
      <c r="JMZ15" s="476"/>
      <c r="JNA15" s="476"/>
      <c r="JNB15" s="476"/>
      <c r="JNC15" s="476"/>
      <c r="JND15" s="476"/>
      <c r="JNE15" s="476"/>
      <c r="JNF15" s="476"/>
      <c r="JNG15" s="476"/>
      <c r="JNH15" s="476"/>
      <c r="JNI15" s="476"/>
      <c r="JNJ15" s="476"/>
      <c r="JNK15" s="477"/>
      <c r="JNL15" s="477"/>
      <c r="JNM15" s="463"/>
      <c r="JNN15" s="475"/>
      <c r="JNO15" s="476"/>
      <c r="JNP15" s="476"/>
      <c r="JNQ15" s="476"/>
      <c r="JNR15" s="476"/>
      <c r="JNS15" s="476"/>
      <c r="JNT15" s="476"/>
      <c r="JNU15" s="476"/>
      <c r="JNV15" s="476"/>
      <c r="JNW15" s="476"/>
      <c r="JNX15" s="476"/>
      <c r="JNY15" s="476"/>
      <c r="JNZ15" s="476"/>
      <c r="JOA15" s="477"/>
      <c r="JOB15" s="477"/>
      <c r="JOC15" s="463"/>
      <c r="JOD15" s="475"/>
      <c r="JOE15" s="476"/>
      <c r="JOF15" s="476"/>
      <c r="JOG15" s="476"/>
      <c r="JOH15" s="476"/>
      <c r="JOI15" s="476"/>
      <c r="JOJ15" s="476"/>
      <c r="JOK15" s="476"/>
      <c r="JOL15" s="476"/>
      <c r="JOM15" s="476"/>
      <c r="JON15" s="476"/>
      <c r="JOO15" s="476"/>
      <c r="JOP15" s="476"/>
      <c r="JOQ15" s="477"/>
      <c r="JOR15" s="477"/>
      <c r="JOS15" s="463"/>
      <c r="JOT15" s="475"/>
      <c r="JOU15" s="476"/>
      <c r="JOV15" s="476"/>
      <c r="JOW15" s="476"/>
      <c r="JOX15" s="476"/>
      <c r="JOY15" s="476"/>
      <c r="JOZ15" s="476"/>
      <c r="JPA15" s="476"/>
      <c r="JPB15" s="476"/>
      <c r="JPC15" s="476"/>
      <c r="JPD15" s="476"/>
      <c r="JPE15" s="476"/>
      <c r="JPF15" s="476"/>
      <c r="JPG15" s="477"/>
      <c r="JPH15" s="477"/>
      <c r="JPI15" s="463"/>
      <c r="JPJ15" s="475"/>
      <c r="JPK15" s="476"/>
      <c r="JPL15" s="476"/>
      <c r="JPM15" s="476"/>
      <c r="JPN15" s="476"/>
      <c r="JPO15" s="476"/>
      <c r="JPP15" s="476"/>
      <c r="JPQ15" s="476"/>
      <c r="JPR15" s="476"/>
      <c r="JPS15" s="476"/>
      <c r="JPT15" s="476"/>
      <c r="JPU15" s="476"/>
      <c r="JPV15" s="476"/>
      <c r="JPW15" s="477"/>
      <c r="JPX15" s="477"/>
      <c r="JPY15" s="463"/>
      <c r="JPZ15" s="475"/>
      <c r="JQA15" s="476"/>
      <c r="JQB15" s="476"/>
      <c r="JQC15" s="476"/>
      <c r="JQD15" s="476"/>
      <c r="JQE15" s="476"/>
      <c r="JQF15" s="476"/>
      <c r="JQG15" s="476"/>
      <c r="JQH15" s="476"/>
      <c r="JQI15" s="476"/>
      <c r="JQJ15" s="476"/>
      <c r="JQK15" s="476"/>
      <c r="JQL15" s="476"/>
      <c r="JQM15" s="477"/>
      <c r="JQN15" s="477"/>
      <c r="JQO15" s="463"/>
      <c r="JQP15" s="475"/>
      <c r="JQQ15" s="476"/>
      <c r="JQR15" s="476"/>
      <c r="JQS15" s="476"/>
      <c r="JQT15" s="476"/>
      <c r="JQU15" s="476"/>
      <c r="JQV15" s="476"/>
      <c r="JQW15" s="476"/>
      <c r="JQX15" s="476"/>
      <c r="JQY15" s="476"/>
      <c r="JQZ15" s="476"/>
      <c r="JRA15" s="476"/>
      <c r="JRB15" s="476"/>
      <c r="JRC15" s="477"/>
      <c r="JRD15" s="477"/>
      <c r="JRE15" s="463"/>
      <c r="JRF15" s="475"/>
      <c r="JRG15" s="476"/>
      <c r="JRH15" s="476"/>
      <c r="JRI15" s="476"/>
      <c r="JRJ15" s="476"/>
      <c r="JRK15" s="476"/>
      <c r="JRL15" s="476"/>
      <c r="JRM15" s="476"/>
      <c r="JRN15" s="476"/>
      <c r="JRO15" s="476"/>
      <c r="JRP15" s="476"/>
      <c r="JRQ15" s="476"/>
      <c r="JRR15" s="476"/>
      <c r="JRS15" s="477"/>
      <c r="JRT15" s="477"/>
      <c r="JRU15" s="463"/>
      <c r="JRV15" s="475"/>
      <c r="JRW15" s="476"/>
      <c r="JRX15" s="476"/>
      <c r="JRY15" s="476"/>
      <c r="JRZ15" s="476"/>
      <c r="JSA15" s="476"/>
      <c r="JSB15" s="476"/>
      <c r="JSC15" s="476"/>
      <c r="JSD15" s="476"/>
      <c r="JSE15" s="476"/>
      <c r="JSF15" s="476"/>
      <c r="JSG15" s="476"/>
      <c r="JSH15" s="476"/>
      <c r="JSI15" s="477"/>
      <c r="JSJ15" s="477"/>
      <c r="JSK15" s="463"/>
      <c r="JSL15" s="475"/>
      <c r="JSM15" s="476"/>
      <c r="JSN15" s="476"/>
      <c r="JSO15" s="476"/>
      <c r="JSP15" s="476"/>
      <c r="JSQ15" s="476"/>
      <c r="JSR15" s="476"/>
      <c r="JSS15" s="476"/>
      <c r="JST15" s="476"/>
      <c r="JSU15" s="476"/>
      <c r="JSV15" s="476"/>
      <c r="JSW15" s="476"/>
      <c r="JSX15" s="476"/>
      <c r="JSY15" s="477"/>
      <c r="JSZ15" s="477"/>
      <c r="JTA15" s="463"/>
      <c r="JTB15" s="475"/>
      <c r="JTC15" s="476"/>
      <c r="JTD15" s="476"/>
      <c r="JTE15" s="476"/>
      <c r="JTF15" s="476"/>
      <c r="JTG15" s="476"/>
      <c r="JTH15" s="476"/>
      <c r="JTI15" s="476"/>
      <c r="JTJ15" s="476"/>
      <c r="JTK15" s="476"/>
      <c r="JTL15" s="476"/>
      <c r="JTM15" s="476"/>
      <c r="JTN15" s="476"/>
      <c r="JTO15" s="477"/>
      <c r="JTP15" s="477"/>
      <c r="JTQ15" s="463"/>
      <c r="JTR15" s="475"/>
      <c r="JTS15" s="476"/>
      <c r="JTT15" s="476"/>
      <c r="JTU15" s="476"/>
      <c r="JTV15" s="476"/>
      <c r="JTW15" s="476"/>
      <c r="JTX15" s="476"/>
      <c r="JTY15" s="476"/>
      <c r="JTZ15" s="476"/>
      <c r="JUA15" s="476"/>
      <c r="JUB15" s="476"/>
      <c r="JUC15" s="476"/>
      <c r="JUD15" s="476"/>
      <c r="JUE15" s="477"/>
      <c r="JUF15" s="477"/>
      <c r="JUG15" s="463"/>
      <c r="JUH15" s="475"/>
      <c r="JUI15" s="476"/>
      <c r="JUJ15" s="476"/>
      <c r="JUK15" s="476"/>
      <c r="JUL15" s="476"/>
      <c r="JUM15" s="476"/>
      <c r="JUN15" s="476"/>
      <c r="JUO15" s="476"/>
      <c r="JUP15" s="476"/>
      <c r="JUQ15" s="476"/>
      <c r="JUR15" s="476"/>
      <c r="JUS15" s="476"/>
      <c r="JUT15" s="476"/>
      <c r="JUU15" s="477"/>
      <c r="JUV15" s="477"/>
      <c r="JUW15" s="463"/>
      <c r="JUX15" s="475"/>
      <c r="JUY15" s="476"/>
      <c r="JUZ15" s="476"/>
      <c r="JVA15" s="476"/>
      <c r="JVB15" s="476"/>
      <c r="JVC15" s="476"/>
      <c r="JVD15" s="476"/>
      <c r="JVE15" s="476"/>
      <c r="JVF15" s="476"/>
      <c r="JVG15" s="476"/>
      <c r="JVH15" s="476"/>
      <c r="JVI15" s="476"/>
      <c r="JVJ15" s="476"/>
      <c r="JVK15" s="477"/>
      <c r="JVL15" s="477"/>
      <c r="JVM15" s="463"/>
      <c r="JVN15" s="475"/>
      <c r="JVO15" s="476"/>
      <c r="JVP15" s="476"/>
      <c r="JVQ15" s="476"/>
      <c r="JVR15" s="476"/>
      <c r="JVS15" s="476"/>
      <c r="JVT15" s="476"/>
      <c r="JVU15" s="476"/>
      <c r="JVV15" s="476"/>
      <c r="JVW15" s="476"/>
      <c r="JVX15" s="476"/>
      <c r="JVY15" s="476"/>
      <c r="JVZ15" s="476"/>
      <c r="JWA15" s="477"/>
      <c r="JWB15" s="477"/>
      <c r="JWC15" s="463"/>
      <c r="JWD15" s="475"/>
      <c r="JWE15" s="476"/>
      <c r="JWF15" s="476"/>
      <c r="JWG15" s="476"/>
      <c r="JWH15" s="476"/>
      <c r="JWI15" s="476"/>
      <c r="JWJ15" s="476"/>
      <c r="JWK15" s="476"/>
      <c r="JWL15" s="476"/>
      <c r="JWM15" s="476"/>
      <c r="JWN15" s="476"/>
      <c r="JWO15" s="476"/>
      <c r="JWP15" s="476"/>
      <c r="JWQ15" s="477"/>
      <c r="JWR15" s="477"/>
      <c r="JWS15" s="463"/>
      <c r="JWT15" s="475"/>
      <c r="JWU15" s="476"/>
      <c r="JWV15" s="476"/>
      <c r="JWW15" s="476"/>
      <c r="JWX15" s="476"/>
      <c r="JWY15" s="476"/>
      <c r="JWZ15" s="476"/>
      <c r="JXA15" s="476"/>
      <c r="JXB15" s="476"/>
      <c r="JXC15" s="476"/>
      <c r="JXD15" s="476"/>
      <c r="JXE15" s="476"/>
      <c r="JXF15" s="476"/>
      <c r="JXG15" s="477"/>
      <c r="JXH15" s="477"/>
      <c r="JXI15" s="463"/>
      <c r="JXJ15" s="475"/>
      <c r="JXK15" s="476"/>
      <c r="JXL15" s="476"/>
      <c r="JXM15" s="476"/>
      <c r="JXN15" s="476"/>
      <c r="JXO15" s="476"/>
      <c r="JXP15" s="476"/>
      <c r="JXQ15" s="476"/>
      <c r="JXR15" s="476"/>
      <c r="JXS15" s="476"/>
      <c r="JXT15" s="476"/>
      <c r="JXU15" s="476"/>
      <c r="JXV15" s="476"/>
      <c r="JXW15" s="477"/>
      <c r="JXX15" s="477"/>
      <c r="JXY15" s="463"/>
      <c r="JXZ15" s="475"/>
      <c r="JYA15" s="476"/>
      <c r="JYB15" s="476"/>
      <c r="JYC15" s="476"/>
      <c r="JYD15" s="476"/>
      <c r="JYE15" s="476"/>
      <c r="JYF15" s="476"/>
      <c r="JYG15" s="476"/>
      <c r="JYH15" s="476"/>
      <c r="JYI15" s="476"/>
      <c r="JYJ15" s="476"/>
      <c r="JYK15" s="476"/>
      <c r="JYL15" s="476"/>
      <c r="JYM15" s="477"/>
      <c r="JYN15" s="477"/>
      <c r="JYO15" s="463"/>
      <c r="JYP15" s="475"/>
      <c r="JYQ15" s="476"/>
      <c r="JYR15" s="476"/>
      <c r="JYS15" s="476"/>
      <c r="JYT15" s="476"/>
      <c r="JYU15" s="476"/>
      <c r="JYV15" s="476"/>
      <c r="JYW15" s="476"/>
      <c r="JYX15" s="476"/>
      <c r="JYY15" s="476"/>
      <c r="JYZ15" s="476"/>
      <c r="JZA15" s="476"/>
      <c r="JZB15" s="476"/>
      <c r="JZC15" s="477"/>
      <c r="JZD15" s="477"/>
      <c r="JZE15" s="463"/>
      <c r="JZF15" s="475"/>
      <c r="JZG15" s="476"/>
      <c r="JZH15" s="476"/>
      <c r="JZI15" s="476"/>
      <c r="JZJ15" s="476"/>
      <c r="JZK15" s="476"/>
      <c r="JZL15" s="476"/>
      <c r="JZM15" s="476"/>
      <c r="JZN15" s="476"/>
      <c r="JZO15" s="476"/>
      <c r="JZP15" s="476"/>
      <c r="JZQ15" s="476"/>
      <c r="JZR15" s="476"/>
      <c r="JZS15" s="477"/>
      <c r="JZT15" s="477"/>
      <c r="JZU15" s="463"/>
      <c r="JZV15" s="475"/>
      <c r="JZW15" s="476"/>
      <c r="JZX15" s="476"/>
      <c r="JZY15" s="476"/>
      <c r="JZZ15" s="476"/>
      <c r="KAA15" s="476"/>
      <c r="KAB15" s="476"/>
      <c r="KAC15" s="476"/>
      <c r="KAD15" s="476"/>
      <c r="KAE15" s="476"/>
      <c r="KAF15" s="476"/>
      <c r="KAG15" s="476"/>
      <c r="KAH15" s="476"/>
      <c r="KAI15" s="477"/>
      <c r="KAJ15" s="477"/>
      <c r="KAK15" s="463"/>
      <c r="KAL15" s="475"/>
      <c r="KAM15" s="476"/>
      <c r="KAN15" s="476"/>
      <c r="KAO15" s="476"/>
      <c r="KAP15" s="476"/>
      <c r="KAQ15" s="476"/>
      <c r="KAR15" s="476"/>
      <c r="KAS15" s="476"/>
      <c r="KAT15" s="476"/>
      <c r="KAU15" s="476"/>
      <c r="KAV15" s="476"/>
      <c r="KAW15" s="476"/>
      <c r="KAX15" s="476"/>
      <c r="KAY15" s="477"/>
      <c r="KAZ15" s="477"/>
      <c r="KBA15" s="463"/>
      <c r="KBB15" s="475"/>
      <c r="KBC15" s="476"/>
      <c r="KBD15" s="476"/>
      <c r="KBE15" s="476"/>
      <c r="KBF15" s="476"/>
      <c r="KBG15" s="476"/>
      <c r="KBH15" s="476"/>
      <c r="KBI15" s="476"/>
      <c r="KBJ15" s="476"/>
      <c r="KBK15" s="476"/>
      <c r="KBL15" s="476"/>
      <c r="KBM15" s="476"/>
      <c r="KBN15" s="476"/>
      <c r="KBO15" s="477"/>
      <c r="KBP15" s="477"/>
      <c r="KBQ15" s="463"/>
      <c r="KBR15" s="475"/>
      <c r="KBS15" s="476"/>
      <c r="KBT15" s="476"/>
      <c r="KBU15" s="476"/>
      <c r="KBV15" s="476"/>
      <c r="KBW15" s="476"/>
      <c r="KBX15" s="476"/>
      <c r="KBY15" s="476"/>
      <c r="KBZ15" s="476"/>
      <c r="KCA15" s="476"/>
      <c r="KCB15" s="476"/>
      <c r="KCC15" s="476"/>
      <c r="KCD15" s="476"/>
      <c r="KCE15" s="477"/>
      <c r="KCF15" s="477"/>
      <c r="KCG15" s="463"/>
      <c r="KCH15" s="475"/>
      <c r="KCI15" s="476"/>
      <c r="KCJ15" s="476"/>
      <c r="KCK15" s="476"/>
      <c r="KCL15" s="476"/>
      <c r="KCM15" s="476"/>
      <c r="KCN15" s="476"/>
      <c r="KCO15" s="476"/>
      <c r="KCP15" s="476"/>
      <c r="KCQ15" s="476"/>
      <c r="KCR15" s="476"/>
      <c r="KCS15" s="476"/>
      <c r="KCT15" s="476"/>
      <c r="KCU15" s="477"/>
      <c r="KCV15" s="477"/>
      <c r="KCW15" s="463"/>
      <c r="KCX15" s="475"/>
      <c r="KCY15" s="476"/>
      <c r="KCZ15" s="476"/>
      <c r="KDA15" s="476"/>
      <c r="KDB15" s="476"/>
      <c r="KDC15" s="476"/>
      <c r="KDD15" s="476"/>
      <c r="KDE15" s="476"/>
      <c r="KDF15" s="476"/>
      <c r="KDG15" s="476"/>
      <c r="KDH15" s="476"/>
      <c r="KDI15" s="476"/>
      <c r="KDJ15" s="476"/>
      <c r="KDK15" s="477"/>
      <c r="KDL15" s="477"/>
      <c r="KDM15" s="463"/>
      <c r="KDN15" s="475"/>
      <c r="KDO15" s="476"/>
      <c r="KDP15" s="476"/>
      <c r="KDQ15" s="476"/>
      <c r="KDR15" s="476"/>
      <c r="KDS15" s="476"/>
      <c r="KDT15" s="476"/>
      <c r="KDU15" s="476"/>
      <c r="KDV15" s="476"/>
      <c r="KDW15" s="476"/>
      <c r="KDX15" s="476"/>
      <c r="KDY15" s="476"/>
      <c r="KDZ15" s="476"/>
      <c r="KEA15" s="477"/>
      <c r="KEB15" s="477"/>
      <c r="KEC15" s="463"/>
      <c r="KED15" s="475"/>
      <c r="KEE15" s="476"/>
      <c r="KEF15" s="476"/>
      <c r="KEG15" s="476"/>
      <c r="KEH15" s="476"/>
      <c r="KEI15" s="476"/>
      <c r="KEJ15" s="476"/>
      <c r="KEK15" s="476"/>
      <c r="KEL15" s="476"/>
      <c r="KEM15" s="476"/>
      <c r="KEN15" s="476"/>
      <c r="KEO15" s="476"/>
      <c r="KEP15" s="476"/>
      <c r="KEQ15" s="477"/>
      <c r="KER15" s="477"/>
      <c r="KES15" s="463"/>
      <c r="KET15" s="475"/>
      <c r="KEU15" s="476"/>
      <c r="KEV15" s="476"/>
      <c r="KEW15" s="476"/>
      <c r="KEX15" s="476"/>
      <c r="KEY15" s="476"/>
      <c r="KEZ15" s="476"/>
      <c r="KFA15" s="476"/>
      <c r="KFB15" s="476"/>
      <c r="KFC15" s="476"/>
      <c r="KFD15" s="476"/>
      <c r="KFE15" s="476"/>
      <c r="KFF15" s="476"/>
      <c r="KFG15" s="477"/>
      <c r="KFH15" s="477"/>
      <c r="KFI15" s="463"/>
      <c r="KFJ15" s="475"/>
      <c r="KFK15" s="476"/>
      <c r="KFL15" s="476"/>
      <c r="KFM15" s="476"/>
      <c r="KFN15" s="476"/>
      <c r="KFO15" s="476"/>
      <c r="KFP15" s="476"/>
      <c r="KFQ15" s="476"/>
      <c r="KFR15" s="476"/>
      <c r="KFS15" s="476"/>
      <c r="KFT15" s="476"/>
      <c r="KFU15" s="476"/>
      <c r="KFV15" s="476"/>
      <c r="KFW15" s="477"/>
      <c r="KFX15" s="477"/>
      <c r="KFY15" s="463"/>
      <c r="KFZ15" s="475"/>
      <c r="KGA15" s="476"/>
      <c r="KGB15" s="476"/>
      <c r="KGC15" s="476"/>
      <c r="KGD15" s="476"/>
      <c r="KGE15" s="476"/>
      <c r="KGF15" s="476"/>
      <c r="KGG15" s="476"/>
      <c r="KGH15" s="476"/>
      <c r="KGI15" s="476"/>
      <c r="KGJ15" s="476"/>
      <c r="KGK15" s="476"/>
      <c r="KGL15" s="476"/>
      <c r="KGM15" s="477"/>
      <c r="KGN15" s="477"/>
      <c r="KGO15" s="463"/>
      <c r="KGP15" s="475"/>
      <c r="KGQ15" s="476"/>
      <c r="KGR15" s="476"/>
      <c r="KGS15" s="476"/>
      <c r="KGT15" s="476"/>
      <c r="KGU15" s="476"/>
      <c r="KGV15" s="476"/>
      <c r="KGW15" s="476"/>
      <c r="KGX15" s="476"/>
      <c r="KGY15" s="476"/>
      <c r="KGZ15" s="476"/>
      <c r="KHA15" s="476"/>
      <c r="KHB15" s="476"/>
      <c r="KHC15" s="477"/>
      <c r="KHD15" s="477"/>
      <c r="KHE15" s="463"/>
      <c r="KHF15" s="475"/>
      <c r="KHG15" s="476"/>
      <c r="KHH15" s="476"/>
      <c r="KHI15" s="476"/>
      <c r="KHJ15" s="476"/>
      <c r="KHK15" s="476"/>
      <c r="KHL15" s="476"/>
      <c r="KHM15" s="476"/>
      <c r="KHN15" s="476"/>
      <c r="KHO15" s="476"/>
      <c r="KHP15" s="476"/>
      <c r="KHQ15" s="476"/>
      <c r="KHR15" s="476"/>
      <c r="KHS15" s="477"/>
      <c r="KHT15" s="477"/>
      <c r="KHU15" s="463"/>
      <c r="KHV15" s="475"/>
      <c r="KHW15" s="476"/>
      <c r="KHX15" s="476"/>
      <c r="KHY15" s="476"/>
      <c r="KHZ15" s="476"/>
      <c r="KIA15" s="476"/>
      <c r="KIB15" s="476"/>
      <c r="KIC15" s="476"/>
      <c r="KID15" s="476"/>
      <c r="KIE15" s="476"/>
      <c r="KIF15" s="476"/>
      <c r="KIG15" s="476"/>
      <c r="KIH15" s="476"/>
      <c r="KII15" s="477"/>
      <c r="KIJ15" s="477"/>
      <c r="KIK15" s="463"/>
      <c r="KIL15" s="475"/>
      <c r="KIM15" s="476"/>
      <c r="KIN15" s="476"/>
      <c r="KIO15" s="476"/>
      <c r="KIP15" s="476"/>
      <c r="KIQ15" s="476"/>
      <c r="KIR15" s="476"/>
      <c r="KIS15" s="476"/>
      <c r="KIT15" s="476"/>
      <c r="KIU15" s="476"/>
      <c r="KIV15" s="476"/>
      <c r="KIW15" s="476"/>
      <c r="KIX15" s="476"/>
      <c r="KIY15" s="477"/>
      <c r="KIZ15" s="477"/>
      <c r="KJA15" s="463"/>
      <c r="KJB15" s="475"/>
      <c r="KJC15" s="476"/>
      <c r="KJD15" s="476"/>
      <c r="KJE15" s="476"/>
      <c r="KJF15" s="476"/>
      <c r="KJG15" s="476"/>
      <c r="KJH15" s="476"/>
      <c r="KJI15" s="476"/>
      <c r="KJJ15" s="476"/>
      <c r="KJK15" s="476"/>
      <c r="KJL15" s="476"/>
      <c r="KJM15" s="476"/>
      <c r="KJN15" s="476"/>
      <c r="KJO15" s="477"/>
      <c r="KJP15" s="477"/>
      <c r="KJQ15" s="463"/>
      <c r="KJR15" s="475"/>
      <c r="KJS15" s="476"/>
      <c r="KJT15" s="476"/>
      <c r="KJU15" s="476"/>
      <c r="KJV15" s="476"/>
      <c r="KJW15" s="476"/>
      <c r="KJX15" s="476"/>
      <c r="KJY15" s="476"/>
      <c r="KJZ15" s="476"/>
      <c r="KKA15" s="476"/>
      <c r="KKB15" s="476"/>
      <c r="KKC15" s="476"/>
      <c r="KKD15" s="476"/>
      <c r="KKE15" s="477"/>
      <c r="KKF15" s="477"/>
      <c r="KKG15" s="463"/>
      <c r="KKH15" s="475"/>
      <c r="KKI15" s="476"/>
      <c r="KKJ15" s="476"/>
      <c r="KKK15" s="476"/>
      <c r="KKL15" s="476"/>
      <c r="KKM15" s="476"/>
      <c r="KKN15" s="476"/>
      <c r="KKO15" s="476"/>
      <c r="KKP15" s="476"/>
      <c r="KKQ15" s="476"/>
      <c r="KKR15" s="476"/>
      <c r="KKS15" s="476"/>
      <c r="KKT15" s="476"/>
      <c r="KKU15" s="477"/>
      <c r="KKV15" s="477"/>
      <c r="KKW15" s="463"/>
      <c r="KKX15" s="475"/>
      <c r="KKY15" s="476"/>
      <c r="KKZ15" s="476"/>
      <c r="KLA15" s="476"/>
      <c r="KLB15" s="476"/>
      <c r="KLC15" s="476"/>
      <c r="KLD15" s="476"/>
      <c r="KLE15" s="476"/>
      <c r="KLF15" s="476"/>
      <c r="KLG15" s="476"/>
      <c r="KLH15" s="476"/>
      <c r="KLI15" s="476"/>
      <c r="KLJ15" s="476"/>
      <c r="KLK15" s="477"/>
      <c r="KLL15" s="477"/>
      <c r="KLM15" s="463"/>
      <c r="KLN15" s="475"/>
      <c r="KLO15" s="476"/>
      <c r="KLP15" s="476"/>
      <c r="KLQ15" s="476"/>
      <c r="KLR15" s="476"/>
      <c r="KLS15" s="476"/>
      <c r="KLT15" s="476"/>
      <c r="KLU15" s="476"/>
      <c r="KLV15" s="476"/>
      <c r="KLW15" s="476"/>
      <c r="KLX15" s="476"/>
      <c r="KLY15" s="476"/>
      <c r="KLZ15" s="476"/>
      <c r="KMA15" s="477"/>
      <c r="KMB15" s="477"/>
      <c r="KMC15" s="463"/>
      <c r="KMD15" s="475"/>
      <c r="KME15" s="476"/>
      <c r="KMF15" s="476"/>
      <c r="KMG15" s="476"/>
      <c r="KMH15" s="476"/>
      <c r="KMI15" s="476"/>
      <c r="KMJ15" s="476"/>
      <c r="KMK15" s="476"/>
      <c r="KML15" s="476"/>
      <c r="KMM15" s="476"/>
      <c r="KMN15" s="476"/>
      <c r="KMO15" s="476"/>
      <c r="KMP15" s="476"/>
      <c r="KMQ15" s="477"/>
      <c r="KMR15" s="477"/>
      <c r="KMS15" s="463"/>
      <c r="KMT15" s="475"/>
      <c r="KMU15" s="476"/>
      <c r="KMV15" s="476"/>
      <c r="KMW15" s="476"/>
      <c r="KMX15" s="476"/>
      <c r="KMY15" s="476"/>
      <c r="KMZ15" s="476"/>
      <c r="KNA15" s="476"/>
      <c r="KNB15" s="476"/>
      <c r="KNC15" s="476"/>
      <c r="KND15" s="476"/>
      <c r="KNE15" s="476"/>
      <c r="KNF15" s="476"/>
      <c r="KNG15" s="477"/>
      <c r="KNH15" s="477"/>
      <c r="KNI15" s="463"/>
      <c r="KNJ15" s="475"/>
      <c r="KNK15" s="476"/>
      <c r="KNL15" s="476"/>
      <c r="KNM15" s="476"/>
      <c r="KNN15" s="476"/>
      <c r="KNO15" s="476"/>
      <c r="KNP15" s="476"/>
      <c r="KNQ15" s="476"/>
      <c r="KNR15" s="476"/>
      <c r="KNS15" s="476"/>
      <c r="KNT15" s="476"/>
      <c r="KNU15" s="476"/>
      <c r="KNV15" s="476"/>
      <c r="KNW15" s="477"/>
      <c r="KNX15" s="477"/>
      <c r="KNY15" s="463"/>
      <c r="KNZ15" s="475"/>
      <c r="KOA15" s="476"/>
      <c r="KOB15" s="476"/>
      <c r="KOC15" s="476"/>
      <c r="KOD15" s="476"/>
      <c r="KOE15" s="476"/>
      <c r="KOF15" s="476"/>
      <c r="KOG15" s="476"/>
      <c r="KOH15" s="476"/>
      <c r="KOI15" s="476"/>
      <c r="KOJ15" s="476"/>
      <c r="KOK15" s="476"/>
      <c r="KOL15" s="476"/>
      <c r="KOM15" s="477"/>
      <c r="KON15" s="477"/>
      <c r="KOO15" s="463"/>
      <c r="KOP15" s="475"/>
      <c r="KOQ15" s="476"/>
      <c r="KOR15" s="476"/>
      <c r="KOS15" s="476"/>
      <c r="KOT15" s="476"/>
      <c r="KOU15" s="476"/>
      <c r="KOV15" s="476"/>
      <c r="KOW15" s="476"/>
      <c r="KOX15" s="476"/>
      <c r="KOY15" s="476"/>
      <c r="KOZ15" s="476"/>
      <c r="KPA15" s="476"/>
      <c r="KPB15" s="476"/>
      <c r="KPC15" s="477"/>
      <c r="KPD15" s="477"/>
      <c r="KPE15" s="463"/>
      <c r="KPF15" s="475"/>
      <c r="KPG15" s="476"/>
      <c r="KPH15" s="476"/>
      <c r="KPI15" s="476"/>
      <c r="KPJ15" s="476"/>
      <c r="KPK15" s="476"/>
      <c r="KPL15" s="476"/>
      <c r="KPM15" s="476"/>
      <c r="KPN15" s="476"/>
      <c r="KPO15" s="476"/>
      <c r="KPP15" s="476"/>
      <c r="KPQ15" s="476"/>
      <c r="KPR15" s="476"/>
      <c r="KPS15" s="477"/>
      <c r="KPT15" s="477"/>
      <c r="KPU15" s="463"/>
      <c r="KPV15" s="475"/>
      <c r="KPW15" s="476"/>
      <c r="KPX15" s="476"/>
      <c r="KPY15" s="476"/>
      <c r="KPZ15" s="476"/>
      <c r="KQA15" s="476"/>
      <c r="KQB15" s="476"/>
      <c r="KQC15" s="476"/>
      <c r="KQD15" s="476"/>
      <c r="KQE15" s="476"/>
      <c r="KQF15" s="476"/>
      <c r="KQG15" s="476"/>
      <c r="KQH15" s="476"/>
      <c r="KQI15" s="477"/>
      <c r="KQJ15" s="477"/>
      <c r="KQK15" s="463"/>
      <c r="KQL15" s="475"/>
      <c r="KQM15" s="476"/>
      <c r="KQN15" s="476"/>
      <c r="KQO15" s="476"/>
      <c r="KQP15" s="476"/>
      <c r="KQQ15" s="476"/>
      <c r="KQR15" s="476"/>
      <c r="KQS15" s="476"/>
      <c r="KQT15" s="476"/>
      <c r="KQU15" s="476"/>
      <c r="KQV15" s="476"/>
      <c r="KQW15" s="476"/>
      <c r="KQX15" s="476"/>
      <c r="KQY15" s="477"/>
      <c r="KQZ15" s="477"/>
      <c r="KRA15" s="463"/>
      <c r="KRB15" s="475"/>
      <c r="KRC15" s="476"/>
      <c r="KRD15" s="476"/>
      <c r="KRE15" s="476"/>
      <c r="KRF15" s="476"/>
      <c r="KRG15" s="476"/>
      <c r="KRH15" s="476"/>
      <c r="KRI15" s="476"/>
      <c r="KRJ15" s="476"/>
      <c r="KRK15" s="476"/>
      <c r="KRL15" s="476"/>
      <c r="KRM15" s="476"/>
      <c r="KRN15" s="476"/>
      <c r="KRO15" s="477"/>
      <c r="KRP15" s="477"/>
      <c r="KRQ15" s="463"/>
      <c r="KRR15" s="475"/>
      <c r="KRS15" s="476"/>
      <c r="KRT15" s="476"/>
      <c r="KRU15" s="476"/>
      <c r="KRV15" s="476"/>
      <c r="KRW15" s="476"/>
      <c r="KRX15" s="476"/>
      <c r="KRY15" s="476"/>
      <c r="KRZ15" s="476"/>
      <c r="KSA15" s="476"/>
      <c r="KSB15" s="476"/>
      <c r="KSC15" s="476"/>
      <c r="KSD15" s="476"/>
      <c r="KSE15" s="477"/>
      <c r="KSF15" s="477"/>
      <c r="KSG15" s="463"/>
      <c r="KSH15" s="475"/>
      <c r="KSI15" s="476"/>
      <c r="KSJ15" s="476"/>
      <c r="KSK15" s="476"/>
      <c r="KSL15" s="476"/>
      <c r="KSM15" s="476"/>
      <c r="KSN15" s="476"/>
      <c r="KSO15" s="476"/>
      <c r="KSP15" s="476"/>
      <c r="KSQ15" s="476"/>
      <c r="KSR15" s="476"/>
      <c r="KSS15" s="476"/>
      <c r="KST15" s="476"/>
      <c r="KSU15" s="477"/>
      <c r="KSV15" s="477"/>
      <c r="KSW15" s="463"/>
      <c r="KSX15" s="475"/>
      <c r="KSY15" s="476"/>
      <c r="KSZ15" s="476"/>
      <c r="KTA15" s="476"/>
      <c r="KTB15" s="476"/>
      <c r="KTC15" s="476"/>
      <c r="KTD15" s="476"/>
      <c r="KTE15" s="476"/>
      <c r="KTF15" s="476"/>
      <c r="KTG15" s="476"/>
      <c r="KTH15" s="476"/>
      <c r="KTI15" s="476"/>
      <c r="KTJ15" s="476"/>
      <c r="KTK15" s="477"/>
      <c r="KTL15" s="477"/>
      <c r="KTM15" s="463"/>
      <c r="KTN15" s="475"/>
      <c r="KTO15" s="476"/>
      <c r="KTP15" s="476"/>
      <c r="KTQ15" s="476"/>
      <c r="KTR15" s="476"/>
      <c r="KTS15" s="476"/>
      <c r="KTT15" s="476"/>
      <c r="KTU15" s="476"/>
      <c r="KTV15" s="476"/>
      <c r="KTW15" s="476"/>
      <c r="KTX15" s="476"/>
      <c r="KTY15" s="476"/>
      <c r="KTZ15" s="476"/>
      <c r="KUA15" s="477"/>
      <c r="KUB15" s="477"/>
      <c r="KUC15" s="463"/>
      <c r="KUD15" s="475"/>
      <c r="KUE15" s="476"/>
      <c r="KUF15" s="476"/>
      <c r="KUG15" s="476"/>
      <c r="KUH15" s="476"/>
      <c r="KUI15" s="476"/>
      <c r="KUJ15" s="476"/>
      <c r="KUK15" s="476"/>
      <c r="KUL15" s="476"/>
      <c r="KUM15" s="476"/>
      <c r="KUN15" s="476"/>
      <c r="KUO15" s="476"/>
      <c r="KUP15" s="476"/>
      <c r="KUQ15" s="477"/>
      <c r="KUR15" s="477"/>
      <c r="KUS15" s="463"/>
      <c r="KUT15" s="475"/>
      <c r="KUU15" s="476"/>
      <c r="KUV15" s="476"/>
      <c r="KUW15" s="476"/>
      <c r="KUX15" s="476"/>
      <c r="KUY15" s="476"/>
      <c r="KUZ15" s="476"/>
      <c r="KVA15" s="476"/>
      <c r="KVB15" s="476"/>
      <c r="KVC15" s="476"/>
      <c r="KVD15" s="476"/>
      <c r="KVE15" s="476"/>
      <c r="KVF15" s="476"/>
      <c r="KVG15" s="477"/>
      <c r="KVH15" s="477"/>
      <c r="KVI15" s="463"/>
      <c r="KVJ15" s="475"/>
      <c r="KVK15" s="476"/>
      <c r="KVL15" s="476"/>
      <c r="KVM15" s="476"/>
      <c r="KVN15" s="476"/>
      <c r="KVO15" s="476"/>
      <c r="KVP15" s="476"/>
      <c r="KVQ15" s="476"/>
      <c r="KVR15" s="476"/>
      <c r="KVS15" s="476"/>
      <c r="KVT15" s="476"/>
      <c r="KVU15" s="476"/>
      <c r="KVV15" s="476"/>
      <c r="KVW15" s="477"/>
      <c r="KVX15" s="477"/>
      <c r="KVY15" s="463"/>
      <c r="KVZ15" s="475"/>
      <c r="KWA15" s="476"/>
      <c r="KWB15" s="476"/>
      <c r="KWC15" s="476"/>
      <c r="KWD15" s="476"/>
      <c r="KWE15" s="476"/>
      <c r="KWF15" s="476"/>
      <c r="KWG15" s="476"/>
      <c r="KWH15" s="476"/>
      <c r="KWI15" s="476"/>
      <c r="KWJ15" s="476"/>
      <c r="KWK15" s="476"/>
      <c r="KWL15" s="476"/>
      <c r="KWM15" s="477"/>
      <c r="KWN15" s="477"/>
      <c r="KWO15" s="463"/>
      <c r="KWP15" s="475"/>
      <c r="KWQ15" s="476"/>
      <c r="KWR15" s="476"/>
      <c r="KWS15" s="476"/>
      <c r="KWT15" s="476"/>
      <c r="KWU15" s="476"/>
      <c r="KWV15" s="476"/>
      <c r="KWW15" s="476"/>
      <c r="KWX15" s="476"/>
      <c r="KWY15" s="476"/>
      <c r="KWZ15" s="476"/>
      <c r="KXA15" s="476"/>
      <c r="KXB15" s="476"/>
      <c r="KXC15" s="477"/>
      <c r="KXD15" s="477"/>
      <c r="KXE15" s="463"/>
      <c r="KXF15" s="475"/>
      <c r="KXG15" s="476"/>
      <c r="KXH15" s="476"/>
      <c r="KXI15" s="476"/>
      <c r="KXJ15" s="476"/>
      <c r="KXK15" s="476"/>
      <c r="KXL15" s="476"/>
      <c r="KXM15" s="476"/>
      <c r="KXN15" s="476"/>
      <c r="KXO15" s="476"/>
      <c r="KXP15" s="476"/>
      <c r="KXQ15" s="476"/>
      <c r="KXR15" s="476"/>
      <c r="KXS15" s="477"/>
      <c r="KXT15" s="477"/>
      <c r="KXU15" s="463"/>
      <c r="KXV15" s="475"/>
      <c r="KXW15" s="476"/>
      <c r="KXX15" s="476"/>
      <c r="KXY15" s="476"/>
      <c r="KXZ15" s="476"/>
      <c r="KYA15" s="476"/>
      <c r="KYB15" s="476"/>
      <c r="KYC15" s="476"/>
      <c r="KYD15" s="476"/>
      <c r="KYE15" s="476"/>
      <c r="KYF15" s="476"/>
      <c r="KYG15" s="476"/>
      <c r="KYH15" s="476"/>
      <c r="KYI15" s="477"/>
      <c r="KYJ15" s="477"/>
      <c r="KYK15" s="463"/>
      <c r="KYL15" s="475"/>
      <c r="KYM15" s="476"/>
      <c r="KYN15" s="476"/>
      <c r="KYO15" s="476"/>
      <c r="KYP15" s="476"/>
      <c r="KYQ15" s="476"/>
      <c r="KYR15" s="476"/>
      <c r="KYS15" s="476"/>
      <c r="KYT15" s="476"/>
      <c r="KYU15" s="476"/>
      <c r="KYV15" s="476"/>
      <c r="KYW15" s="476"/>
      <c r="KYX15" s="476"/>
      <c r="KYY15" s="477"/>
      <c r="KYZ15" s="477"/>
      <c r="KZA15" s="463"/>
      <c r="KZB15" s="475"/>
      <c r="KZC15" s="476"/>
      <c r="KZD15" s="476"/>
      <c r="KZE15" s="476"/>
      <c r="KZF15" s="476"/>
      <c r="KZG15" s="476"/>
      <c r="KZH15" s="476"/>
      <c r="KZI15" s="476"/>
      <c r="KZJ15" s="476"/>
      <c r="KZK15" s="476"/>
      <c r="KZL15" s="476"/>
      <c r="KZM15" s="476"/>
      <c r="KZN15" s="476"/>
      <c r="KZO15" s="477"/>
      <c r="KZP15" s="477"/>
      <c r="KZQ15" s="463"/>
      <c r="KZR15" s="475"/>
      <c r="KZS15" s="476"/>
      <c r="KZT15" s="476"/>
      <c r="KZU15" s="476"/>
      <c r="KZV15" s="476"/>
      <c r="KZW15" s="476"/>
      <c r="KZX15" s="476"/>
      <c r="KZY15" s="476"/>
      <c r="KZZ15" s="476"/>
      <c r="LAA15" s="476"/>
      <c r="LAB15" s="476"/>
      <c r="LAC15" s="476"/>
      <c r="LAD15" s="476"/>
      <c r="LAE15" s="477"/>
      <c r="LAF15" s="477"/>
      <c r="LAG15" s="463"/>
      <c r="LAH15" s="475"/>
      <c r="LAI15" s="476"/>
      <c r="LAJ15" s="476"/>
      <c r="LAK15" s="476"/>
      <c r="LAL15" s="476"/>
      <c r="LAM15" s="476"/>
      <c r="LAN15" s="476"/>
      <c r="LAO15" s="476"/>
      <c r="LAP15" s="476"/>
      <c r="LAQ15" s="476"/>
      <c r="LAR15" s="476"/>
      <c r="LAS15" s="476"/>
      <c r="LAT15" s="476"/>
      <c r="LAU15" s="477"/>
      <c r="LAV15" s="477"/>
      <c r="LAW15" s="463"/>
      <c r="LAX15" s="475"/>
      <c r="LAY15" s="476"/>
      <c r="LAZ15" s="476"/>
      <c r="LBA15" s="476"/>
      <c r="LBB15" s="476"/>
      <c r="LBC15" s="476"/>
      <c r="LBD15" s="476"/>
      <c r="LBE15" s="476"/>
      <c r="LBF15" s="476"/>
      <c r="LBG15" s="476"/>
      <c r="LBH15" s="476"/>
      <c r="LBI15" s="476"/>
      <c r="LBJ15" s="476"/>
      <c r="LBK15" s="477"/>
      <c r="LBL15" s="477"/>
      <c r="LBM15" s="463"/>
      <c r="LBN15" s="475"/>
      <c r="LBO15" s="476"/>
      <c r="LBP15" s="476"/>
      <c r="LBQ15" s="476"/>
      <c r="LBR15" s="476"/>
      <c r="LBS15" s="476"/>
      <c r="LBT15" s="476"/>
      <c r="LBU15" s="476"/>
      <c r="LBV15" s="476"/>
      <c r="LBW15" s="476"/>
      <c r="LBX15" s="476"/>
      <c r="LBY15" s="476"/>
      <c r="LBZ15" s="476"/>
      <c r="LCA15" s="477"/>
      <c r="LCB15" s="477"/>
      <c r="LCC15" s="463"/>
      <c r="LCD15" s="475"/>
      <c r="LCE15" s="476"/>
      <c r="LCF15" s="476"/>
      <c r="LCG15" s="476"/>
      <c r="LCH15" s="476"/>
      <c r="LCI15" s="476"/>
      <c r="LCJ15" s="476"/>
      <c r="LCK15" s="476"/>
      <c r="LCL15" s="476"/>
      <c r="LCM15" s="476"/>
      <c r="LCN15" s="476"/>
      <c r="LCO15" s="476"/>
      <c r="LCP15" s="476"/>
      <c r="LCQ15" s="477"/>
      <c r="LCR15" s="477"/>
      <c r="LCS15" s="463"/>
      <c r="LCT15" s="475"/>
      <c r="LCU15" s="476"/>
      <c r="LCV15" s="476"/>
      <c r="LCW15" s="476"/>
      <c r="LCX15" s="476"/>
      <c r="LCY15" s="476"/>
      <c r="LCZ15" s="476"/>
      <c r="LDA15" s="476"/>
      <c r="LDB15" s="476"/>
      <c r="LDC15" s="476"/>
      <c r="LDD15" s="476"/>
      <c r="LDE15" s="476"/>
      <c r="LDF15" s="476"/>
      <c r="LDG15" s="477"/>
      <c r="LDH15" s="477"/>
      <c r="LDI15" s="463"/>
      <c r="LDJ15" s="475"/>
      <c r="LDK15" s="476"/>
      <c r="LDL15" s="476"/>
      <c r="LDM15" s="476"/>
      <c r="LDN15" s="476"/>
      <c r="LDO15" s="476"/>
      <c r="LDP15" s="476"/>
      <c r="LDQ15" s="476"/>
      <c r="LDR15" s="476"/>
      <c r="LDS15" s="476"/>
      <c r="LDT15" s="476"/>
      <c r="LDU15" s="476"/>
      <c r="LDV15" s="476"/>
      <c r="LDW15" s="477"/>
      <c r="LDX15" s="477"/>
      <c r="LDY15" s="463"/>
      <c r="LDZ15" s="475"/>
      <c r="LEA15" s="476"/>
      <c r="LEB15" s="476"/>
      <c r="LEC15" s="476"/>
      <c r="LED15" s="476"/>
      <c r="LEE15" s="476"/>
      <c r="LEF15" s="476"/>
      <c r="LEG15" s="476"/>
      <c r="LEH15" s="476"/>
      <c r="LEI15" s="476"/>
      <c r="LEJ15" s="476"/>
      <c r="LEK15" s="476"/>
      <c r="LEL15" s="476"/>
      <c r="LEM15" s="477"/>
      <c r="LEN15" s="477"/>
      <c r="LEO15" s="463"/>
      <c r="LEP15" s="475"/>
      <c r="LEQ15" s="476"/>
      <c r="LER15" s="476"/>
      <c r="LES15" s="476"/>
      <c r="LET15" s="476"/>
      <c r="LEU15" s="476"/>
      <c r="LEV15" s="476"/>
      <c r="LEW15" s="476"/>
      <c r="LEX15" s="476"/>
      <c r="LEY15" s="476"/>
      <c r="LEZ15" s="476"/>
      <c r="LFA15" s="476"/>
      <c r="LFB15" s="476"/>
      <c r="LFC15" s="477"/>
      <c r="LFD15" s="477"/>
      <c r="LFE15" s="463"/>
      <c r="LFF15" s="475"/>
      <c r="LFG15" s="476"/>
      <c r="LFH15" s="476"/>
      <c r="LFI15" s="476"/>
      <c r="LFJ15" s="476"/>
      <c r="LFK15" s="476"/>
      <c r="LFL15" s="476"/>
      <c r="LFM15" s="476"/>
      <c r="LFN15" s="476"/>
      <c r="LFO15" s="476"/>
      <c r="LFP15" s="476"/>
      <c r="LFQ15" s="476"/>
      <c r="LFR15" s="476"/>
      <c r="LFS15" s="477"/>
      <c r="LFT15" s="477"/>
      <c r="LFU15" s="463"/>
      <c r="LFV15" s="475"/>
      <c r="LFW15" s="476"/>
      <c r="LFX15" s="476"/>
      <c r="LFY15" s="476"/>
      <c r="LFZ15" s="476"/>
      <c r="LGA15" s="476"/>
      <c r="LGB15" s="476"/>
      <c r="LGC15" s="476"/>
      <c r="LGD15" s="476"/>
      <c r="LGE15" s="476"/>
      <c r="LGF15" s="476"/>
      <c r="LGG15" s="476"/>
      <c r="LGH15" s="476"/>
      <c r="LGI15" s="477"/>
      <c r="LGJ15" s="477"/>
      <c r="LGK15" s="463"/>
      <c r="LGL15" s="475"/>
      <c r="LGM15" s="476"/>
      <c r="LGN15" s="476"/>
      <c r="LGO15" s="476"/>
      <c r="LGP15" s="476"/>
      <c r="LGQ15" s="476"/>
      <c r="LGR15" s="476"/>
      <c r="LGS15" s="476"/>
      <c r="LGT15" s="476"/>
      <c r="LGU15" s="476"/>
      <c r="LGV15" s="476"/>
      <c r="LGW15" s="476"/>
      <c r="LGX15" s="476"/>
      <c r="LGY15" s="477"/>
      <c r="LGZ15" s="477"/>
      <c r="LHA15" s="463"/>
      <c r="LHB15" s="475"/>
      <c r="LHC15" s="476"/>
      <c r="LHD15" s="476"/>
      <c r="LHE15" s="476"/>
      <c r="LHF15" s="476"/>
      <c r="LHG15" s="476"/>
      <c r="LHH15" s="476"/>
      <c r="LHI15" s="476"/>
      <c r="LHJ15" s="476"/>
      <c r="LHK15" s="476"/>
      <c r="LHL15" s="476"/>
      <c r="LHM15" s="476"/>
      <c r="LHN15" s="476"/>
      <c r="LHO15" s="477"/>
      <c r="LHP15" s="477"/>
      <c r="LHQ15" s="463"/>
      <c r="LHR15" s="475"/>
      <c r="LHS15" s="476"/>
      <c r="LHT15" s="476"/>
      <c r="LHU15" s="476"/>
      <c r="LHV15" s="476"/>
      <c r="LHW15" s="476"/>
      <c r="LHX15" s="476"/>
      <c r="LHY15" s="476"/>
      <c r="LHZ15" s="476"/>
      <c r="LIA15" s="476"/>
      <c r="LIB15" s="476"/>
      <c r="LIC15" s="476"/>
      <c r="LID15" s="476"/>
      <c r="LIE15" s="477"/>
      <c r="LIF15" s="477"/>
      <c r="LIG15" s="463"/>
      <c r="LIH15" s="475"/>
      <c r="LII15" s="476"/>
      <c r="LIJ15" s="476"/>
      <c r="LIK15" s="476"/>
      <c r="LIL15" s="476"/>
      <c r="LIM15" s="476"/>
      <c r="LIN15" s="476"/>
      <c r="LIO15" s="476"/>
      <c r="LIP15" s="476"/>
      <c r="LIQ15" s="476"/>
      <c r="LIR15" s="476"/>
      <c r="LIS15" s="476"/>
      <c r="LIT15" s="476"/>
      <c r="LIU15" s="477"/>
      <c r="LIV15" s="477"/>
      <c r="LIW15" s="463"/>
      <c r="LIX15" s="475"/>
      <c r="LIY15" s="476"/>
      <c r="LIZ15" s="476"/>
      <c r="LJA15" s="476"/>
      <c r="LJB15" s="476"/>
      <c r="LJC15" s="476"/>
      <c r="LJD15" s="476"/>
      <c r="LJE15" s="476"/>
      <c r="LJF15" s="476"/>
      <c r="LJG15" s="476"/>
      <c r="LJH15" s="476"/>
      <c r="LJI15" s="476"/>
      <c r="LJJ15" s="476"/>
      <c r="LJK15" s="477"/>
      <c r="LJL15" s="477"/>
      <c r="LJM15" s="463"/>
      <c r="LJN15" s="475"/>
      <c r="LJO15" s="476"/>
      <c r="LJP15" s="476"/>
      <c r="LJQ15" s="476"/>
      <c r="LJR15" s="476"/>
      <c r="LJS15" s="476"/>
      <c r="LJT15" s="476"/>
      <c r="LJU15" s="476"/>
      <c r="LJV15" s="476"/>
      <c r="LJW15" s="476"/>
      <c r="LJX15" s="476"/>
      <c r="LJY15" s="476"/>
      <c r="LJZ15" s="476"/>
      <c r="LKA15" s="477"/>
      <c r="LKB15" s="477"/>
      <c r="LKC15" s="463"/>
      <c r="LKD15" s="475"/>
      <c r="LKE15" s="476"/>
      <c r="LKF15" s="476"/>
      <c r="LKG15" s="476"/>
      <c r="LKH15" s="476"/>
      <c r="LKI15" s="476"/>
      <c r="LKJ15" s="476"/>
      <c r="LKK15" s="476"/>
      <c r="LKL15" s="476"/>
      <c r="LKM15" s="476"/>
      <c r="LKN15" s="476"/>
      <c r="LKO15" s="476"/>
      <c r="LKP15" s="476"/>
      <c r="LKQ15" s="477"/>
      <c r="LKR15" s="477"/>
      <c r="LKS15" s="463"/>
      <c r="LKT15" s="475"/>
      <c r="LKU15" s="476"/>
      <c r="LKV15" s="476"/>
      <c r="LKW15" s="476"/>
      <c r="LKX15" s="476"/>
      <c r="LKY15" s="476"/>
      <c r="LKZ15" s="476"/>
      <c r="LLA15" s="476"/>
      <c r="LLB15" s="476"/>
      <c r="LLC15" s="476"/>
      <c r="LLD15" s="476"/>
      <c r="LLE15" s="476"/>
      <c r="LLF15" s="476"/>
      <c r="LLG15" s="477"/>
      <c r="LLH15" s="477"/>
      <c r="LLI15" s="463"/>
      <c r="LLJ15" s="475"/>
      <c r="LLK15" s="476"/>
      <c r="LLL15" s="476"/>
      <c r="LLM15" s="476"/>
      <c r="LLN15" s="476"/>
      <c r="LLO15" s="476"/>
      <c r="LLP15" s="476"/>
      <c r="LLQ15" s="476"/>
      <c r="LLR15" s="476"/>
      <c r="LLS15" s="476"/>
      <c r="LLT15" s="476"/>
      <c r="LLU15" s="476"/>
      <c r="LLV15" s="476"/>
      <c r="LLW15" s="477"/>
      <c r="LLX15" s="477"/>
      <c r="LLY15" s="463"/>
      <c r="LLZ15" s="475"/>
      <c r="LMA15" s="476"/>
      <c r="LMB15" s="476"/>
      <c r="LMC15" s="476"/>
      <c r="LMD15" s="476"/>
      <c r="LME15" s="476"/>
      <c r="LMF15" s="476"/>
      <c r="LMG15" s="476"/>
      <c r="LMH15" s="476"/>
      <c r="LMI15" s="476"/>
      <c r="LMJ15" s="476"/>
      <c r="LMK15" s="476"/>
      <c r="LML15" s="476"/>
      <c r="LMM15" s="477"/>
      <c r="LMN15" s="477"/>
      <c r="LMO15" s="463"/>
      <c r="LMP15" s="475"/>
      <c r="LMQ15" s="476"/>
      <c r="LMR15" s="476"/>
      <c r="LMS15" s="476"/>
      <c r="LMT15" s="476"/>
      <c r="LMU15" s="476"/>
      <c r="LMV15" s="476"/>
      <c r="LMW15" s="476"/>
      <c r="LMX15" s="476"/>
      <c r="LMY15" s="476"/>
      <c r="LMZ15" s="476"/>
      <c r="LNA15" s="476"/>
      <c r="LNB15" s="476"/>
      <c r="LNC15" s="477"/>
      <c r="LND15" s="477"/>
      <c r="LNE15" s="463"/>
      <c r="LNF15" s="475"/>
      <c r="LNG15" s="476"/>
      <c r="LNH15" s="476"/>
      <c r="LNI15" s="476"/>
      <c r="LNJ15" s="476"/>
      <c r="LNK15" s="476"/>
      <c r="LNL15" s="476"/>
      <c r="LNM15" s="476"/>
      <c r="LNN15" s="476"/>
      <c r="LNO15" s="476"/>
      <c r="LNP15" s="476"/>
      <c r="LNQ15" s="476"/>
      <c r="LNR15" s="476"/>
      <c r="LNS15" s="477"/>
      <c r="LNT15" s="477"/>
      <c r="LNU15" s="463"/>
      <c r="LNV15" s="475"/>
      <c r="LNW15" s="476"/>
      <c r="LNX15" s="476"/>
      <c r="LNY15" s="476"/>
      <c r="LNZ15" s="476"/>
      <c r="LOA15" s="476"/>
      <c r="LOB15" s="476"/>
      <c r="LOC15" s="476"/>
      <c r="LOD15" s="476"/>
      <c r="LOE15" s="476"/>
      <c r="LOF15" s="476"/>
      <c r="LOG15" s="476"/>
      <c r="LOH15" s="476"/>
      <c r="LOI15" s="477"/>
      <c r="LOJ15" s="477"/>
      <c r="LOK15" s="463"/>
      <c r="LOL15" s="475"/>
      <c r="LOM15" s="476"/>
      <c r="LON15" s="476"/>
      <c r="LOO15" s="476"/>
      <c r="LOP15" s="476"/>
      <c r="LOQ15" s="476"/>
      <c r="LOR15" s="476"/>
      <c r="LOS15" s="476"/>
      <c r="LOT15" s="476"/>
      <c r="LOU15" s="476"/>
      <c r="LOV15" s="476"/>
      <c r="LOW15" s="476"/>
      <c r="LOX15" s="476"/>
      <c r="LOY15" s="477"/>
      <c r="LOZ15" s="477"/>
      <c r="LPA15" s="463"/>
      <c r="LPB15" s="475"/>
      <c r="LPC15" s="476"/>
      <c r="LPD15" s="476"/>
      <c r="LPE15" s="476"/>
      <c r="LPF15" s="476"/>
      <c r="LPG15" s="476"/>
      <c r="LPH15" s="476"/>
      <c r="LPI15" s="476"/>
      <c r="LPJ15" s="476"/>
      <c r="LPK15" s="476"/>
      <c r="LPL15" s="476"/>
      <c r="LPM15" s="476"/>
      <c r="LPN15" s="476"/>
      <c r="LPO15" s="477"/>
      <c r="LPP15" s="477"/>
      <c r="LPQ15" s="463"/>
      <c r="LPR15" s="475"/>
      <c r="LPS15" s="476"/>
      <c r="LPT15" s="476"/>
      <c r="LPU15" s="476"/>
      <c r="LPV15" s="476"/>
      <c r="LPW15" s="476"/>
      <c r="LPX15" s="476"/>
      <c r="LPY15" s="476"/>
      <c r="LPZ15" s="476"/>
      <c r="LQA15" s="476"/>
      <c r="LQB15" s="476"/>
      <c r="LQC15" s="476"/>
      <c r="LQD15" s="476"/>
      <c r="LQE15" s="477"/>
      <c r="LQF15" s="477"/>
      <c r="LQG15" s="463"/>
      <c r="LQH15" s="475"/>
      <c r="LQI15" s="476"/>
      <c r="LQJ15" s="476"/>
      <c r="LQK15" s="476"/>
      <c r="LQL15" s="476"/>
      <c r="LQM15" s="476"/>
      <c r="LQN15" s="476"/>
      <c r="LQO15" s="476"/>
      <c r="LQP15" s="476"/>
      <c r="LQQ15" s="476"/>
      <c r="LQR15" s="476"/>
      <c r="LQS15" s="476"/>
      <c r="LQT15" s="476"/>
      <c r="LQU15" s="477"/>
      <c r="LQV15" s="477"/>
      <c r="LQW15" s="463"/>
      <c r="LQX15" s="475"/>
      <c r="LQY15" s="476"/>
      <c r="LQZ15" s="476"/>
      <c r="LRA15" s="476"/>
      <c r="LRB15" s="476"/>
      <c r="LRC15" s="476"/>
      <c r="LRD15" s="476"/>
      <c r="LRE15" s="476"/>
      <c r="LRF15" s="476"/>
      <c r="LRG15" s="476"/>
      <c r="LRH15" s="476"/>
      <c r="LRI15" s="476"/>
      <c r="LRJ15" s="476"/>
      <c r="LRK15" s="477"/>
      <c r="LRL15" s="477"/>
      <c r="LRM15" s="463"/>
      <c r="LRN15" s="475"/>
      <c r="LRO15" s="476"/>
      <c r="LRP15" s="476"/>
      <c r="LRQ15" s="476"/>
      <c r="LRR15" s="476"/>
      <c r="LRS15" s="476"/>
      <c r="LRT15" s="476"/>
      <c r="LRU15" s="476"/>
      <c r="LRV15" s="476"/>
      <c r="LRW15" s="476"/>
      <c r="LRX15" s="476"/>
      <c r="LRY15" s="476"/>
      <c r="LRZ15" s="476"/>
      <c r="LSA15" s="477"/>
      <c r="LSB15" s="477"/>
      <c r="LSC15" s="463"/>
      <c r="LSD15" s="475"/>
      <c r="LSE15" s="476"/>
      <c r="LSF15" s="476"/>
      <c r="LSG15" s="476"/>
      <c r="LSH15" s="476"/>
      <c r="LSI15" s="476"/>
      <c r="LSJ15" s="476"/>
      <c r="LSK15" s="476"/>
      <c r="LSL15" s="476"/>
      <c r="LSM15" s="476"/>
      <c r="LSN15" s="476"/>
      <c r="LSO15" s="476"/>
      <c r="LSP15" s="476"/>
      <c r="LSQ15" s="477"/>
      <c r="LSR15" s="477"/>
      <c r="LSS15" s="463"/>
      <c r="LST15" s="475"/>
      <c r="LSU15" s="476"/>
      <c r="LSV15" s="476"/>
      <c r="LSW15" s="476"/>
      <c r="LSX15" s="476"/>
      <c r="LSY15" s="476"/>
      <c r="LSZ15" s="476"/>
      <c r="LTA15" s="476"/>
      <c r="LTB15" s="476"/>
      <c r="LTC15" s="476"/>
      <c r="LTD15" s="476"/>
      <c r="LTE15" s="476"/>
      <c r="LTF15" s="476"/>
      <c r="LTG15" s="477"/>
      <c r="LTH15" s="477"/>
      <c r="LTI15" s="463"/>
      <c r="LTJ15" s="475"/>
      <c r="LTK15" s="476"/>
      <c r="LTL15" s="476"/>
      <c r="LTM15" s="476"/>
      <c r="LTN15" s="476"/>
      <c r="LTO15" s="476"/>
      <c r="LTP15" s="476"/>
      <c r="LTQ15" s="476"/>
      <c r="LTR15" s="476"/>
      <c r="LTS15" s="476"/>
      <c r="LTT15" s="476"/>
      <c r="LTU15" s="476"/>
      <c r="LTV15" s="476"/>
      <c r="LTW15" s="477"/>
      <c r="LTX15" s="477"/>
      <c r="LTY15" s="463"/>
      <c r="LTZ15" s="475"/>
      <c r="LUA15" s="476"/>
      <c r="LUB15" s="476"/>
      <c r="LUC15" s="476"/>
      <c r="LUD15" s="476"/>
      <c r="LUE15" s="476"/>
      <c r="LUF15" s="476"/>
      <c r="LUG15" s="476"/>
      <c r="LUH15" s="476"/>
      <c r="LUI15" s="476"/>
      <c r="LUJ15" s="476"/>
      <c r="LUK15" s="476"/>
      <c r="LUL15" s="476"/>
      <c r="LUM15" s="477"/>
      <c r="LUN15" s="477"/>
      <c r="LUO15" s="463"/>
      <c r="LUP15" s="475"/>
      <c r="LUQ15" s="476"/>
      <c r="LUR15" s="476"/>
      <c r="LUS15" s="476"/>
      <c r="LUT15" s="476"/>
      <c r="LUU15" s="476"/>
      <c r="LUV15" s="476"/>
      <c r="LUW15" s="476"/>
      <c r="LUX15" s="476"/>
      <c r="LUY15" s="476"/>
      <c r="LUZ15" s="476"/>
      <c r="LVA15" s="476"/>
      <c r="LVB15" s="476"/>
      <c r="LVC15" s="477"/>
      <c r="LVD15" s="477"/>
      <c r="LVE15" s="463"/>
      <c r="LVF15" s="475"/>
      <c r="LVG15" s="476"/>
      <c r="LVH15" s="476"/>
      <c r="LVI15" s="476"/>
      <c r="LVJ15" s="476"/>
      <c r="LVK15" s="476"/>
      <c r="LVL15" s="476"/>
      <c r="LVM15" s="476"/>
      <c r="LVN15" s="476"/>
      <c r="LVO15" s="476"/>
      <c r="LVP15" s="476"/>
      <c r="LVQ15" s="476"/>
      <c r="LVR15" s="476"/>
      <c r="LVS15" s="477"/>
      <c r="LVT15" s="477"/>
      <c r="LVU15" s="463"/>
      <c r="LVV15" s="475"/>
      <c r="LVW15" s="476"/>
      <c r="LVX15" s="476"/>
      <c r="LVY15" s="476"/>
      <c r="LVZ15" s="476"/>
      <c r="LWA15" s="476"/>
      <c r="LWB15" s="476"/>
      <c r="LWC15" s="476"/>
      <c r="LWD15" s="476"/>
      <c r="LWE15" s="476"/>
      <c r="LWF15" s="476"/>
      <c r="LWG15" s="476"/>
      <c r="LWH15" s="476"/>
      <c r="LWI15" s="477"/>
      <c r="LWJ15" s="477"/>
      <c r="LWK15" s="463"/>
      <c r="LWL15" s="475"/>
      <c r="LWM15" s="476"/>
      <c r="LWN15" s="476"/>
      <c r="LWO15" s="476"/>
      <c r="LWP15" s="476"/>
      <c r="LWQ15" s="476"/>
      <c r="LWR15" s="476"/>
      <c r="LWS15" s="476"/>
      <c r="LWT15" s="476"/>
      <c r="LWU15" s="476"/>
      <c r="LWV15" s="476"/>
      <c r="LWW15" s="476"/>
      <c r="LWX15" s="476"/>
      <c r="LWY15" s="477"/>
      <c r="LWZ15" s="477"/>
      <c r="LXA15" s="463"/>
      <c r="LXB15" s="475"/>
      <c r="LXC15" s="476"/>
      <c r="LXD15" s="476"/>
      <c r="LXE15" s="476"/>
      <c r="LXF15" s="476"/>
      <c r="LXG15" s="476"/>
      <c r="LXH15" s="476"/>
      <c r="LXI15" s="476"/>
      <c r="LXJ15" s="476"/>
      <c r="LXK15" s="476"/>
      <c r="LXL15" s="476"/>
      <c r="LXM15" s="476"/>
      <c r="LXN15" s="476"/>
      <c r="LXO15" s="477"/>
      <c r="LXP15" s="477"/>
      <c r="LXQ15" s="463"/>
      <c r="LXR15" s="475"/>
      <c r="LXS15" s="476"/>
      <c r="LXT15" s="476"/>
      <c r="LXU15" s="476"/>
      <c r="LXV15" s="476"/>
      <c r="LXW15" s="476"/>
      <c r="LXX15" s="476"/>
      <c r="LXY15" s="476"/>
      <c r="LXZ15" s="476"/>
      <c r="LYA15" s="476"/>
      <c r="LYB15" s="476"/>
      <c r="LYC15" s="476"/>
      <c r="LYD15" s="476"/>
      <c r="LYE15" s="477"/>
      <c r="LYF15" s="477"/>
      <c r="LYG15" s="463"/>
      <c r="LYH15" s="475"/>
      <c r="LYI15" s="476"/>
      <c r="LYJ15" s="476"/>
      <c r="LYK15" s="476"/>
      <c r="LYL15" s="476"/>
      <c r="LYM15" s="476"/>
      <c r="LYN15" s="476"/>
      <c r="LYO15" s="476"/>
      <c r="LYP15" s="476"/>
      <c r="LYQ15" s="476"/>
      <c r="LYR15" s="476"/>
      <c r="LYS15" s="476"/>
      <c r="LYT15" s="476"/>
      <c r="LYU15" s="477"/>
      <c r="LYV15" s="477"/>
      <c r="LYW15" s="463"/>
      <c r="LYX15" s="475"/>
      <c r="LYY15" s="476"/>
      <c r="LYZ15" s="476"/>
      <c r="LZA15" s="476"/>
      <c r="LZB15" s="476"/>
      <c r="LZC15" s="476"/>
      <c r="LZD15" s="476"/>
      <c r="LZE15" s="476"/>
      <c r="LZF15" s="476"/>
      <c r="LZG15" s="476"/>
      <c r="LZH15" s="476"/>
      <c r="LZI15" s="476"/>
      <c r="LZJ15" s="476"/>
      <c r="LZK15" s="477"/>
      <c r="LZL15" s="477"/>
      <c r="LZM15" s="463"/>
      <c r="LZN15" s="475"/>
      <c r="LZO15" s="476"/>
      <c r="LZP15" s="476"/>
      <c r="LZQ15" s="476"/>
      <c r="LZR15" s="476"/>
      <c r="LZS15" s="476"/>
      <c r="LZT15" s="476"/>
      <c r="LZU15" s="476"/>
      <c r="LZV15" s="476"/>
      <c r="LZW15" s="476"/>
      <c r="LZX15" s="476"/>
      <c r="LZY15" s="476"/>
      <c r="LZZ15" s="476"/>
      <c r="MAA15" s="477"/>
      <c r="MAB15" s="477"/>
      <c r="MAC15" s="463"/>
      <c r="MAD15" s="475"/>
      <c r="MAE15" s="476"/>
      <c r="MAF15" s="476"/>
      <c r="MAG15" s="476"/>
      <c r="MAH15" s="476"/>
      <c r="MAI15" s="476"/>
      <c r="MAJ15" s="476"/>
      <c r="MAK15" s="476"/>
      <c r="MAL15" s="476"/>
      <c r="MAM15" s="476"/>
      <c r="MAN15" s="476"/>
      <c r="MAO15" s="476"/>
      <c r="MAP15" s="476"/>
      <c r="MAQ15" s="477"/>
      <c r="MAR15" s="477"/>
      <c r="MAS15" s="463"/>
      <c r="MAT15" s="475"/>
      <c r="MAU15" s="476"/>
      <c r="MAV15" s="476"/>
      <c r="MAW15" s="476"/>
      <c r="MAX15" s="476"/>
      <c r="MAY15" s="476"/>
      <c r="MAZ15" s="476"/>
      <c r="MBA15" s="476"/>
      <c r="MBB15" s="476"/>
      <c r="MBC15" s="476"/>
      <c r="MBD15" s="476"/>
      <c r="MBE15" s="476"/>
      <c r="MBF15" s="476"/>
      <c r="MBG15" s="477"/>
      <c r="MBH15" s="477"/>
      <c r="MBI15" s="463"/>
      <c r="MBJ15" s="475"/>
      <c r="MBK15" s="476"/>
      <c r="MBL15" s="476"/>
      <c r="MBM15" s="476"/>
      <c r="MBN15" s="476"/>
      <c r="MBO15" s="476"/>
      <c r="MBP15" s="476"/>
      <c r="MBQ15" s="476"/>
      <c r="MBR15" s="476"/>
      <c r="MBS15" s="476"/>
      <c r="MBT15" s="476"/>
      <c r="MBU15" s="476"/>
      <c r="MBV15" s="476"/>
      <c r="MBW15" s="477"/>
      <c r="MBX15" s="477"/>
      <c r="MBY15" s="463"/>
      <c r="MBZ15" s="475"/>
      <c r="MCA15" s="476"/>
      <c r="MCB15" s="476"/>
      <c r="MCC15" s="476"/>
      <c r="MCD15" s="476"/>
      <c r="MCE15" s="476"/>
      <c r="MCF15" s="476"/>
      <c r="MCG15" s="476"/>
      <c r="MCH15" s="476"/>
      <c r="MCI15" s="476"/>
      <c r="MCJ15" s="476"/>
      <c r="MCK15" s="476"/>
      <c r="MCL15" s="476"/>
      <c r="MCM15" s="477"/>
      <c r="MCN15" s="477"/>
      <c r="MCO15" s="463"/>
      <c r="MCP15" s="475"/>
      <c r="MCQ15" s="476"/>
      <c r="MCR15" s="476"/>
      <c r="MCS15" s="476"/>
      <c r="MCT15" s="476"/>
      <c r="MCU15" s="476"/>
      <c r="MCV15" s="476"/>
      <c r="MCW15" s="476"/>
      <c r="MCX15" s="476"/>
      <c r="MCY15" s="476"/>
      <c r="MCZ15" s="476"/>
      <c r="MDA15" s="476"/>
      <c r="MDB15" s="476"/>
      <c r="MDC15" s="477"/>
      <c r="MDD15" s="477"/>
      <c r="MDE15" s="463"/>
      <c r="MDF15" s="475"/>
      <c r="MDG15" s="476"/>
      <c r="MDH15" s="476"/>
      <c r="MDI15" s="476"/>
      <c r="MDJ15" s="476"/>
      <c r="MDK15" s="476"/>
      <c r="MDL15" s="476"/>
      <c r="MDM15" s="476"/>
      <c r="MDN15" s="476"/>
      <c r="MDO15" s="476"/>
      <c r="MDP15" s="476"/>
      <c r="MDQ15" s="476"/>
      <c r="MDR15" s="476"/>
      <c r="MDS15" s="477"/>
      <c r="MDT15" s="477"/>
      <c r="MDU15" s="463"/>
      <c r="MDV15" s="475"/>
      <c r="MDW15" s="476"/>
      <c r="MDX15" s="476"/>
      <c r="MDY15" s="476"/>
      <c r="MDZ15" s="476"/>
      <c r="MEA15" s="476"/>
      <c r="MEB15" s="476"/>
      <c r="MEC15" s="476"/>
      <c r="MED15" s="476"/>
      <c r="MEE15" s="476"/>
      <c r="MEF15" s="476"/>
      <c r="MEG15" s="476"/>
      <c r="MEH15" s="476"/>
      <c r="MEI15" s="477"/>
      <c r="MEJ15" s="477"/>
      <c r="MEK15" s="463"/>
      <c r="MEL15" s="475"/>
      <c r="MEM15" s="476"/>
      <c r="MEN15" s="476"/>
      <c r="MEO15" s="476"/>
      <c r="MEP15" s="476"/>
      <c r="MEQ15" s="476"/>
      <c r="MER15" s="476"/>
      <c r="MES15" s="476"/>
      <c r="MET15" s="476"/>
      <c r="MEU15" s="476"/>
      <c r="MEV15" s="476"/>
      <c r="MEW15" s="476"/>
      <c r="MEX15" s="476"/>
      <c r="MEY15" s="477"/>
      <c r="MEZ15" s="477"/>
      <c r="MFA15" s="463"/>
      <c r="MFB15" s="475"/>
      <c r="MFC15" s="476"/>
      <c r="MFD15" s="476"/>
      <c r="MFE15" s="476"/>
      <c r="MFF15" s="476"/>
      <c r="MFG15" s="476"/>
      <c r="MFH15" s="476"/>
      <c r="MFI15" s="476"/>
      <c r="MFJ15" s="476"/>
      <c r="MFK15" s="476"/>
      <c r="MFL15" s="476"/>
      <c r="MFM15" s="476"/>
      <c r="MFN15" s="476"/>
      <c r="MFO15" s="477"/>
      <c r="MFP15" s="477"/>
      <c r="MFQ15" s="463"/>
      <c r="MFR15" s="475"/>
      <c r="MFS15" s="476"/>
      <c r="MFT15" s="476"/>
      <c r="MFU15" s="476"/>
      <c r="MFV15" s="476"/>
      <c r="MFW15" s="476"/>
      <c r="MFX15" s="476"/>
      <c r="MFY15" s="476"/>
      <c r="MFZ15" s="476"/>
      <c r="MGA15" s="476"/>
      <c r="MGB15" s="476"/>
      <c r="MGC15" s="476"/>
      <c r="MGD15" s="476"/>
      <c r="MGE15" s="477"/>
      <c r="MGF15" s="477"/>
      <c r="MGG15" s="463"/>
      <c r="MGH15" s="475"/>
      <c r="MGI15" s="476"/>
      <c r="MGJ15" s="476"/>
      <c r="MGK15" s="476"/>
      <c r="MGL15" s="476"/>
      <c r="MGM15" s="476"/>
      <c r="MGN15" s="476"/>
      <c r="MGO15" s="476"/>
      <c r="MGP15" s="476"/>
      <c r="MGQ15" s="476"/>
      <c r="MGR15" s="476"/>
      <c r="MGS15" s="476"/>
      <c r="MGT15" s="476"/>
      <c r="MGU15" s="477"/>
      <c r="MGV15" s="477"/>
      <c r="MGW15" s="463"/>
      <c r="MGX15" s="475"/>
      <c r="MGY15" s="476"/>
      <c r="MGZ15" s="476"/>
      <c r="MHA15" s="476"/>
      <c r="MHB15" s="476"/>
      <c r="MHC15" s="476"/>
      <c r="MHD15" s="476"/>
      <c r="MHE15" s="476"/>
      <c r="MHF15" s="476"/>
      <c r="MHG15" s="476"/>
      <c r="MHH15" s="476"/>
      <c r="MHI15" s="476"/>
      <c r="MHJ15" s="476"/>
      <c r="MHK15" s="477"/>
      <c r="MHL15" s="477"/>
      <c r="MHM15" s="463"/>
      <c r="MHN15" s="475"/>
      <c r="MHO15" s="476"/>
      <c r="MHP15" s="476"/>
      <c r="MHQ15" s="476"/>
      <c r="MHR15" s="476"/>
      <c r="MHS15" s="476"/>
      <c r="MHT15" s="476"/>
      <c r="MHU15" s="476"/>
      <c r="MHV15" s="476"/>
      <c r="MHW15" s="476"/>
      <c r="MHX15" s="476"/>
      <c r="MHY15" s="476"/>
      <c r="MHZ15" s="476"/>
      <c r="MIA15" s="477"/>
      <c r="MIB15" s="477"/>
      <c r="MIC15" s="463"/>
      <c r="MID15" s="475"/>
      <c r="MIE15" s="476"/>
      <c r="MIF15" s="476"/>
      <c r="MIG15" s="476"/>
      <c r="MIH15" s="476"/>
      <c r="MII15" s="476"/>
      <c r="MIJ15" s="476"/>
      <c r="MIK15" s="476"/>
      <c r="MIL15" s="476"/>
      <c r="MIM15" s="476"/>
      <c r="MIN15" s="476"/>
      <c r="MIO15" s="476"/>
      <c r="MIP15" s="476"/>
      <c r="MIQ15" s="477"/>
      <c r="MIR15" s="477"/>
      <c r="MIS15" s="463"/>
      <c r="MIT15" s="475"/>
      <c r="MIU15" s="476"/>
      <c r="MIV15" s="476"/>
      <c r="MIW15" s="476"/>
      <c r="MIX15" s="476"/>
      <c r="MIY15" s="476"/>
      <c r="MIZ15" s="476"/>
      <c r="MJA15" s="476"/>
      <c r="MJB15" s="476"/>
      <c r="MJC15" s="476"/>
      <c r="MJD15" s="476"/>
      <c r="MJE15" s="476"/>
      <c r="MJF15" s="476"/>
      <c r="MJG15" s="477"/>
      <c r="MJH15" s="477"/>
      <c r="MJI15" s="463"/>
      <c r="MJJ15" s="475"/>
      <c r="MJK15" s="476"/>
      <c r="MJL15" s="476"/>
      <c r="MJM15" s="476"/>
      <c r="MJN15" s="476"/>
      <c r="MJO15" s="476"/>
      <c r="MJP15" s="476"/>
      <c r="MJQ15" s="476"/>
      <c r="MJR15" s="476"/>
      <c r="MJS15" s="476"/>
      <c r="MJT15" s="476"/>
      <c r="MJU15" s="476"/>
      <c r="MJV15" s="476"/>
      <c r="MJW15" s="477"/>
      <c r="MJX15" s="477"/>
      <c r="MJY15" s="463"/>
      <c r="MJZ15" s="475"/>
      <c r="MKA15" s="476"/>
      <c r="MKB15" s="476"/>
      <c r="MKC15" s="476"/>
      <c r="MKD15" s="476"/>
      <c r="MKE15" s="476"/>
      <c r="MKF15" s="476"/>
      <c r="MKG15" s="476"/>
      <c r="MKH15" s="476"/>
      <c r="MKI15" s="476"/>
      <c r="MKJ15" s="476"/>
      <c r="MKK15" s="476"/>
      <c r="MKL15" s="476"/>
      <c r="MKM15" s="477"/>
      <c r="MKN15" s="477"/>
      <c r="MKO15" s="463"/>
      <c r="MKP15" s="475"/>
      <c r="MKQ15" s="476"/>
      <c r="MKR15" s="476"/>
      <c r="MKS15" s="476"/>
      <c r="MKT15" s="476"/>
      <c r="MKU15" s="476"/>
      <c r="MKV15" s="476"/>
      <c r="MKW15" s="476"/>
      <c r="MKX15" s="476"/>
      <c r="MKY15" s="476"/>
      <c r="MKZ15" s="476"/>
      <c r="MLA15" s="476"/>
      <c r="MLB15" s="476"/>
      <c r="MLC15" s="477"/>
      <c r="MLD15" s="477"/>
      <c r="MLE15" s="463"/>
      <c r="MLF15" s="475"/>
      <c r="MLG15" s="476"/>
      <c r="MLH15" s="476"/>
      <c r="MLI15" s="476"/>
      <c r="MLJ15" s="476"/>
      <c r="MLK15" s="476"/>
      <c r="MLL15" s="476"/>
      <c r="MLM15" s="476"/>
      <c r="MLN15" s="476"/>
      <c r="MLO15" s="476"/>
      <c r="MLP15" s="476"/>
      <c r="MLQ15" s="476"/>
      <c r="MLR15" s="476"/>
      <c r="MLS15" s="477"/>
      <c r="MLT15" s="477"/>
      <c r="MLU15" s="463"/>
      <c r="MLV15" s="475"/>
      <c r="MLW15" s="476"/>
      <c r="MLX15" s="476"/>
      <c r="MLY15" s="476"/>
      <c r="MLZ15" s="476"/>
      <c r="MMA15" s="476"/>
      <c r="MMB15" s="476"/>
      <c r="MMC15" s="476"/>
      <c r="MMD15" s="476"/>
      <c r="MME15" s="476"/>
      <c r="MMF15" s="476"/>
      <c r="MMG15" s="476"/>
      <c r="MMH15" s="476"/>
      <c r="MMI15" s="477"/>
      <c r="MMJ15" s="477"/>
      <c r="MMK15" s="463"/>
      <c r="MML15" s="475"/>
      <c r="MMM15" s="476"/>
      <c r="MMN15" s="476"/>
      <c r="MMO15" s="476"/>
      <c r="MMP15" s="476"/>
      <c r="MMQ15" s="476"/>
      <c r="MMR15" s="476"/>
      <c r="MMS15" s="476"/>
      <c r="MMT15" s="476"/>
      <c r="MMU15" s="476"/>
      <c r="MMV15" s="476"/>
      <c r="MMW15" s="476"/>
      <c r="MMX15" s="476"/>
      <c r="MMY15" s="477"/>
      <c r="MMZ15" s="477"/>
      <c r="MNA15" s="463"/>
      <c r="MNB15" s="475"/>
      <c r="MNC15" s="476"/>
      <c r="MND15" s="476"/>
      <c r="MNE15" s="476"/>
      <c r="MNF15" s="476"/>
      <c r="MNG15" s="476"/>
      <c r="MNH15" s="476"/>
      <c r="MNI15" s="476"/>
      <c r="MNJ15" s="476"/>
      <c r="MNK15" s="476"/>
      <c r="MNL15" s="476"/>
      <c r="MNM15" s="476"/>
      <c r="MNN15" s="476"/>
      <c r="MNO15" s="477"/>
      <c r="MNP15" s="477"/>
      <c r="MNQ15" s="463"/>
      <c r="MNR15" s="475"/>
      <c r="MNS15" s="476"/>
      <c r="MNT15" s="476"/>
      <c r="MNU15" s="476"/>
      <c r="MNV15" s="476"/>
      <c r="MNW15" s="476"/>
      <c r="MNX15" s="476"/>
      <c r="MNY15" s="476"/>
      <c r="MNZ15" s="476"/>
      <c r="MOA15" s="476"/>
      <c r="MOB15" s="476"/>
      <c r="MOC15" s="476"/>
      <c r="MOD15" s="476"/>
      <c r="MOE15" s="477"/>
      <c r="MOF15" s="477"/>
      <c r="MOG15" s="463"/>
      <c r="MOH15" s="475"/>
      <c r="MOI15" s="476"/>
      <c r="MOJ15" s="476"/>
      <c r="MOK15" s="476"/>
      <c r="MOL15" s="476"/>
      <c r="MOM15" s="476"/>
      <c r="MON15" s="476"/>
      <c r="MOO15" s="476"/>
      <c r="MOP15" s="476"/>
      <c r="MOQ15" s="476"/>
      <c r="MOR15" s="476"/>
      <c r="MOS15" s="476"/>
      <c r="MOT15" s="476"/>
      <c r="MOU15" s="477"/>
      <c r="MOV15" s="477"/>
      <c r="MOW15" s="463"/>
      <c r="MOX15" s="475"/>
      <c r="MOY15" s="476"/>
      <c r="MOZ15" s="476"/>
      <c r="MPA15" s="476"/>
      <c r="MPB15" s="476"/>
      <c r="MPC15" s="476"/>
      <c r="MPD15" s="476"/>
      <c r="MPE15" s="476"/>
      <c r="MPF15" s="476"/>
      <c r="MPG15" s="476"/>
      <c r="MPH15" s="476"/>
      <c r="MPI15" s="476"/>
      <c r="MPJ15" s="476"/>
      <c r="MPK15" s="477"/>
      <c r="MPL15" s="477"/>
      <c r="MPM15" s="463"/>
      <c r="MPN15" s="475"/>
      <c r="MPO15" s="476"/>
      <c r="MPP15" s="476"/>
      <c r="MPQ15" s="476"/>
      <c r="MPR15" s="476"/>
      <c r="MPS15" s="476"/>
      <c r="MPT15" s="476"/>
      <c r="MPU15" s="476"/>
      <c r="MPV15" s="476"/>
      <c r="MPW15" s="476"/>
      <c r="MPX15" s="476"/>
      <c r="MPY15" s="476"/>
      <c r="MPZ15" s="476"/>
      <c r="MQA15" s="477"/>
      <c r="MQB15" s="477"/>
      <c r="MQC15" s="463"/>
      <c r="MQD15" s="475"/>
      <c r="MQE15" s="476"/>
      <c r="MQF15" s="476"/>
      <c r="MQG15" s="476"/>
      <c r="MQH15" s="476"/>
      <c r="MQI15" s="476"/>
      <c r="MQJ15" s="476"/>
      <c r="MQK15" s="476"/>
      <c r="MQL15" s="476"/>
      <c r="MQM15" s="476"/>
      <c r="MQN15" s="476"/>
      <c r="MQO15" s="476"/>
      <c r="MQP15" s="476"/>
      <c r="MQQ15" s="477"/>
      <c r="MQR15" s="477"/>
      <c r="MQS15" s="463"/>
      <c r="MQT15" s="475"/>
      <c r="MQU15" s="476"/>
      <c r="MQV15" s="476"/>
      <c r="MQW15" s="476"/>
      <c r="MQX15" s="476"/>
      <c r="MQY15" s="476"/>
      <c r="MQZ15" s="476"/>
      <c r="MRA15" s="476"/>
      <c r="MRB15" s="476"/>
      <c r="MRC15" s="476"/>
      <c r="MRD15" s="476"/>
      <c r="MRE15" s="476"/>
      <c r="MRF15" s="476"/>
      <c r="MRG15" s="477"/>
      <c r="MRH15" s="477"/>
      <c r="MRI15" s="463"/>
      <c r="MRJ15" s="475"/>
      <c r="MRK15" s="476"/>
      <c r="MRL15" s="476"/>
      <c r="MRM15" s="476"/>
      <c r="MRN15" s="476"/>
      <c r="MRO15" s="476"/>
      <c r="MRP15" s="476"/>
      <c r="MRQ15" s="476"/>
      <c r="MRR15" s="476"/>
      <c r="MRS15" s="476"/>
      <c r="MRT15" s="476"/>
      <c r="MRU15" s="476"/>
      <c r="MRV15" s="476"/>
      <c r="MRW15" s="477"/>
      <c r="MRX15" s="477"/>
      <c r="MRY15" s="463"/>
      <c r="MRZ15" s="475"/>
      <c r="MSA15" s="476"/>
      <c r="MSB15" s="476"/>
      <c r="MSC15" s="476"/>
      <c r="MSD15" s="476"/>
      <c r="MSE15" s="476"/>
      <c r="MSF15" s="476"/>
      <c r="MSG15" s="476"/>
      <c r="MSH15" s="476"/>
      <c r="MSI15" s="476"/>
      <c r="MSJ15" s="476"/>
      <c r="MSK15" s="476"/>
      <c r="MSL15" s="476"/>
      <c r="MSM15" s="477"/>
      <c r="MSN15" s="477"/>
      <c r="MSO15" s="463"/>
      <c r="MSP15" s="475"/>
      <c r="MSQ15" s="476"/>
      <c r="MSR15" s="476"/>
      <c r="MSS15" s="476"/>
      <c r="MST15" s="476"/>
      <c r="MSU15" s="476"/>
      <c r="MSV15" s="476"/>
      <c r="MSW15" s="476"/>
      <c r="MSX15" s="476"/>
      <c r="MSY15" s="476"/>
      <c r="MSZ15" s="476"/>
      <c r="MTA15" s="476"/>
      <c r="MTB15" s="476"/>
      <c r="MTC15" s="477"/>
      <c r="MTD15" s="477"/>
      <c r="MTE15" s="463"/>
      <c r="MTF15" s="475"/>
      <c r="MTG15" s="476"/>
      <c r="MTH15" s="476"/>
      <c r="MTI15" s="476"/>
      <c r="MTJ15" s="476"/>
      <c r="MTK15" s="476"/>
      <c r="MTL15" s="476"/>
      <c r="MTM15" s="476"/>
      <c r="MTN15" s="476"/>
      <c r="MTO15" s="476"/>
      <c r="MTP15" s="476"/>
      <c r="MTQ15" s="476"/>
      <c r="MTR15" s="476"/>
      <c r="MTS15" s="477"/>
      <c r="MTT15" s="477"/>
      <c r="MTU15" s="463"/>
      <c r="MTV15" s="475"/>
      <c r="MTW15" s="476"/>
      <c r="MTX15" s="476"/>
      <c r="MTY15" s="476"/>
      <c r="MTZ15" s="476"/>
      <c r="MUA15" s="476"/>
      <c r="MUB15" s="476"/>
      <c r="MUC15" s="476"/>
      <c r="MUD15" s="476"/>
      <c r="MUE15" s="476"/>
      <c r="MUF15" s="476"/>
      <c r="MUG15" s="476"/>
      <c r="MUH15" s="476"/>
      <c r="MUI15" s="477"/>
      <c r="MUJ15" s="477"/>
      <c r="MUK15" s="463"/>
      <c r="MUL15" s="475"/>
      <c r="MUM15" s="476"/>
      <c r="MUN15" s="476"/>
      <c r="MUO15" s="476"/>
      <c r="MUP15" s="476"/>
      <c r="MUQ15" s="476"/>
      <c r="MUR15" s="476"/>
      <c r="MUS15" s="476"/>
      <c r="MUT15" s="476"/>
      <c r="MUU15" s="476"/>
      <c r="MUV15" s="476"/>
      <c r="MUW15" s="476"/>
      <c r="MUX15" s="476"/>
      <c r="MUY15" s="477"/>
      <c r="MUZ15" s="477"/>
      <c r="MVA15" s="463"/>
      <c r="MVB15" s="475"/>
      <c r="MVC15" s="476"/>
      <c r="MVD15" s="476"/>
      <c r="MVE15" s="476"/>
      <c r="MVF15" s="476"/>
      <c r="MVG15" s="476"/>
      <c r="MVH15" s="476"/>
      <c r="MVI15" s="476"/>
      <c r="MVJ15" s="476"/>
      <c r="MVK15" s="476"/>
      <c r="MVL15" s="476"/>
      <c r="MVM15" s="476"/>
      <c r="MVN15" s="476"/>
      <c r="MVO15" s="477"/>
      <c r="MVP15" s="477"/>
      <c r="MVQ15" s="463"/>
      <c r="MVR15" s="475"/>
      <c r="MVS15" s="476"/>
      <c r="MVT15" s="476"/>
      <c r="MVU15" s="476"/>
      <c r="MVV15" s="476"/>
      <c r="MVW15" s="476"/>
      <c r="MVX15" s="476"/>
      <c r="MVY15" s="476"/>
      <c r="MVZ15" s="476"/>
      <c r="MWA15" s="476"/>
      <c r="MWB15" s="476"/>
      <c r="MWC15" s="476"/>
      <c r="MWD15" s="476"/>
      <c r="MWE15" s="477"/>
      <c r="MWF15" s="477"/>
      <c r="MWG15" s="463"/>
      <c r="MWH15" s="475"/>
      <c r="MWI15" s="476"/>
      <c r="MWJ15" s="476"/>
      <c r="MWK15" s="476"/>
      <c r="MWL15" s="476"/>
      <c r="MWM15" s="476"/>
      <c r="MWN15" s="476"/>
      <c r="MWO15" s="476"/>
      <c r="MWP15" s="476"/>
      <c r="MWQ15" s="476"/>
      <c r="MWR15" s="476"/>
      <c r="MWS15" s="476"/>
      <c r="MWT15" s="476"/>
      <c r="MWU15" s="477"/>
      <c r="MWV15" s="477"/>
      <c r="MWW15" s="463"/>
      <c r="MWX15" s="475"/>
      <c r="MWY15" s="476"/>
      <c r="MWZ15" s="476"/>
      <c r="MXA15" s="476"/>
      <c r="MXB15" s="476"/>
      <c r="MXC15" s="476"/>
      <c r="MXD15" s="476"/>
      <c r="MXE15" s="476"/>
      <c r="MXF15" s="476"/>
      <c r="MXG15" s="476"/>
      <c r="MXH15" s="476"/>
      <c r="MXI15" s="476"/>
      <c r="MXJ15" s="476"/>
      <c r="MXK15" s="477"/>
      <c r="MXL15" s="477"/>
      <c r="MXM15" s="463"/>
      <c r="MXN15" s="475"/>
      <c r="MXO15" s="476"/>
      <c r="MXP15" s="476"/>
      <c r="MXQ15" s="476"/>
      <c r="MXR15" s="476"/>
      <c r="MXS15" s="476"/>
      <c r="MXT15" s="476"/>
      <c r="MXU15" s="476"/>
      <c r="MXV15" s="476"/>
      <c r="MXW15" s="476"/>
      <c r="MXX15" s="476"/>
      <c r="MXY15" s="476"/>
      <c r="MXZ15" s="476"/>
      <c r="MYA15" s="477"/>
      <c r="MYB15" s="477"/>
      <c r="MYC15" s="463"/>
      <c r="MYD15" s="475"/>
      <c r="MYE15" s="476"/>
      <c r="MYF15" s="476"/>
      <c r="MYG15" s="476"/>
      <c r="MYH15" s="476"/>
      <c r="MYI15" s="476"/>
      <c r="MYJ15" s="476"/>
      <c r="MYK15" s="476"/>
      <c r="MYL15" s="476"/>
      <c r="MYM15" s="476"/>
      <c r="MYN15" s="476"/>
      <c r="MYO15" s="476"/>
      <c r="MYP15" s="476"/>
      <c r="MYQ15" s="477"/>
      <c r="MYR15" s="477"/>
      <c r="MYS15" s="463"/>
      <c r="MYT15" s="475"/>
      <c r="MYU15" s="476"/>
      <c r="MYV15" s="476"/>
      <c r="MYW15" s="476"/>
      <c r="MYX15" s="476"/>
      <c r="MYY15" s="476"/>
      <c r="MYZ15" s="476"/>
      <c r="MZA15" s="476"/>
      <c r="MZB15" s="476"/>
      <c r="MZC15" s="476"/>
      <c r="MZD15" s="476"/>
      <c r="MZE15" s="476"/>
      <c r="MZF15" s="476"/>
      <c r="MZG15" s="477"/>
      <c r="MZH15" s="477"/>
      <c r="MZI15" s="463"/>
      <c r="MZJ15" s="475"/>
      <c r="MZK15" s="476"/>
      <c r="MZL15" s="476"/>
      <c r="MZM15" s="476"/>
      <c r="MZN15" s="476"/>
      <c r="MZO15" s="476"/>
      <c r="MZP15" s="476"/>
      <c r="MZQ15" s="476"/>
      <c r="MZR15" s="476"/>
      <c r="MZS15" s="476"/>
      <c r="MZT15" s="476"/>
      <c r="MZU15" s="476"/>
      <c r="MZV15" s="476"/>
      <c r="MZW15" s="477"/>
      <c r="MZX15" s="477"/>
      <c r="MZY15" s="463"/>
      <c r="MZZ15" s="475"/>
      <c r="NAA15" s="476"/>
      <c r="NAB15" s="476"/>
      <c r="NAC15" s="476"/>
      <c r="NAD15" s="476"/>
      <c r="NAE15" s="476"/>
      <c r="NAF15" s="476"/>
      <c r="NAG15" s="476"/>
      <c r="NAH15" s="476"/>
      <c r="NAI15" s="476"/>
      <c r="NAJ15" s="476"/>
      <c r="NAK15" s="476"/>
      <c r="NAL15" s="476"/>
      <c r="NAM15" s="477"/>
      <c r="NAN15" s="477"/>
      <c r="NAO15" s="463"/>
      <c r="NAP15" s="475"/>
      <c r="NAQ15" s="476"/>
      <c r="NAR15" s="476"/>
      <c r="NAS15" s="476"/>
      <c r="NAT15" s="476"/>
      <c r="NAU15" s="476"/>
      <c r="NAV15" s="476"/>
      <c r="NAW15" s="476"/>
      <c r="NAX15" s="476"/>
      <c r="NAY15" s="476"/>
      <c r="NAZ15" s="476"/>
      <c r="NBA15" s="476"/>
      <c r="NBB15" s="476"/>
      <c r="NBC15" s="477"/>
      <c r="NBD15" s="477"/>
      <c r="NBE15" s="463"/>
      <c r="NBF15" s="475"/>
      <c r="NBG15" s="476"/>
      <c r="NBH15" s="476"/>
      <c r="NBI15" s="476"/>
      <c r="NBJ15" s="476"/>
      <c r="NBK15" s="476"/>
      <c r="NBL15" s="476"/>
      <c r="NBM15" s="476"/>
      <c r="NBN15" s="476"/>
      <c r="NBO15" s="476"/>
      <c r="NBP15" s="476"/>
      <c r="NBQ15" s="476"/>
      <c r="NBR15" s="476"/>
      <c r="NBS15" s="477"/>
      <c r="NBT15" s="477"/>
      <c r="NBU15" s="463"/>
      <c r="NBV15" s="475"/>
      <c r="NBW15" s="476"/>
      <c r="NBX15" s="476"/>
      <c r="NBY15" s="476"/>
      <c r="NBZ15" s="476"/>
      <c r="NCA15" s="476"/>
      <c r="NCB15" s="476"/>
      <c r="NCC15" s="476"/>
      <c r="NCD15" s="476"/>
      <c r="NCE15" s="476"/>
      <c r="NCF15" s="476"/>
      <c r="NCG15" s="476"/>
      <c r="NCH15" s="476"/>
      <c r="NCI15" s="477"/>
      <c r="NCJ15" s="477"/>
      <c r="NCK15" s="463"/>
      <c r="NCL15" s="475"/>
      <c r="NCM15" s="476"/>
      <c r="NCN15" s="476"/>
      <c r="NCO15" s="476"/>
      <c r="NCP15" s="476"/>
      <c r="NCQ15" s="476"/>
      <c r="NCR15" s="476"/>
      <c r="NCS15" s="476"/>
      <c r="NCT15" s="476"/>
      <c r="NCU15" s="476"/>
      <c r="NCV15" s="476"/>
      <c r="NCW15" s="476"/>
      <c r="NCX15" s="476"/>
      <c r="NCY15" s="477"/>
      <c r="NCZ15" s="477"/>
      <c r="NDA15" s="463"/>
      <c r="NDB15" s="475"/>
      <c r="NDC15" s="476"/>
      <c r="NDD15" s="476"/>
      <c r="NDE15" s="476"/>
      <c r="NDF15" s="476"/>
      <c r="NDG15" s="476"/>
      <c r="NDH15" s="476"/>
      <c r="NDI15" s="476"/>
      <c r="NDJ15" s="476"/>
      <c r="NDK15" s="476"/>
      <c r="NDL15" s="476"/>
      <c r="NDM15" s="476"/>
      <c r="NDN15" s="476"/>
      <c r="NDO15" s="477"/>
      <c r="NDP15" s="477"/>
      <c r="NDQ15" s="463"/>
      <c r="NDR15" s="475"/>
      <c r="NDS15" s="476"/>
      <c r="NDT15" s="476"/>
      <c r="NDU15" s="476"/>
      <c r="NDV15" s="476"/>
      <c r="NDW15" s="476"/>
      <c r="NDX15" s="476"/>
      <c r="NDY15" s="476"/>
      <c r="NDZ15" s="476"/>
      <c r="NEA15" s="476"/>
      <c r="NEB15" s="476"/>
      <c r="NEC15" s="476"/>
      <c r="NED15" s="476"/>
      <c r="NEE15" s="477"/>
      <c r="NEF15" s="477"/>
      <c r="NEG15" s="463"/>
      <c r="NEH15" s="475"/>
      <c r="NEI15" s="476"/>
      <c r="NEJ15" s="476"/>
      <c r="NEK15" s="476"/>
      <c r="NEL15" s="476"/>
      <c r="NEM15" s="476"/>
      <c r="NEN15" s="476"/>
      <c r="NEO15" s="476"/>
      <c r="NEP15" s="476"/>
      <c r="NEQ15" s="476"/>
      <c r="NER15" s="476"/>
      <c r="NES15" s="476"/>
      <c r="NET15" s="476"/>
      <c r="NEU15" s="477"/>
      <c r="NEV15" s="477"/>
      <c r="NEW15" s="463"/>
      <c r="NEX15" s="475"/>
      <c r="NEY15" s="476"/>
      <c r="NEZ15" s="476"/>
      <c r="NFA15" s="476"/>
      <c r="NFB15" s="476"/>
      <c r="NFC15" s="476"/>
      <c r="NFD15" s="476"/>
      <c r="NFE15" s="476"/>
      <c r="NFF15" s="476"/>
      <c r="NFG15" s="476"/>
      <c r="NFH15" s="476"/>
      <c r="NFI15" s="476"/>
      <c r="NFJ15" s="476"/>
      <c r="NFK15" s="477"/>
      <c r="NFL15" s="477"/>
      <c r="NFM15" s="463"/>
      <c r="NFN15" s="475"/>
      <c r="NFO15" s="476"/>
      <c r="NFP15" s="476"/>
      <c r="NFQ15" s="476"/>
      <c r="NFR15" s="476"/>
      <c r="NFS15" s="476"/>
      <c r="NFT15" s="476"/>
      <c r="NFU15" s="476"/>
      <c r="NFV15" s="476"/>
      <c r="NFW15" s="476"/>
      <c r="NFX15" s="476"/>
      <c r="NFY15" s="476"/>
      <c r="NFZ15" s="476"/>
      <c r="NGA15" s="477"/>
      <c r="NGB15" s="477"/>
      <c r="NGC15" s="463"/>
      <c r="NGD15" s="475"/>
      <c r="NGE15" s="476"/>
      <c r="NGF15" s="476"/>
      <c r="NGG15" s="476"/>
      <c r="NGH15" s="476"/>
      <c r="NGI15" s="476"/>
      <c r="NGJ15" s="476"/>
      <c r="NGK15" s="476"/>
      <c r="NGL15" s="476"/>
      <c r="NGM15" s="476"/>
      <c r="NGN15" s="476"/>
      <c r="NGO15" s="476"/>
      <c r="NGP15" s="476"/>
      <c r="NGQ15" s="477"/>
      <c r="NGR15" s="477"/>
      <c r="NGS15" s="463"/>
      <c r="NGT15" s="475"/>
      <c r="NGU15" s="476"/>
      <c r="NGV15" s="476"/>
      <c r="NGW15" s="476"/>
      <c r="NGX15" s="476"/>
      <c r="NGY15" s="476"/>
      <c r="NGZ15" s="476"/>
      <c r="NHA15" s="476"/>
      <c r="NHB15" s="476"/>
      <c r="NHC15" s="476"/>
      <c r="NHD15" s="476"/>
      <c r="NHE15" s="476"/>
      <c r="NHF15" s="476"/>
      <c r="NHG15" s="477"/>
      <c r="NHH15" s="477"/>
      <c r="NHI15" s="463"/>
      <c r="NHJ15" s="475"/>
      <c r="NHK15" s="476"/>
      <c r="NHL15" s="476"/>
      <c r="NHM15" s="476"/>
      <c r="NHN15" s="476"/>
      <c r="NHO15" s="476"/>
      <c r="NHP15" s="476"/>
      <c r="NHQ15" s="476"/>
      <c r="NHR15" s="476"/>
      <c r="NHS15" s="476"/>
      <c r="NHT15" s="476"/>
      <c r="NHU15" s="476"/>
      <c r="NHV15" s="476"/>
      <c r="NHW15" s="477"/>
      <c r="NHX15" s="477"/>
      <c r="NHY15" s="463"/>
      <c r="NHZ15" s="475"/>
      <c r="NIA15" s="476"/>
      <c r="NIB15" s="476"/>
      <c r="NIC15" s="476"/>
      <c r="NID15" s="476"/>
      <c r="NIE15" s="476"/>
      <c r="NIF15" s="476"/>
      <c r="NIG15" s="476"/>
      <c r="NIH15" s="476"/>
      <c r="NII15" s="476"/>
      <c r="NIJ15" s="476"/>
      <c r="NIK15" s="476"/>
      <c r="NIL15" s="476"/>
      <c r="NIM15" s="477"/>
      <c r="NIN15" s="477"/>
      <c r="NIO15" s="463"/>
      <c r="NIP15" s="475"/>
      <c r="NIQ15" s="476"/>
      <c r="NIR15" s="476"/>
      <c r="NIS15" s="476"/>
      <c r="NIT15" s="476"/>
      <c r="NIU15" s="476"/>
      <c r="NIV15" s="476"/>
      <c r="NIW15" s="476"/>
      <c r="NIX15" s="476"/>
      <c r="NIY15" s="476"/>
      <c r="NIZ15" s="476"/>
      <c r="NJA15" s="476"/>
      <c r="NJB15" s="476"/>
      <c r="NJC15" s="477"/>
      <c r="NJD15" s="477"/>
      <c r="NJE15" s="463"/>
      <c r="NJF15" s="475"/>
      <c r="NJG15" s="476"/>
      <c r="NJH15" s="476"/>
      <c r="NJI15" s="476"/>
      <c r="NJJ15" s="476"/>
      <c r="NJK15" s="476"/>
      <c r="NJL15" s="476"/>
      <c r="NJM15" s="476"/>
      <c r="NJN15" s="476"/>
      <c r="NJO15" s="476"/>
      <c r="NJP15" s="476"/>
      <c r="NJQ15" s="476"/>
      <c r="NJR15" s="476"/>
      <c r="NJS15" s="477"/>
      <c r="NJT15" s="477"/>
      <c r="NJU15" s="463"/>
      <c r="NJV15" s="475"/>
      <c r="NJW15" s="476"/>
      <c r="NJX15" s="476"/>
      <c r="NJY15" s="476"/>
      <c r="NJZ15" s="476"/>
      <c r="NKA15" s="476"/>
      <c r="NKB15" s="476"/>
      <c r="NKC15" s="476"/>
      <c r="NKD15" s="476"/>
      <c r="NKE15" s="476"/>
      <c r="NKF15" s="476"/>
      <c r="NKG15" s="476"/>
      <c r="NKH15" s="476"/>
      <c r="NKI15" s="477"/>
      <c r="NKJ15" s="477"/>
      <c r="NKK15" s="463"/>
      <c r="NKL15" s="475"/>
      <c r="NKM15" s="476"/>
      <c r="NKN15" s="476"/>
      <c r="NKO15" s="476"/>
      <c r="NKP15" s="476"/>
      <c r="NKQ15" s="476"/>
      <c r="NKR15" s="476"/>
      <c r="NKS15" s="476"/>
      <c r="NKT15" s="476"/>
      <c r="NKU15" s="476"/>
      <c r="NKV15" s="476"/>
      <c r="NKW15" s="476"/>
      <c r="NKX15" s="476"/>
      <c r="NKY15" s="477"/>
      <c r="NKZ15" s="477"/>
      <c r="NLA15" s="463"/>
      <c r="NLB15" s="475"/>
      <c r="NLC15" s="476"/>
      <c r="NLD15" s="476"/>
      <c r="NLE15" s="476"/>
      <c r="NLF15" s="476"/>
      <c r="NLG15" s="476"/>
      <c r="NLH15" s="476"/>
      <c r="NLI15" s="476"/>
      <c r="NLJ15" s="476"/>
      <c r="NLK15" s="476"/>
      <c r="NLL15" s="476"/>
      <c r="NLM15" s="476"/>
      <c r="NLN15" s="476"/>
      <c r="NLO15" s="477"/>
      <c r="NLP15" s="477"/>
      <c r="NLQ15" s="463"/>
      <c r="NLR15" s="475"/>
      <c r="NLS15" s="476"/>
      <c r="NLT15" s="476"/>
      <c r="NLU15" s="476"/>
      <c r="NLV15" s="476"/>
      <c r="NLW15" s="476"/>
      <c r="NLX15" s="476"/>
      <c r="NLY15" s="476"/>
      <c r="NLZ15" s="476"/>
      <c r="NMA15" s="476"/>
      <c r="NMB15" s="476"/>
      <c r="NMC15" s="476"/>
      <c r="NMD15" s="476"/>
      <c r="NME15" s="477"/>
      <c r="NMF15" s="477"/>
      <c r="NMG15" s="463"/>
      <c r="NMH15" s="475"/>
      <c r="NMI15" s="476"/>
      <c r="NMJ15" s="476"/>
      <c r="NMK15" s="476"/>
      <c r="NML15" s="476"/>
      <c r="NMM15" s="476"/>
      <c r="NMN15" s="476"/>
      <c r="NMO15" s="476"/>
      <c r="NMP15" s="476"/>
      <c r="NMQ15" s="476"/>
      <c r="NMR15" s="476"/>
      <c r="NMS15" s="476"/>
      <c r="NMT15" s="476"/>
      <c r="NMU15" s="477"/>
      <c r="NMV15" s="477"/>
      <c r="NMW15" s="463"/>
      <c r="NMX15" s="475"/>
      <c r="NMY15" s="476"/>
      <c r="NMZ15" s="476"/>
      <c r="NNA15" s="476"/>
      <c r="NNB15" s="476"/>
      <c r="NNC15" s="476"/>
      <c r="NND15" s="476"/>
      <c r="NNE15" s="476"/>
      <c r="NNF15" s="476"/>
      <c r="NNG15" s="476"/>
      <c r="NNH15" s="476"/>
      <c r="NNI15" s="476"/>
      <c r="NNJ15" s="476"/>
      <c r="NNK15" s="477"/>
      <c r="NNL15" s="477"/>
      <c r="NNM15" s="463"/>
      <c r="NNN15" s="475"/>
      <c r="NNO15" s="476"/>
      <c r="NNP15" s="476"/>
      <c r="NNQ15" s="476"/>
      <c r="NNR15" s="476"/>
      <c r="NNS15" s="476"/>
      <c r="NNT15" s="476"/>
      <c r="NNU15" s="476"/>
      <c r="NNV15" s="476"/>
      <c r="NNW15" s="476"/>
      <c r="NNX15" s="476"/>
      <c r="NNY15" s="476"/>
      <c r="NNZ15" s="476"/>
      <c r="NOA15" s="477"/>
      <c r="NOB15" s="477"/>
      <c r="NOC15" s="463"/>
      <c r="NOD15" s="475"/>
      <c r="NOE15" s="476"/>
      <c r="NOF15" s="476"/>
      <c r="NOG15" s="476"/>
      <c r="NOH15" s="476"/>
      <c r="NOI15" s="476"/>
      <c r="NOJ15" s="476"/>
      <c r="NOK15" s="476"/>
      <c r="NOL15" s="476"/>
      <c r="NOM15" s="476"/>
      <c r="NON15" s="476"/>
      <c r="NOO15" s="476"/>
      <c r="NOP15" s="476"/>
      <c r="NOQ15" s="477"/>
      <c r="NOR15" s="477"/>
      <c r="NOS15" s="463"/>
      <c r="NOT15" s="475"/>
      <c r="NOU15" s="476"/>
      <c r="NOV15" s="476"/>
      <c r="NOW15" s="476"/>
      <c r="NOX15" s="476"/>
      <c r="NOY15" s="476"/>
      <c r="NOZ15" s="476"/>
      <c r="NPA15" s="476"/>
      <c r="NPB15" s="476"/>
      <c r="NPC15" s="476"/>
      <c r="NPD15" s="476"/>
      <c r="NPE15" s="476"/>
      <c r="NPF15" s="476"/>
      <c r="NPG15" s="477"/>
      <c r="NPH15" s="477"/>
      <c r="NPI15" s="463"/>
      <c r="NPJ15" s="475"/>
      <c r="NPK15" s="476"/>
      <c r="NPL15" s="476"/>
      <c r="NPM15" s="476"/>
      <c r="NPN15" s="476"/>
      <c r="NPO15" s="476"/>
      <c r="NPP15" s="476"/>
      <c r="NPQ15" s="476"/>
      <c r="NPR15" s="476"/>
      <c r="NPS15" s="476"/>
      <c r="NPT15" s="476"/>
      <c r="NPU15" s="476"/>
      <c r="NPV15" s="476"/>
      <c r="NPW15" s="477"/>
      <c r="NPX15" s="477"/>
      <c r="NPY15" s="463"/>
      <c r="NPZ15" s="475"/>
      <c r="NQA15" s="476"/>
      <c r="NQB15" s="476"/>
      <c r="NQC15" s="476"/>
      <c r="NQD15" s="476"/>
      <c r="NQE15" s="476"/>
      <c r="NQF15" s="476"/>
      <c r="NQG15" s="476"/>
      <c r="NQH15" s="476"/>
      <c r="NQI15" s="476"/>
      <c r="NQJ15" s="476"/>
      <c r="NQK15" s="476"/>
      <c r="NQL15" s="476"/>
      <c r="NQM15" s="477"/>
      <c r="NQN15" s="477"/>
      <c r="NQO15" s="463"/>
      <c r="NQP15" s="475"/>
      <c r="NQQ15" s="476"/>
      <c r="NQR15" s="476"/>
      <c r="NQS15" s="476"/>
      <c r="NQT15" s="476"/>
      <c r="NQU15" s="476"/>
      <c r="NQV15" s="476"/>
      <c r="NQW15" s="476"/>
      <c r="NQX15" s="476"/>
      <c r="NQY15" s="476"/>
      <c r="NQZ15" s="476"/>
      <c r="NRA15" s="476"/>
      <c r="NRB15" s="476"/>
      <c r="NRC15" s="477"/>
      <c r="NRD15" s="477"/>
      <c r="NRE15" s="463"/>
      <c r="NRF15" s="475"/>
      <c r="NRG15" s="476"/>
      <c r="NRH15" s="476"/>
      <c r="NRI15" s="476"/>
      <c r="NRJ15" s="476"/>
      <c r="NRK15" s="476"/>
      <c r="NRL15" s="476"/>
      <c r="NRM15" s="476"/>
      <c r="NRN15" s="476"/>
      <c r="NRO15" s="476"/>
      <c r="NRP15" s="476"/>
      <c r="NRQ15" s="476"/>
      <c r="NRR15" s="476"/>
      <c r="NRS15" s="477"/>
      <c r="NRT15" s="477"/>
      <c r="NRU15" s="463"/>
      <c r="NRV15" s="475"/>
      <c r="NRW15" s="476"/>
      <c r="NRX15" s="476"/>
      <c r="NRY15" s="476"/>
      <c r="NRZ15" s="476"/>
      <c r="NSA15" s="476"/>
      <c r="NSB15" s="476"/>
      <c r="NSC15" s="476"/>
      <c r="NSD15" s="476"/>
      <c r="NSE15" s="476"/>
      <c r="NSF15" s="476"/>
      <c r="NSG15" s="476"/>
      <c r="NSH15" s="476"/>
      <c r="NSI15" s="477"/>
      <c r="NSJ15" s="477"/>
      <c r="NSK15" s="463"/>
      <c r="NSL15" s="475"/>
      <c r="NSM15" s="476"/>
      <c r="NSN15" s="476"/>
      <c r="NSO15" s="476"/>
      <c r="NSP15" s="476"/>
      <c r="NSQ15" s="476"/>
      <c r="NSR15" s="476"/>
      <c r="NSS15" s="476"/>
      <c r="NST15" s="476"/>
      <c r="NSU15" s="476"/>
      <c r="NSV15" s="476"/>
      <c r="NSW15" s="476"/>
      <c r="NSX15" s="476"/>
      <c r="NSY15" s="477"/>
      <c r="NSZ15" s="477"/>
      <c r="NTA15" s="463"/>
      <c r="NTB15" s="475"/>
      <c r="NTC15" s="476"/>
      <c r="NTD15" s="476"/>
      <c r="NTE15" s="476"/>
      <c r="NTF15" s="476"/>
      <c r="NTG15" s="476"/>
      <c r="NTH15" s="476"/>
      <c r="NTI15" s="476"/>
      <c r="NTJ15" s="476"/>
      <c r="NTK15" s="476"/>
      <c r="NTL15" s="476"/>
      <c r="NTM15" s="476"/>
      <c r="NTN15" s="476"/>
      <c r="NTO15" s="477"/>
      <c r="NTP15" s="477"/>
      <c r="NTQ15" s="463"/>
      <c r="NTR15" s="475"/>
      <c r="NTS15" s="476"/>
      <c r="NTT15" s="476"/>
      <c r="NTU15" s="476"/>
      <c r="NTV15" s="476"/>
      <c r="NTW15" s="476"/>
      <c r="NTX15" s="476"/>
      <c r="NTY15" s="476"/>
      <c r="NTZ15" s="476"/>
      <c r="NUA15" s="476"/>
      <c r="NUB15" s="476"/>
      <c r="NUC15" s="476"/>
      <c r="NUD15" s="476"/>
      <c r="NUE15" s="477"/>
      <c r="NUF15" s="477"/>
      <c r="NUG15" s="463"/>
      <c r="NUH15" s="475"/>
      <c r="NUI15" s="476"/>
      <c r="NUJ15" s="476"/>
      <c r="NUK15" s="476"/>
      <c r="NUL15" s="476"/>
      <c r="NUM15" s="476"/>
      <c r="NUN15" s="476"/>
      <c r="NUO15" s="476"/>
      <c r="NUP15" s="476"/>
      <c r="NUQ15" s="476"/>
      <c r="NUR15" s="476"/>
      <c r="NUS15" s="476"/>
      <c r="NUT15" s="476"/>
      <c r="NUU15" s="477"/>
      <c r="NUV15" s="477"/>
      <c r="NUW15" s="463"/>
      <c r="NUX15" s="475"/>
      <c r="NUY15" s="476"/>
      <c r="NUZ15" s="476"/>
      <c r="NVA15" s="476"/>
      <c r="NVB15" s="476"/>
      <c r="NVC15" s="476"/>
      <c r="NVD15" s="476"/>
      <c r="NVE15" s="476"/>
      <c r="NVF15" s="476"/>
      <c r="NVG15" s="476"/>
      <c r="NVH15" s="476"/>
      <c r="NVI15" s="476"/>
      <c r="NVJ15" s="476"/>
      <c r="NVK15" s="477"/>
      <c r="NVL15" s="477"/>
      <c r="NVM15" s="463"/>
      <c r="NVN15" s="475"/>
      <c r="NVO15" s="476"/>
      <c r="NVP15" s="476"/>
      <c r="NVQ15" s="476"/>
      <c r="NVR15" s="476"/>
      <c r="NVS15" s="476"/>
      <c r="NVT15" s="476"/>
      <c r="NVU15" s="476"/>
      <c r="NVV15" s="476"/>
      <c r="NVW15" s="476"/>
      <c r="NVX15" s="476"/>
      <c r="NVY15" s="476"/>
      <c r="NVZ15" s="476"/>
      <c r="NWA15" s="477"/>
      <c r="NWB15" s="477"/>
      <c r="NWC15" s="463"/>
      <c r="NWD15" s="475"/>
      <c r="NWE15" s="476"/>
      <c r="NWF15" s="476"/>
      <c r="NWG15" s="476"/>
      <c r="NWH15" s="476"/>
      <c r="NWI15" s="476"/>
      <c r="NWJ15" s="476"/>
      <c r="NWK15" s="476"/>
      <c r="NWL15" s="476"/>
      <c r="NWM15" s="476"/>
      <c r="NWN15" s="476"/>
      <c r="NWO15" s="476"/>
      <c r="NWP15" s="476"/>
      <c r="NWQ15" s="477"/>
      <c r="NWR15" s="477"/>
      <c r="NWS15" s="463"/>
      <c r="NWT15" s="475"/>
      <c r="NWU15" s="476"/>
      <c r="NWV15" s="476"/>
      <c r="NWW15" s="476"/>
      <c r="NWX15" s="476"/>
      <c r="NWY15" s="476"/>
      <c r="NWZ15" s="476"/>
      <c r="NXA15" s="476"/>
      <c r="NXB15" s="476"/>
      <c r="NXC15" s="476"/>
      <c r="NXD15" s="476"/>
      <c r="NXE15" s="476"/>
      <c r="NXF15" s="476"/>
      <c r="NXG15" s="477"/>
      <c r="NXH15" s="477"/>
      <c r="NXI15" s="463"/>
      <c r="NXJ15" s="475"/>
      <c r="NXK15" s="476"/>
      <c r="NXL15" s="476"/>
      <c r="NXM15" s="476"/>
      <c r="NXN15" s="476"/>
      <c r="NXO15" s="476"/>
      <c r="NXP15" s="476"/>
      <c r="NXQ15" s="476"/>
      <c r="NXR15" s="476"/>
      <c r="NXS15" s="476"/>
      <c r="NXT15" s="476"/>
      <c r="NXU15" s="476"/>
      <c r="NXV15" s="476"/>
      <c r="NXW15" s="477"/>
      <c r="NXX15" s="477"/>
      <c r="NXY15" s="463"/>
      <c r="NXZ15" s="475"/>
      <c r="NYA15" s="476"/>
      <c r="NYB15" s="476"/>
      <c r="NYC15" s="476"/>
      <c r="NYD15" s="476"/>
      <c r="NYE15" s="476"/>
      <c r="NYF15" s="476"/>
      <c r="NYG15" s="476"/>
      <c r="NYH15" s="476"/>
      <c r="NYI15" s="476"/>
      <c r="NYJ15" s="476"/>
      <c r="NYK15" s="476"/>
      <c r="NYL15" s="476"/>
      <c r="NYM15" s="477"/>
      <c r="NYN15" s="477"/>
      <c r="NYO15" s="463"/>
      <c r="NYP15" s="475"/>
      <c r="NYQ15" s="476"/>
      <c r="NYR15" s="476"/>
      <c r="NYS15" s="476"/>
      <c r="NYT15" s="476"/>
      <c r="NYU15" s="476"/>
      <c r="NYV15" s="476"/>
      <c r="NYW15" s="476"/>
      <c r="NYX15" s="476"/>
      <c r="NYY15" s="476"/>
      <c r="NYZ15" s="476"/>
      <c r="NZA15" s="476"/>
      <c r="NZB15" s="476"/>
      <c r="NZC15" s="477"/>
      <c r="NZD15" s="477"/>
      <c r="NZE15" s="463"/>
      <c r="NZF15" s="475"/>
      <c r="NZG15" s="476"/>
      <c r="NZH15" s="476"/>
      <c r="NZI15" s="476"/>
      <c r="NZJ15" s="476"/>
      <c r="NZK15" s="476"/>
      <c r="NZL15" s="476"/>
      <c r="NZM15" s="476"/>
      <c r="NZN15" s="476"/>
      <c r="NZO15" s="476"/>
      <c r="NZP15" s="476"/>
      <c r="NZQ15" s="476"/>
      <c r="NZR15" s="476"/>
      <c r="NZS15" s="477"/>
      <c r="NZT15" s="477"/>
      <c r="NZU15" s="463"/>
      <c r="NZV15" s="475"/>
      <c r="NZW15" s="476"/>
      <c r="NZX15" s="476"/>
      <c r="NZY15" s="476"/>
      <c r="NZZ15" s="476"/>
      <c r="OAA15" s="476"/>
      <c r="OAB15" s="476"/>
      <c r="OAC15" s="476"/>
      <c r="OAD15" s="476"/>
      <c r="OAE15" s="476"/>
      <c r="OAF15" s="476"/>
      <c r="OAG15" s="476"/>
      <c r="OAH15" s="476"/>
      <c r="OAI15" s="477"/>
      <c r="OAJ15" s="477"/>
      <c r="OAK15" s="463"/>
      <c r="OAL15" s="475"/>
      <c r="OAM15" s="476"/>
      <c r="OAN15" s="476"/>
      <c r="OAO15" s="476"/>
      <c r="OAP15" s="476"/>
      <c r="OAQ15" s="476"/>
      <c r="OAR15" s="476"/>
      <c r="OAS15" s="476"/>
      <c r="OAT15" s="476"/>
      <c r="OAU15" s="476"/>
      <c r="OAV15" s="476"/>
      <c r="OAW15" s="476"/>
      <c r="OAX15" s="476"/>
      <c r="OAY15" s="477"/>
      <c r="OAZ15" s="477"/>
      <c r="OBA15" s="463"/>
      <c r="OBB15" s="475"/>
      <c r="OBC15" s="476"/>
      <c r="OBD15" s="476"/>
      <c r="OBE15" s="476"/>
      <c r="OBF15" s="476"/>
      <c r="OBG15" s="476"/>
      <c r="OBH15" s="476"/>
      <c r="OBI15" s="476"/>
      <c r="OBJ15" s="476"/>
      <c r="OBK15" s="476"/>
      <c r="OBL15" s="476"/>
      <c r="OBM15" s="476"/>
      <c r="OBN15" s="476"/>
      <c r="OBO15" s="477"/>
      <c r="OBP15" s="477"/>
      <c r="OBQ15" s="463"/>
      <c r="OBR15" s="475"/>
      <c r="OBS15" s="476"/>
      <c r="OBT15" s="476"/>
      <c r="OBU15" s="476"/>
      <c r="OBV15" s="476"/>
      <c r="OBW15" s="476"/>
      <c r="OBX15" s="476"/>
      <c r="OBY15" s="476"/>
      <c r="OBZ15" s="476"/>
      <c r="OCA15" s="476"/>
      <c r="OCB15" s="476"/>
      <c r="OCC15" s="476"/>
      <c r="OCD15" s="476"/>
      <c r="OCE15" s="477"/>
      <c r="OCF15" s="477"/>
      <c r="OCG15" s="463"/>
      <c r="OCH15" s="475"/>
      <c r="OCI15" s="476"/>
      <c r="OCJ15" s="476"/>
      <c r="OCK15" s="476"/>
      <c r="OCL15" s="476"/>
      <c r="OCM15" s="476"/>
      <c r="OCN15" s="476"/>
      <c r="OCO15" s="476"/>
      <c r="OCP15" s="476"/>
      <c r="OCQ15" s="476"/>
      <c r="OCR15" s="476"/>
      <c r="OCS15" s="476"/>
      <c r="OCT15" s="476"/>
      <c r="OCU15" s="477"/>
      <c r="OCV15" s="477"/>
      <c r="OCW15" s="463"/>
      <c r="OCX15" s="475"/>
      <c r="OCY15" s="476"/>
      <c r="OCZ15" s="476"/>
      <c r="ODA15" s="476"/>
      <c r="ODB15" s="476"/>
      <c r="ODC15" s="476"/>
      <c r="ODD15" s="476"/>
      <c r="ODE15" s="476"/>
      <c r="ODF15" s="476"/>
      <c r="ODG15" s="476"/>
      <c r="ODH15" s="476"/>
      <c r="ODI15" s="476"/>
      <c r="ODJ15" s="476"/>
      <c r="ODK15" s="477"/>
      <c r="ODL15" s="477"/>
      <c r="ODM15" s="463"/>
      <c r="ODN15" s="475"/>
      <c r="ODO15" s="476"/>
      <c r="ODP15" s="476"/>
      <c r="ODQ15" s="476"/>
      <c r="ODR15" s="476"/>
      <c r="ODS15" s="476"/>
      <c r="ODT15" s="476"/>
      <c r="ODU15" s="476"/>
      <c r="ODV15" s="476"/>
      <c r="ODW15" s="476"/>
      <c r="ODX15" s="476"/>
      <c r="ODY15" s="476"/>
      <c r="ODZ15" s="476"/>
      <c r="OEA15" s="477"/>
      <c r="OEB15" s="477"/>
      <c r="OEC15" s="463"/>
      <c r="OED15" s="475"/>
      <c r="OEE15" s="476"/>
      <c r="OEF15" s="476"/>
      <c r="OEG15" s="476"/>
      <c r="OEH15" s="476"/>
      <c r="OEI15" s="476"/>
      <c r="OEJ15" s="476"/>
      <c r="OEK15" s="476"/>
      <c r="OEL15" s="476"/>
      <c r="OEM15" s="476"/>
      <c r="OEN15" s="476"/>
      <c r="OEO15" s="476"/>
      <c r="OEP15" s="476"/>
      <c r="OEQ15" s="477"/>
      <c r="OER15" s="477"/>
      <c r="OES15" s="463"/>
      <c r="OET15" s="475"/>
      <c r="OEU15" s="476"/>
      <c r="OEV15" s="476"/>
      <c r="OEW15" s="476"/>
      <c r="OEX15" s="476"/>
      <c r="OEY15" s="476"/>
      <c r="OEZ15" s="476"/>
      <c r="OFA15" s="476"/>
      <c r="OFB15" s="476"/>
      <c r="OFC15" s="476"/>
      <c r="OFD15" s="476"/>
      <c r="OFE15" s="476"/>
      <c r="OFF15" s="476"/>
      <c r="OFG15" s="477"/>
      <c r="OFH15" s="477"/>
      <c r="OFI15" s="463"/>
      <c r="OFJ15" s="475"/>
      <c r="OFK15" s="476"/>
      <c r="OFL15" s="476"/>
      <c r="OFM15" s="476"/>
      <c r="OFN15" s="476"/>
      <c r="OFO15" s="476"/>
      <c r="OFP15" s="476"/>
      <c r="OFQ15" s="476"/>
      <c r="OFR15" s="476"/>
      <c r="OFS15" s="476"/>
      <c r="OFT15" s="476"/>
      <c r="OFU15" s="476"/>
      <c r="OFV15" s="476"/>
      <c r="OFW15" s="477"/>
      <c r="OFX15" s="477"/>
      <c r="OFY15" s="463"/>
      <c r="OFZ15" s="475"/>
      <c r="OGA15" s="476"/>
      <c r="OGB15" s="476"/>
      <c r="OGC15" s="476"/>
      <c r="OGD15" s="476"/>
      <c r="OGE15" s="476"/>
      <c r="OGF15" s="476"/>
      <c r="OGG15" s="476"/>
      <c r="OGH15" s="476"/>
      <c r="OGI15" s="476"/>
      <c r="OGJ15" s="476"/>
      <c r="OGK15" s="476"/>
      <c r="OGL15" s="476"/>
      <c r="OGM15" s="477"/>
      <c r="OGN15" s="477"/>
      <c r="OGO15" s="463"/>
      <c r="OGP15" s="475"/>
      <c r="OGQ15" s="476"/>
      <c r="OGR15" s="476"/>
      <c r="OGS15" s="476"/>
      <c r="OGT15" s="476"/>
      <c r="OGU15" s="476"/>
      <c r="OGV15" s="476"/>
      <c r="OGW15" s="476"/>
      <c r="OGX15" s="476"/>
      <c r="OGY15" s="476"/>
      <c r="OGZ15" s="476"/>
      <c r="OHA15" s="476"/>
      <c r="OHB15" s="476"/>
      <c r="OHC15" s="477"/>
      <c r="OHD15" s="477"/>
      <c r="OHE15" s="463"/>
      <c r="OHF15" s="475"/>
      <c r="OHG15" s="476"/>
      <c r="OHH15" s="476"/>
      <c r="OHI15" s="476"/>
      <c r="OHJ15" s="476"/>
      <c r="OHK15" s="476"/>
      <c r="OHL15" s="476"/>
      <c r="OHM15" s="476"/>
      <c r="OHN15" s="476"/>
      <c r="OHO15" s="476"/>
      <c r="OHP15" s="476"/>
      <c r="OHQ15" s="476"/>
      <c r="OHR15" s="476"/>
      <c r="OHS15" s="477"/>
      <c r="OHT15" s="477"/>
      <c r="OHU15" s="463"/>
      <c r="OHV15" s="475"/>
      <c r="OHW15" s="476"/>
      <c r="OHX15" s="476"/>
      <c r="OHY15" s="476"/>
      <c r="OHZ15" s="476"/>
      <c r="OIA15" s="476"/>
      <c r="OIB15" s="476"/>
      <c r="OIC15" s="476"/>
      <c r="OID15" s="476"/>
      <c r="OIE15" s="476"/>
      <c r="OIF15" s="476"/>
      <c r="OIG15" s="476"/>
      <c r="OIH15" s="476"/>
      <c r="OII15" s="477"/>
      <c r="OIJ15" s="477"/>
      <c r="OIK15" s="463"/>
      <c r="OIL15" s="475"/>
      <c r="OIM15" s="476"/>
      <c r="OIN15" s="476"/>
      <c r="OIO15" s="476"/>
      <c r="OIP15" s="476"/>
      <c r="OIQ15" s="476"/>
      <c r="OIR15" s="476"/>
      <c r="OIS15" s="476"/>
      <c r="OIT15" s="476"/>
      <c r="OIU15" s="476"/>
      <c r="OIV15" s="476"/>
      <c r="OIW15" s="476"/>
      <c r="OIX15" s="476"/>
      <c r="OIY15" s="477"/>
      <c r="OIZ15" s="477"/>
      <c r="OJA15" s="463"/>
      <c r="OJB15" s="475"/>
      <c r="OJC15" s="476"/>
      <c r="OJD15" s="476"/>
      <c r="OJE15" s="476"/>
      <c r="OJF15" s="476"/>
      <c r="OJG15" s="476"/>
      <c r="OJH15" s="476"/>
      <c r="OJI15" s="476"/>
      <c r="OJJ15" s="476"/>
      <c r="OJK15" s="476"/>
      <c r="OJL15" s="476"/>
      <c r="OJM15" s="476"/>
      <c r="OJN15" s="476"/>
      <c r="OJO15" s="477"/>
      <c r="OJP15" s="477"/>
      <c r="OJQ15" s="463"/>
      <c r="OJR15" s="475"/>
      <c r="OJS15" s="476"/>
      <c r="OJT15" s="476"/>
      <c r="OJU15" s="476"/>
      <c r="OJV15" s="476"/>
      <c r="OJW15" s="476"/>
      <c r="OJX15" s="476"/>
      <c r="OJY15" s="476"/>
      <c r="OJZ15" s="476"/>
      <c r="OKA15" s="476"/>
      <c r="OKB15" s="476"/>
      <c r="OKC15" s="476"/>
      <c r="OKD15" s="476"/>
      <c r="OKE15" s="477"/>
      <c r="OKF15" s="477"/>
      <c r="OKG15" s="463"/>
      <c r="OKH15" s="475"/>
      <c r="OKI15" s="476"/>
      <c r="OKJ15" s="476"/>
      <c r="OKK15" s="476"/>
      <c r="OKL15" s="476"/>
      <c r="OKM15" s="476"/>
      <c r="OKN15" s="476"/>
      <c r="OKO15" s="476"/>
      <c r="OKP15" s="476"/>
      <c r="OKQ15" s="476"/>
      <c r="OKR15" s="476"/>
      <c r="OKS15" s="476"/>
      <c r="OKT15" s="476"/>
      <c r="OKU15" s="477"/>
      <c r="OKV15" s="477"/>
      <c r="OKW15" s="463"/>
      <c r="OKX15" s="475"/>
      <c r="OKY15" s="476"/>
      <c r="OKZ15" s="476"/>
      <c r="OLA15" s="476"/>
      <c r="OLB15" s="476"/>
      <c r="OLC15" s="476"/>
      <c r="OLD15" s="476"/>
      <c r="OLE15" s="476"/>
      <c r="OLF15" s="476"/>
      <c r="OLG15" s="476"/>
      <c r="OLH15" s="476"/>
      <c r="OLI15" s="476"/>
      <c r="OLJ15" s="476"/>
      <c r="OLK15" s="477"/>
      <c r="OLL15" s="477"/>
      <c r="OLM15" s="463"/>
      <c r="OLN15" s="475"/>
      <c r="OLO15" s="476"/>
      <c r="OLP15" s="476"/>
      <c r="OLQ15" s="476"/>
      <c r="OLR15" s="476"/>
      <c r="OLS15" s="476"/>
      <c r="OLT15" s="476"/>
      <c r="OLU15" s="476"/>
      <c r="OLV15" s="476"/>
      <c r="OLW15" s="476"/>
      <c r="OLX15" s="476"/>
      <c r="OLY15" s="476"/>
      <c r="OLZ15" s="476"/>
      <c r="OMA15" s="477"/>
      <c r="OMB15" s="477"/>
      <c r="OMC15" s="463"/>
      <c r="OMD15" s="475"/>
      <c r="OME15" s="476"/>
      <c r="OMF15" s="476"/>
      <c r="OMG15" s="476"/>
      <c r="OMH15" s="476"/>
      <c r="OMI15" s="476"/>
      <c r="OMJ15" s="476"/>
      <c r="OMK15" s="476"/>
      <c r="OML15" s="476"/>
      <c r="OMM15" s="476"/>
      <c r="OMN15" s="476"/>
      <c r="OMO15" s="476"/>
      <c r="OMP15" s="476"/>
      <c r="OMQ15" s="477"/>
      <c r="OMR15" s="477"/>
      <c r="OMS15" s="463"/>
      <c r="OMT15" s="475"/>
      <c r="OMU15" s="476"/>
      <c r="OMV15" s="476"/>
      <c r="OMW15" s="476"/>
      <c r="OMX15" s="476"/>
      <c r="OMY15" s="476"/>
      <c r="OMZ15" s="476"/>
      <c r="ONA15" s="476"/>
      <c r="ONB15" s="476"/>
      <c r="ONC15" s="476"/>
      <c r="OND15" s="476"/>
      <c r="ONE15" s="476"/>
      <c r="ONF15" s="476"/>
      <c r="ONG15" s="477"/>
      <c r="ONH15" s="477"/>
      <c r="ONI15" s="463"/>
      <c r="ONJ15" s="475"/>
      <c r="ONK15" s="476"/>
      <c r="ONL15" s="476"/>
      <c r="ONM15" s="476"/>
      <c r="ONN15" s="476"/>
      <c r="ONO15" s="476"/>
      <c r="ONP15" s="476"/>
      <c r="ONQ15" s="476"/>
      <c r="ONR15" s="476"/>
      <c r="ONS15" s="476"/>
      <c r="ONT15" s="476"/>
      <c r="ONU15" s="476"/>
      <c r="ONV15" s="476"/>
      <c r="ONW15" s="477"/>
      <c r="ONX15" s="477"/>
      <c r="ONY15" s="463"/>
      <c r="ONZ15" s="475"/>
      <c r="OOA15" s="476"/>
      <c r="OOB15" s="476"/>
      <c r="OOC15" s="476"/>
      <c r="OOD15" s="476"/>
      <c r="OOE15" s="476"/>
      <c r="OOF15" s="476"/>
      <c r="OOG15" s="476"/>
      <c r="OOH15" s="476"/>
      <c r="OOI15" s="476"/>
      <c r="OOJ15" s="476"/>
      <c r="OOK15" s="476"/>
      <c r="OOL15" s="476"/>
      <c r="OOM15" s="477"/>
      <c r="OON15" s="477"/>
      <c r="OOO15" s="463"/>
      <c r="OOP15" s="475"/>
      <c r="OOQ15" s="476"/>
      <c r="OOR15" s="476"/>
      <c r="OOS15" s="476"/>
      <c r="OOT15" s="476"/>
      <c r="OOU15" s="476"/>
      <c r="OOV15" s="476"/>
      <c r="OOW15" s="476"/>
      <c r="OOX15" s="476"/>
      <c r="OOY15" s="476"/>
      <c r="OOZ15" s="476"/>
      <c r="OPA15" s="476"/>
      <c r="OPB15" s="476"/>
      <c r="OPC15" s="477"/>
      <c r="OPD15" s="477"/>
      <c r="OPE15" s="463"/>
      <c r="OPF15" s="475"/>
      <c r="OPG15" s="476"/>
      <c r="OPH15" s="476"/>
      <c r="OPI15" s="476"/>
      <c r="OPJ15" s="476"/>
      <c r="OPK15" s="476"/>
      <c r="OPL15" s="476"/>
      <c r="OPM15" s="476"/>
      <c r="OPN15" s="476"/>
      <c r="OPO15" s="476"/>
      <c r="OPP15" s="476"/>
      <c r="OPQ15" s="476"/>
      <c r="OPR15" s="476"/>
      <c r="OPS15" s="477"/>
      <c r="OPT15" s="477"/>
      <c r="OPU15" s="463"/>
      <c r="OPV15" s="475"/>
      <c r="OPW15" s="476"/>
      <c r="OPX15" s="476"/>
      <c r="OPY15" s="476"/>
      <c r="OPZ15" s="476"/>
      <c r="OQA15" s="476"/>
      <c r="OQB15" s="476"/>
      <c r="OQC15" s="476"/>
      <c r="OQD15" s="476"/>
      <c r="OQE15" s="476"/>
      <c r="OQF15" s="476"/>
      <c r="OQG15" s="476"/>
      <c r="OQH15" s="476"/>
      <c r="OQI15" s="477"/>
      <c r="OQJ15" s="477"/>
      <c r="OQK15" s="463"/>
      <c r="OQL15" s="475"/>
      <c r="OQM15" s="476"/>
      <c r="OQN15" s="476"/>
      <c r="OQO15" s="476"/>
      <c r="OQP15" s="476"/>
      <c r="OQQ15" s="476"/>
      <c r="OQR15" s="476"/>
      <c r="OQS15" s="476"/>
      <c r="OQT15" s="476"/>
      <c r="OQU15" s="476"/>
      <c r="OQV15" s="476"/>
      <c r="OQW15" s="476"/>
      <c r="OQX15" s="476"/>
      <c r="OQY15" s="477"/>
      <c r="OQZ15" s="477"/>
      <c r="ORA15" s="463"/>
      <c r="ORB15" s="475"/>
      <c r="ORC15" s="476"/>
      <c r="ORD15" s="476"/>
      <c r="ORE15" s="476"/>
      <c r="ORF15" s="476"/>
      <c r="ORG15" s="476"/>
      <c r="ORH15" s="476"/>
      <c r="ORI15" s="476"/>
      <c r="ORJ15" s="476"/>
      <c r="ORK15" s="476"/>
      <c r="ORL15" s="476"/>
      <c r="ORM15" s="476"/>
      <c r="ORN15" s="476"/>
      <c r="ORO15" s="477"/>
      <c r="ORP15" s="477"/>
      <c r="ORQ15" s="463"/>
      <c r="ORR15" s="475"/>
      <c r="ORS15" s="476"/>
      <c r="ORT15" s="476"/>
      <c r="ORU15" s="476"/>
      <c r="ORV15" s="476"/>
      <c r="ORW15" s="476"/>
      <c r="ORX15" s="476"/>
      <c r="ORY15" s="476"/>
      <c r="ORZ15" s="476"/>
      <c r="OSA15" s="476"/>
      <c r="OSB15" s="476"/>
      <c r="OSC15" s="476"/>
      <c r="OSD15" s="476"/>
      <c r="OSE15" s="477"/>
      <c r="OSF15" s="477"/>
      <c r="OSG15" s="463"/>
      <c r="OSH15" s="475"/>
      <c r="OSI15" s="476"/>
      <c r="OSJ15" s="476"/>
      <c r="OSK15" s="476"/>
      <c r="OSL15" s="476"/>
      <c r="OSM15" s="476"/>
      <c r="OSN15" s="476"/>
      <c r="OSO15" s="476"/>
      <c r="OSP15" s="476"/>
      <c r="OSQ15" s="476"/>
      <c r="OSR15" s="476"/>
      <c r="OSS15" s="476"/>
      <c r="OST15" s="476"/>
      <c r="OSU15" s="477"/>
      <c r="OSV15" s="477"/>
      <c r="OSW15" s="463"/>
      <c r="OSX15" s="475"/>
      <c r="OSY15" s="476"/>
      <c r="OSZ15" s="476"/>
      <c r="OTA15" s="476"/>
      <c r="OTB15" s="476"/>
      <c r="OTC15" s="476"/>
      <c r="OTD15" s="476"/>
      <c r="OTE15" s="476"/>
      <c r="OTF15" s="476"/>
      <c r="OTG15" s="476"/>
      <c r="OTH15" s="476"/>
      <c r="OTI15" s="476"/>
      <c r="OTJ15" s="476"/>
      <c r="OTK15" s="477"/>
      <c r="OTL15" s="477"/>
      <c r="OTM15" s="463"/>
      <c r="OTN15" s="475"/>
      <c r="OTO15" s="476"/>
      <c r="OTP15" s="476"/>
      <c r="OTQ15" s="476"/>
      <c r="OTR15" s="476"/>
      <c r="OTS15" s="476"/>
      <c r="OTT15" s="476"/>
      <c r="OTU15" s="476"/>
      <c r="OTV15" s="476"/>
      <c r="OTW15" s="476"/>
      <c r="OTX15" s="476"/>
      <c r="OTY15" s="476"/>
      <c r="OTZ15" s="476"/>
      <c r="OUA15" s="477"/>
      <c r="OUB15" s="477"/>
      <c r="OUC15" s="463"/>
      <c r="OUD15" s="475"/>
      <c r="OUE15" s="476"/>
      <c r="OUF15" s="476"/>
      <c r="OUG15" s="476"/>
      <c r="OUH15" s="476"/>
      <c r="OUI15" s="476"/>
      <c r="OUJ15" s="476"/>
      <c r="OUK15" s="476"/>
      <c r="OUL15" s="476"/>
      <c r="OUM15" s="476"/>
      <c r="OUN15" s="476"/>
      <c r="OUO15" s="476"/>
      <c r="OUP15" s="476"/>
      <c r="OUQ15" s="477"/>
      <c r="OUR15" s="477"/>
      <c r="OUS15" s="463"/>
      <c r="OUT15" s="475"/>
      <c r="OUU15" s="476"/>
      <c r="OUV15" s="476"/>
      <c r="OUW15" s="476"/>
      <c r="OUX15" s="476"/>
      <c r="OUY15" s="476"/>
      <c r="OUZ15" s="476"/>
      <c r="OVA15" s="476"/>
      <c r="OVB15" s="476"/>
      <c r="OVC15" s="476"/>
      <c r="OVD15" s="476"/>
      <c r="OVE15" s="476"/>
      <c r="OVF15" s="476"/>
      <c r="OVG15" s="477"/>
      <c r="OVH15" s="477"/>
      <c r="OVI15" s="463"/>
      <c r="OVJ15" s="475"/>
      <c r="OVK15" s="476"/>
      <c r="OVL15" s="476"/>
      <c r="OVM15" s="476"/>
      <c r="OVN15" s="476"/>
      <c r="OVO15" s="476"/>
      <c r="OVP15" s="476"/>
      <c r="OVQ15" s="476"/>
      <c r="OVR15" s="476"/>
      <c r="OVS15" s="476"/>
      <c r="OVT15" s="476"/>
      <c r="OVU15" s="476"/>
      <c r="OVV15" s="476"/>
      <c r="OVW15" s="477"/>
      <c r="OVX15" s="477"/>
      <c r="OVY15" s="463"/>
      <c r="OVZ15" s="475"/>
      <c r="OWA15" s="476"/>
      <c r="OWB15" s="476"/>
      <c r="OWC15" s="476"/>
      <c r="OWD15" s="476"/>
      <c r="OWE15" s="476"/>
      <c r="OWF15" s="476"/>
      <c r="OWG15" s="476"/>
      <c r="OWH15" s="476"/>
      <c r="OWI15" s="476"/>
      <c r="OWJ15" s="476"/>
      <c r="OWK15" s="476"/>
      <c r="OWL15" s="476"/>
      <c r="OWM15" s="477"/>
      <c r="OWN15" s="477"/>
      <c r="OWO15" s="463"/>
      <c r="OWP15" s="475"/>
      <c r="OWQ15" s="476"/>
      <c r="OWR15" s="476"/>
      <c r="OWS15" s="476"/>
      <c r="OWT15" s="476"/>
      <c r="OWU15" s="476"/>
      <c r="OWV15" s="476"/>
      <c r="OWW15" s="476"/>
      <c r="OWX15" s="476"/>
      <c r="OWY15" s="476"/>
      <c r="OWZ15" s="476"/>
      <c r="OXA15" s="476"/>
      <c r="OXB15" s="476"/>
      <c r="OXC15" s="477"/>
      <c r="OXD15" s="477"/>
      <c r="OXE15" s="463"/>
      <c r="OXF15" s="475"/>
      <c r="OXG15" s="476"/>
      <c r="OXH15" s="476"/>
      <c r="OXI15" s="476"/>
      <c r="OXJ15" s="476"/>
      <c r="OXK15" s="476"/>
      <c r="OXL15" s="476"/>
      <c r="OXM15" s="476"/>
      <c r="OXN15" s="476"/>
      <c r="OXO15" s="476"/>
      <c r="OXP15" s="476"/>
      <c r="OXQ15" s="476"/>
      <c r="OXR15" s="476"/>
      <c r="OXS15" s="477"/>
      <c r="OXT15" s="477"/>
      <c r="OXU15" s="463"/>
      <c r="OXV15" s="475"/>
      <c r="OXW15" s="476"/>
      <c r="OXX15" s="476"/>
      <c r="OXY15" s="476"/>
      <c r="OXZ15" s="476"/>
      <c r="OYA15" s="476"/>
      <c r="OYB15" s="476"/>
      <c r="OYC15" s="476"/>
      <c r="OYD15" s="476"/>
      <c r="OYE15" s="476"/>
      <c r="OYF15" s="476"/>
      <c r="OYG15" s="476"/>
      <c r="OYH15" s="476"/>
      <c r="OYI15" s="477"/>
      <c r="OYJ15" s="477"/>
      <c r="OYK15" s="463"/>
      <c r="OYL15" s="475"/>
      <c r="OYM15" s="476"/>
      <c r="OYN15" s="476"/>
      <c r="OYO15" s="476"/>
      <c r="OYP15" s="476"/>
      <c r="OYQ15" s="476"/>
      <c r="OYR15" s="476"/>
      <c r="OYS15" s="476"/>
      <c r="OYT15" s="476"/>
      <c r="OYU15" s="476"/>
      <c r="OYV15" s="476"/>
      <c r="OYW15" s="476"/>
      <c r="OYX15" s="476"/>
      <c r="OYY15" s="477"/>
      <c r="OYZ15" s="477"/>
      <c r="OZA15" s="463"/>
      <c r="OZB15" s="475"/>
      <c r="OZC15" s="476"/>
      <c r="OZD15" s="476"/>
      <c r="OZE15" s="476"/>
      <c r="OZF15" s="476"/>
      <c r="OZG15" s="476"/>
      <c r="OZH15" s="476"/>
      <c r="OZI15" s="476"/>
      <c r="OZJ15" s="476"/>
      <c r="OZK15" s="476"/>
      <c r="OZL15" s="476"/>
      <c r="OZM15" s="476"/>
      <c r="OZN15" s="476"/>
      <c r="OZO15" s="477"/>
      <c r="OZP15" s="477"/>
      <c r="OZQ15" s="463"/>
      <c r="OZR15" s="475"/>
      <c r="OZS15" s="476"/>
      <c r="OZT15" s="476"/>
      <c r="OZU15" s="476"/>
      <c r="OZV15" s="476"/>
      <c r="OZW15" s="476"/>
      <c r="OZX15" s="476"/>
      <c r="OZY15" s="476"/>
      <c r="OZZ15" s="476"/>
      <c r="PAA15" s="476"/>
      <c r="PAB15" s="476"/>
      <c r="PAC15" s="476"/>
      <c r="PAD15" s="476"/>
      <c r="PAE15" s="477"/>
      <c r="PAF15" s="477"/>
      <c r="PAG15" s="463"/>
      <c r="PAH15" s="475"/>
      <c r="PAI15" s="476"/>
      <c r="PAJ15" s="476"/>
      <c r="PAK15" s="476"/>
      <c r="PAL15" s="476"/>
      <c r="PAM15" s="476"/>
      <c r="PAN15" s="476"/>
      <c r="PAO15" s="476"/>
      <c r="PAP15" s="476"/>
      <c r="PAQ15" s="476"/>
      <c r="PAR15" s="476"/>
      <c r="PAS15" s="476"/>
      <c r="PAT15" s="476"/>
      <c r="PAU15" s="477"/>
      <c r="PAV15" s="477"/>
      <c r="PAW15" s="463"/>
      <c r="PAX15" s="475"/>
      <c r="PAY15" s="476"/>
      <c r="PAZ15" s="476"/>
      <c r="PBA15" s="476"/>
      <c r="PBB15" s="476"/>
      <c r="PBC15" s="476"/>
      <c r="PBD15" s="476"/>
      <c r="PBE15" s="476"/>
      <c r="PBF15" s="476"/>
      <c r="PBG15" s="476"/>
      <c r="PBH15" s="476"/>
      <c r="PBI15" s="476"/>
      <c r="PBJ15" s="476"/>
      <c r="PBK15" s="477"/>
      <c r="PBL15" s="477"/>
      <c r="PBM15" s="463"/>
      <c r="PBN15" s="475"/>
      <c r="PBO15" s="476"/>
      <c r="PBP15" s="476"/>
      <c r="PBQ15" s="476"/>
      <c r="PBR15" s="476"/>
      <c r="PBS15" s="476"/>
      <c r="PBT15" s="476"/>
      <c r="PBU15" s="476"/>
      <c r="PBV15" s="476"/>
      <c r="PBW15" s="476"/>
      <c r="PBX15" s="476"/>
      <c r="PBY15" s="476"/>
      <c r="PBZ15" s="476"/>
      <c r="PCA15" s="477"/>
      <c r="PCB15" s="477"/>
      <c r="PCC15" s="463"/>
      <c r="PCD15" s="475"/>
      <c r="PCE15" s="476"/>
      <c r="PCF15" s="476"/>
      <c r="PCG15" s="476"/>
      <c r="PCH15" s="476"/>
      <c r="PCI15" s="476"/>
      <c r="PCJ15" s="476"/>
      <c r="PCK15" s="476"/>
      <c r="PCL15" s="476"/>
      <c r="PCM15" s="476"/>
      <c r="PCN15" s="476"/>
      <c r="PCO15" s="476"/>
      <c r="PCP15" s="476"/>
      <c r="PCQ15" s="477"/>
      <c r="PCR15" s="477"/>
      <c r="PCS15" s="463"/>
      <c r="PCT15" s="475"/>
      <c r="PCU15" s="476"/>
      <c r="PCV15" s="476"/>
      <c r="PCW15" s="476"/>
      <c r="PCX15" s="476"/>
      <c r="PCY15" s="476"/>
      <c r="PCZ15" s="476"/>
      <c r="PDA15" s="476"/>
      <c r="PDB15" s="476"/>
      <c r="PDC15" s="476"/>
      <c r="PDD15" s="476"/>
      <c r="PDE15" s="476"/>
      <c r="PDF15" s="476"/>
      <c r="PDG15" s="477"/>
      <c r="PDH15" s="477"/>
      <c r="PDI15" s="463"/>
      <c r="PDJ15" s="475"/>
      <c r="PDK15" s="476"/>
      <c r="PDL15" s="476"/>
      <c r="PDM15" s="476"/>
      <c r="PDN15" s="476"/>
      <c r="PDO15" s="476"/>
      <c r="PDP15" s="476"/>
      <c r="PDQ15" s="476"/>
      <c r="PDR15" s="476"/>
      <c r="PDS15" s="476"/>
      <c r="PDT15" s="476"/>
      <c r="PDU15" s="476"/>
      <c r="PDV15" s="476"/>
      <c r="PDW15" s="477"/>
      <c r="PDX15" s="477"/>
      <c r="PDY15" s="463"/>
      <c r="PDZ15" s="475"/>
      <c r="PEA15" s="476"/>
      <c r="PEB15" s="476"/>
      <c r="PEC15" s="476"/>
      <c r="PED15" s="476"/>
      <c r="PEE15" s="476"/>
      <c r="PEF15" s="476"/>
      <c r="PEG15" s="476"/>
      <c r="PEH15" s="476"/>
      <c r="PEI15" s="476"/>
      <c r="PEJ15" s="476"/>
      <c r="PEK15" s="476"/>
      <c r="PEL15" s="476"/>
      <c r="PEM15" s="477"/>
      <c r="PEN15" s="477"/>
      <c r="PEO15" s="463"/>
      <c r="PEP15" s="475"/>
      <c r="PEQ15" s="476"/>
      <c r="PER15" s="476"/>
      <c r="PES15" s="476"/>
      <c r="PET15" s="476"/>
      <c r="PEU15" s="476"/>
      <c r="PEV15" s="476"/>
      <c r="PEW15" s="476"/>
      <c r="PEX15" s="476"/>
      <c r="PEY15" s="476"/>
      <c r="PEZ15" s="476"/>
      <c r="PFA15" s="476"/>
      <c r="PFB15" s="476"/>
      <c r="PFC15" s="477"/>
      <c r="PFD15" s="477"/>
      <c r="PFE15" s="463"/>
      <c r="PFF15" s="475"/>
      <c r="PFG15" s="476"/>
      <c r="PFH15" s="476"/>
      <c r="PFI15" s="476"/>
      <c r="PFJ15" s="476"/>
      <c r="PFK15" s="476"/>
      <c r="PFL15" s="476"/>
      <c r="PFM15" s="476"/>
      <c r="PFN15" s="476"/>
      <c r="PFO15" s="476"/>
      <c r="PFP15" s="476"/>
      <c r="PFQ15" s="476"/>
      <c r="PFR15" s="476"/>
      <c r="PFS15" s="477"/>
      <c r="PFT15" s="477"/>
      <c r="PFU15" s="463"/>
      <c r="PFV15" s="475"/>
      <c r="PFW15" s="476"/>
      <c r="PFX15" s="476"/>
      <c r="PFY15" s="476"/>
      <c r="PFZ15" s="476"/>
      <c r="PGA15" s="476"/>
      <c r="PGB15" s="476"/>
      <c r="PGC15" s="476"/>
      <c r="PGD15" s="476"/>
      <c r="PGE15" s="476"/>
      <c r="PGF15" s="476"/>
      <c r="PGG15" s="476"/>
      <c r="PGH15" s="476"/>
      <c r="PGI15" s="477"/>
      <c r="PGJ15" s="477"/>
      <c r="PGK15" s="463"/>
      <c r="PGL15" s="475"/>
      <c r="PGM15" s="476"/>
      <c r="PGN15" s="476"/>
      <c r="PGO15" s="476"/>
      <c r="PGP15" s="476"/>
      <c r="PGQ15" s="476"/>
      <c r="PGR15" s="476"/>
      <c r="PGS15" s="476"/>
      <c r="PGT15" s="476"/>
      <c r="PGU15" s="476"/>
      <c r="PGV15" s="476"/>
      <c r="PGW15" s="476"/>
      <c r="PGX15" s="476"/>
      <c r="PGY15" s="477"/>
      <c r="PGZ15" s="477"/>
      <c r="PHA15" s="463"/>
      <c r="PHB15" s="475"/>
      <c r="PHC15" s="476"/>
      <c r="PHD15" s="476"/>
      <c r="PHE15" s="476"/>
      <c r="PHF15" s="476"/>
      <c r="PHG15" s="476"/>
      <c r="PHH15" s="476"/>
      <c r="PHI15" s="476"/>
      <c r="PHJ15" s="476"/>
      <c r="PHK15" s="476"/>
      <c r="PHL15" s="476"/>
      <c r="PHM15" s="476"/>
      <c r="PHN15" s="476"/>
      <c r="PHO15" s="477"/>
      <c r="PHP15" s="477"/>
      <c r="PHQ15" s="463"/>
      <c r="PHR15" s="475"/>
      <c r="PHS15" s="476"/>
      <c r="PHT15" s="476"/>
      <c r="PHU15" s="476"/>
      <c r="PHV15" s="476"/>
      <c r="PHW15" s="476"/>
      <c r="PHX15" s="476"/>
      <c r="PHY15" s="476"/>
      <c r="PHZ15" s="476"/>
      <c r="PIA15" s="476"/>
      <c r="PIB15" s="476"/>
      <c r="PIC15" s="476"/>
      <c r="PID15" s="476"/>
      <c r="PIE15" s="477"/>
      <c r="PIF15" s="477"/>
      <c r="PIG15" s="463"/>
      <c r="PIH15" s="475"/>
      <c r="PII15" s="476"/>
      <c r="PIJ15" s="476"/>
      <c r="PIK15" s="476"/>
      <c r="PIL15" s="476"/>
      <c r="PIM15" s="476"/>
      <c r="PIN15" s="476"/>
      <c r="PIO15" s="476"/>
      <c r="PIP15" s="476"/>
      <c r="PIQ15" s="476"/>
      <c r="PIR15" s="476"/>
      <c r="PIS15" s="476"/>
      <c r="PIT15" s="476"/>
      <c r="PIU15" s="477"/>
      <c r="PIV15" s="477"/>
      <c r="PIW15" s="463"/>
      <c r="PIX15" s="475"/>
      <c r="PIY15" s="476"/>
      <c r="PIZ15" s="476"/>
      <c r="PJA15" s="476"/>
      <c r="PJB15" s="476"/>
      <c r="PJC15" s="476"/>
      <c r="PJD15" s="476"/>
      <c r="PJE15" s="476"/>
      <c r="PJF15" s="476"/>
      <c r="PJG15" s="476"/>
      <c r="PJH15" s="476"/>
      <c r="PJI15" s="476"/>
      <c r="PJJ15" s="476"/>
      <c r="PJK15" s="477"/>
      <c r="PJL15" s="477"/>
      <c r="PJM15" s="463"/>
      <c r="PJN15" s="475"/>
      <c r="PJO15" s="476"/>
      <c r="PJP15" s="476"/>
      <c r="PJQ15" s="476"/>
      <c r="PJR15" s="476"/>
      <c r="PJS15" s="476"/>
      <c r="PJT15" s="476"/>
      <c r="PJU15" s="476"/>
      <c r="PJV15" s="476"/>
      <c r="PJW15" s="476"/>
      <c r="PJX15" s="476"/>
      <c r="PJY15" s="476"/>
      <c r="PJZ15" s="476"/>
      <c r="PKA15" s="477"/>
      <c r="PKB15" s="477"/>
      <c r="PKC15" s="463"/>
      <c r="PKD15" s="475"/>
      <c r="PKE15" s="476"/>
      <c r="PKF15" s="476"/>
      <c r="PKG15" s="476"/>
      <c r="PKH15" s="476"/>
      <c r="PKI15" s="476"/>
      <c r="PKJ15" s="476"/>
      <c r="PKK15" s="476"/>
      <c r="PKL15" s="476"/>
      <c r="PKM15" s="476"/>
      <c r="PKN15" s="476"/>
      <c r="PKO15" s="476"/>
      <c r="PKP15" s="476"/>
      <c r="PKQ15" s="477"/>
      <c r="PKR15" s="477"/>
      <c r="PKS15" s="463"/>
      <c r="PKT15" s="475"/>
      <c r="PKU15" s="476"/>
      <c r="PKV15" s="476"/>
      <c r="PKW15" s="476"/>
      <c r="PKX15" s="476"/>
      <c r="PKY15" s="476"/>
      <c r="PKZ15" s="476"/>
      <c r="PLA15" s="476"/>
      <c r="PLB15" s="476"/>
      <c r="PLC15" s="476"/>
      <c r="PLD15" s="476"/>
      <c r="PLE15" s="476"/>
      <c r="PLF15" s="476"/>
      <c r="PLG15" s="477"/>
      <c r="PLH15" s="477"/>
      <c r="PLI15" s="463"/>
      <c r="PLJ15" s="475"/>
      <c r="PLK15" s="476"/>
      <c r="PLL15" s="476"/>
      <c r="PLM15" s="476"/>
      <c r="PLN15" s="476"/>
      <c r="PLO15" s="476"/>
      <c r="PLP15" s="476"/>
      <c r="PLQ15" s="476"/>
      <c r="PLR15" s="476"/>
      <c r="PLS15" s="476"/>
      <c r="PLT15" s="476"/>
      <c r="PLU15" s="476"/>
      <c r="PLV15" s="476"/>
      <c r="PLW15" s="477"/>
      <c r="PLX15" s="477"/>
      <c r="PLY15" s="463"/>
      <c r="PLZ15" s="475"/>
      <c r="PMA15" s="476"/>
      <c r="PMB15" s="476"/>
      <c r="PMC15" s="476"/>
      <c r="PMD15" s="476"/>
      <c r="PME15" s="476"/>
      <c r="PMF15" s="476"/>
      <c r="PMG15" s="476"/>
      <c r="PMH15" s="476"/>
      <c r="PMI15" s="476"/>
      <c r="PMJ15" s="476"/>
      <c r="PMK15" s="476"/>
      <c r="PML15" s="476"/>
      <c r="PMM15" s="477"/>
      <c r="PMN15" s="477"/>
      <c r="PMO15" s="463"/>
      <c r="PMP15" s="475"/>
      <c r="PMQ15" s="476"/>
      <c r="PMR15" s="476"/>
      <c r="PMS15" s="476"/>
      <c r="PMT15" s="476"/>
      <c r="PMU15" s="476"/>
      <c r="PMV15" s="476"/>
      <c r="PMW15" s="476"/>
      <c r="PMX15" s="476"/>
      <c r="PMY15" s="476"/>
      <c r="PMZ15" s="476"/>
      <c r="PNA15" s="476"/>
      <c r="PNB15" s="476"/>
      <c r="PNC15" s="477"/>
      <c r="PND15" s="477"/>
      <c r="PNE15" s="463"/>
      <c r="PNF15" s="475"/>
      <c r="PNG15" s="476"/>
      <c r="PNH15" s="476"/>
      <c r="PNI15" s="476"/>
      <c r="PNJ15" s="476"/>
      <c r="PNK15" s="476"/>
      <c r="PNL15" s="476"/>
      <c r="PNM15" s="476"/>
      <c r="PNN15" s="476"/>
      <c r="PNO15" s="476"/>
      <c r="PNP15" s="476"/>
      <c r="PNQ15" s="476"/>
      <c r="PNR15" s="476"/>
      <c r="PNS15" s="477"/>
      <c r="PNT15" s="477"/>
      <c r="PNU15" s="463"/>
      <c r="PNV15" s="475"/>
      <c r="PNW15" s="476"/>
      <c r="PNX15" s="476"/>
      <c r="PNY15" s="476"/>
      <c r="PNZ15" s="476"/>
      <c r="POA15" s="476"/>
      <c r="POB15" s="476"/>
      <c r="POC15" s="476"/>
      <c r="POD15" s="476"/>
      <c r="POE15" s="476"/>
      <c r="POF15" s="476"/>
      <c r="POG15" s="476"/>
      <c r="POH15" s="476"/>
      <c r="POI15" s="477"/>
      <c r="POJ15" s="477"/>
      <c r="POK15" s="463"/>
      <c r="POL15" s="475"/>
      <c r="POM15" s="476"/>
      <c r="PON15" s="476"/>
      <c r="POO15" s="476"/>
      <c r="POP15" s="476"/>
      <c r="POQ15" s="476"/>
      <c r="POR15" s="476"/>
      <c r="POS15" s="476"/>
      <c r="POT15" s="476"/>
      <c r="POU15" s="476"/>
      <c r="POV15" s="476"/>
      <c r="POW15" s="476"/>
      <c r="POX15" s="476"/>
      <c r="POY15" s="477"/>
      <c r="POZ15" s="477"/>
      <c r="PPA15" s="463"/>
      <c r="PPB15" s="475"/>
      <c r="PPC15" s="476"/>
      <c r="PPD15" s="476"/>
      <c r="PPE15" s="476"/>
      <c r="PPF15" s="476"/>
      <c r="PPG15" s="476"/>
      <c r="PPH15" s="476"/>
      <c r="PPI15" s="476"/>
      <c r="PPJ15" s="476"/>
      <c r="PPK15" s="476"/>
      <c r="PPL15" s="476"/>
      <c r="PPM15" s="476"/>
      <c r="PPN15" s="476"/>
      <c r="PPO15" s="477"/>
      <c r="PPP15" s="477"/>
      <c r="PPQ15" s="463"/>
      <c r="PPR15" s="475"/>
      <c r="PPS15" s="476"/>
      <c r="PPT15" s="476"/>
      <c r="PPU15" s="476"/>
      <c r="PPV15" s="476"/>
      <c r="PPW15" s="476"/>
      <c r="PPX15" s="476"/>
      <c r="PPY15" s="476"/>
      <c r="PPZ15" s="476"/>
      <c r="PQA15" s="476"/>
      <c r="PQB15" s="476"/>
      <c r="PQC15" s="476"/>
      <c r="PQD15" s="476"/>
      <c r="PQE15" s="477"/>
      <c r="PQF15" s="477"/>
      <c r="PQG15" s="463"/>
      <c r="PQH15" s="475"/>
      <c r="PQI15" s="476"/>
      <c r="PQJ15" s="476"/>
      <c r="PQK15" s="476"/>
      <c r="PQL15" s="476"/>
      <c r="PQM15" s="476"/>
      <c r="PQN15" s="476"/>
      <c r="PQO15" s="476"/>
      <c r="PQP15" s="476"/>
      <c r="PQQ15" s="476"/>
      <c r="PQR15" s="476"/>
      <c r="PQS15" s="476"/>
      <c r="PQT15" s="476"/>
      <c r="PQU15" s="477"/>
      <c r="PQV15" s="477"/>
      <c r="PQW15" s="463"/>
      <c r="PQX15" s="475"/>
      <c r="PQY15" s="476"/>
      <c r="PQZ15" s="476"/>
      <c r="PRA15" s="476"/>
      <c r="PRB15" s="476"/>
      <c r="PRC15" s="476"/>
      <c r="PRD15" s="476"/>
      <c r="PRE15" s="476"/>
      <c r="PRF15" s="476"/>
      <c r="PRG15" s="476"/>
      <c r="PRH15" s="476"/>
      <c r="PRI15" s="476"/>
      <c r="PRJ15" s="476"/>
      <c r="PRK15" s="477"/>
      <c r="PRL15" s="477"/>
      <c r="PRM15" s="463"/>
      <c r="PRN15" s="475"/>
      <c r="PRO15" s="476"/>
      <c r="PRP15" s="476"/>
      <c r="PRQ15" s="476"/>
      <c r="PRR15" s="476"/>
      <c r="PRS15" s="476"/>
      <c r="PRT15" s="476"/>
      <c r="PRU15" s="476"/>
      <c r="PRV15" s="476"/>
      <c r="PRW15" s="476"/>
      <c r="PRX15" s="476"/>
      <c r="PRY15" s="476"/>
      <c r="PRZ15" s="476"/>
      <c r="PSA15" s="477"/>
      <c r="PSB15" s="477"/>
      <c r="PSC15" s="463"/>
      <c r="PSD15" s="475"/>
      <c r="PSE15" s="476"/>
      <c r="PSF15" s="476"/>
      <c r="PSG15" s="476"/>
      <c r="PSH15" s="476"/>
      <c r="PSI15" s="476"/>
      <c r="PSJ15" s="476"/>
      <c r="PSK15" s="476"/>
      <c r="PSL15" s="476"/>
      <c r="PSM15" s="476"/>
      <c r="PSN15" s="476"/>
      <c r="PSO15" s="476"/>
      <c r="PSP15" s="476"/>
      <c r="PSQ15" s="477"/>
      <c r="PSR15" s="477"/>
      <c r="PSS15" s="463"/>
      <c r="PST15" s="475"/>
      <c r="PSU15" s="476"/>
      <c r="PSV15" s="476"/>
      <c r="PSW15" s="476"/>
      <c r="PSX15" s="476"/>
      <c r="PSY15" s="476"/>
      <c r="PSZ15" s="476"/>
      <c r="PTA15" s="476"/>
      <c r="PTB15" s="476"/>
      <c r="PTC15" s="476"/>
      <c r="PTD15" s="476"/>
      <c r="PTE15" s="476"/>
      <c r="PTF15" s="476"/>
      <c r="PTG15" s="477"/>
      <c r="PTH15" s="477"/>
      <c r="PTI15" s="463"/>
      <c r="PTJ15" s="475"/>
      <c r="PTK15" s="476"/>
      <c r="PTL15" s="476"/>
      <c r="PTM15" s="476"/>
      <c r="PTN15" s="476"/>
      <c r="PTO15" s="476"/>
      <c r="PTP15" s="476"/>
      <c r="PTQ15" s="476"/>
      <c r="PTR15" s="476"/>
      <c r="PTS15" s="476"/>
      <c r="PTT15" s="476"/>
      <c r="PTU15" s="476"/>
      <c r="PTV15" s="476"/>
      <c r="PTW15" s="477"/>
      <c r="PTX15" s="477"/>
      <c r="PTY15" s="463"/>
      <c r="PTZ15" s="475"/>
      <c r="PUA15" s="476"/>
      <c r="PUB15" s="476"/>
      <c r="PUC15" s="476"/>
      <c r="PUD15" s="476"/>
      <c r="PUE15" s="476"/>
      <c r="PUF15" s="476"/>
      <c r="PUG15" s="476"/>
      <c r="PUH15" s="476"/>
      <c r="PUI15" s="476"/>
      <c r="PUJ15" s="476"/>
      <c r="PUK15" s="476"/>
      <c r="PUL15" s="476"/>
      <c r="PUM15" s="477"/>
      <c r="PUN15" s="477"/>
      <c r="PUO15" s="463"/>
      <c r="PUP15" s="475"/>
      <c r="PUQ15" s="476"/>
      <c r="PUR15" s="476"/>
      <c r="PUS15" s="476"/>
      <c r="PUT15" s="476"/>
      <c r="PUU15" s="476"/>
      <c r="PUV15" s="476"/>
      <c r="PUW15" s="476"/>
      <c r="PUX15" s="476"/>
      <c r="PUY15" s="476"/>
      <c r="PUZ15" s="476"/>
      <c r="PVA15" s="476"/>
      <c r="PVB15" s="476"/>
      <c r="PVC15" s="477"/>
      <c r="PVD15" s="477"/>
      <c r="PVE15" s="463"/>
      <c r="PVF15" s="475"/>
      <c r="PVG15" s="476"/>
      <c r="PVH15" s="476"/>
      <c r="PVI15" s="476"/>
      <c r="PVJ15" s="476"/>
      <c r="PVK15" s="476"/>
      <c r="PVL15" s="476"/>
      <c r="PVM15" s="476"/>
      <c r="PVN15" s="476"/>
      <c r="PVO15" s="476"/>
      <c r="PVP15" s="476"/>
      <c r="PVQ15" s="476"/>
      <c r="PVR15" s="476"/>
      <c r="PVS15" s="477"/>
      <c r="PVT15" s="477"/>
      <c r="PVU15" s="463"/>
      <c r="PVV15" s="475"/>
      <c r="PVW15" s="476"/>
      <c r="PVX15" s="476"/>
      <c r="PVY15" s="476"/>
      <c r="PVZ15" s="476"/>
      <c r="PWA15" s="476"/>
      <c r="PWB15" s="476"/>
      <c r="PWC15" s="476"/>
      <c r="PWD15" s="476"/>
      <c r="PWE15" s="476"/>
      <c r="PWF15" s="476"/>
      <c r="PWG15" s="476"/>
      <c r="PWH15" s="476"/>
      <c r="PWI15" s="477"/>
      <c r="PWJ15" s="477"/>
      <c r="PWK15" s="463"/>
      <c r="PWL15" s="475"/>
      <c r="PWM15" s="476"/>
      <c r="PWN15" s="476"/>
      <c r="PWO15" s="476"/>
      <c r="PWP15" s="476"/>
      <c r="PWQ15" s="476"/>
      <c r="PWR15" s="476"/>
      <c r="PWS15" s="476"/>
      <c r="PWT15" s="476"/>
      <c r="PWU15" s="476"/>
      <c r="PWV15" s="476"/>
      <c r="PWW15" s="476"/>
      <c r="PWX15" s="476"/>
      <c r="PWY15" s="477"/>
      <c r="PWZ15" s="477"/>
      <c r="PXA15" s="463"/>
      <c r="PXB15" s="475"/>
      <c r="PXC15" s="476"/>
      <c r="PXD15" s="476"/>
      <c r="PXE15" s="476"/>
      <c r="PXF15" s="476"/>
      <c r="PXG15" s="476"/>
      <c r="PXH15" s="476"/>
      <c r="PXI15" s="476"/>
      <c r="PXJ15" s="476"/>
      <c r="PXK15" s="476"/>
      <c r="PXL15" s="476"/>
      <c r="PXM15" s="476"/>
      <c r="PXN15" s="476"/>
      <c r="PXO15" s="477"/>
      <c r="PXP15" s="477"/>
      <c r="PXQ15" s="463"/>
      <c r="PXR15" s="475"/>
      <c r="PXS15" s="476"/>
      <c r="PXT15" s="476"/>
      <c r="PXU15" s="476"/>
      <c r="PXV15" s="476"/>
      <c r="PXW15" s="476"/>
      <c r="PXX15" s="476"/>
      <c r="PXY15" s="476"/>
      <c r="PXZ15" s="476"/>
      <c r="PYA15" s="476"/>
      <c r="PYB15" s="476"/>
      <c r="PYC15" s="476"/>
      <c r="PYD15" s="476"/>
      <c r="PYE15" s="477"/>
      <c r="PYF15" s="477"/>
      <c r="PYG15" s="463"/>
      <c r="PYH15" s="475"/>
      <c r="PYI15" s="476"/>
      <c r="PYJ15" s="476"/>
      <c r="PYK15" s="476"/>
      <c r="PYL15" s="476"/>
      <c r="PYM15" s="476"/>
      <c r="PYN15" s="476"/>
      <c r="PYO15" s="476"/>
      <c r="PYP15" s="476"/>
      <c r="PYQ15" s="476"/>
      <c r="PYR15" s="476"/>
      <c r="PYS15" s="476"/>
      <c r="PYT15" s="476"/>
      <c r="PYU15" s="477"/>
      <c r="PYV15" s="477"/>
      <c r="PYW15" s="463"/>
      <c r="PYX15" s="475"/>
      <c r="PYY15" s="476"/>
      <c r="PYZ15" s="476"/>
      <c r="PZA15" s="476"/>
      <c r="PZB15" s="476"/>
      <c r="PZC15" s="476"/>
      <c r="PZD15" s="476"/>
      <c r="PZE15" s="476"/>
      <c r="PZF15" s="476"/>
      <c r="PZG15" s="476"/>
      <c r="PZH15" s="476"/>
      <c r="PZI15" s="476"/>
      <c r="PZJ15" s="476"/>
      <c r="PZK15" s="477"/>
      <c r="PZL15" s="477"/>
      <c r="PZM15" s="463"/>
      <c r="PZN15" s="475"/>
      <c r="PZO15" s="476"/>
      <c r="PZP15" s="476"/>
      <c r="PZQ15" s="476"/>
      <c r="PZR15" s="476"/>
      <c r="PZS15" s="476"/>
      <c r="PZT15" s="476"/>
      <c r="PZU15" s="476"/>
      <c r="PZV15" s="476"/>
      <c r="PZW15" s="476"/>
      <c r="PZX15" s="476"/>
      <c r="PZY15" s="476"/>
      <c r="PZZ15" s="476"/>
      <c r="QAA15" s="477"/>
      <c r="QAB15" s="477"/>
      <c r="QAC15" s="463"/>
      <c r="QAD15" s="475"/>
      <c r="QAE15" s="476"/>
      <c r="QAF15" s="476"/>
      <c r="QAG15" s="476"/>
      <c r="QAH15" s="476"/>
      <c r="QAI15" s="476"/>
      <c r="QAJ15" s="476"/>
      <c r="QAK15" s="476"/>
      <c r="QAL15" s="476"/>
      <c r="QAM15" s="476"/>
      <c r="QAN15" s="476"/>
      <c r="QAO15" s="476"/>
      <c r="QAP15" s="476"/>
      <c r="QAQ15" s="477"/>
      <c r="QAR15" s="477"/>
      <c r="QAS15" s="463"/>
      <c r="QAT15" s="475"/>
      <c r="QAU15" s="476"/>
      <c r="QAV15" s="476"/>
      <c r="QAW15" s="476"/>
      <c r="QAX15" s="476"/>
      <c r="QAY15" s="476"/>
      <c r="QAZ15" s="476"/>
      <c r="QBA15" s="476"/>
      <c r="QBB15" s="476"/>
      <c r="QBC15" s="476"/>
      <c r="QBD15" s="476"/>
      <c r="QBE15" s="476"/>
      <c r="QBF15" s="476"/>
      <c r="QBG15" s="477"/>
      <c r="QBH15" s="477"/>
      <c r="QBI15" s="463"/>
      <c r="QBJ15" s="475"/>
      <c r="QBK15" s="476"/>
      <c r="QBL15" s="476"/>
      <c r="QBM15" s="476"/>
      <c r="QBN15" s="476"/>
      <c r="QBO15" s="476"/>
      <c r="QBP15" s="476"/>
      <c r="QBQ15" s="476"/>
      <c r="QBR15" s="476"/>
      <c r="QBS15" s="476"/>
      <c r="QBT15" s="476"/>
      <c r="QBU15" s="476"/>
      <c r="QBV15" s="476"/>
      <c r="QBW15" s="477"/>
      <c r="QBX15" s="477"/>
      <c r="QBY15" s="463"/>
      <c r="QBZ15" s="475"/>
      <c r="QCA15" s="476"/>
      <c r="QCB15" s="476"/>
      <c r="QCC15" s="476"/>
      <c r="QCD15" s="476"/>
      <c r="QCE15" s="476"/>
      <c r="QCF15" s="476"/>
      <c r="QCG15" s="476"/>
      <c r="QCH15" s="476"/>
      <c r="QCI15" s="476"/>
      <c r="QCJ15" s="476"/>
      <c r="QCK15" s="476"/>
      <c r="QCL15" s="476"/>
      <c r="QCM15" s="477"/>
      <c r="QCN15" s="477"/>
      <c r="QCO15" s="463"/>
      <c r="QCP15" s="475"/>
      <c r="QCQ15" s="476"/>
      <c r="QCR15" s="476"/>
      <c r="QCS15" s="476"/>
      <c r="QCT15" s="476"/>
      <c r="QCU15" s="476"/>
      <c r="QCV15" s="476"/>
      <c r="QCW15" s="476"/>
      <c r="QCX15" s="476"/>
      <c r="QCY15" s="476"/>
      <c r="QCZ15" s="476"/>
      <c r="QDA15" s="476"/>
      <c r="QDB15" s="476"/>
      <c r="QDC15" s="477"/>
      <c r="QDD15" s="477"/>
      <c r="QDE15" s="463"/>
      <c r="QDF15" s="475"/>
      <c r="QDG15" s="476"/>
      <c r="QDH15" s="476"/>
      <c r="QDI15" s="476"/>
      <c r="QDJ15" s="476"/>
      <c r="QDK15" s="476"/>
      <c r="QDL15" s="476"/>
      <c r="QDM15" s="476"/>
      <c r="QDN15" s="476"/>
      <c r="QDO15" s="476"/>
      <c r="QDP15" s="476"/>
      <c r="QDQ15" s="476"/>
      <c r="QDR15" s="476"/>
      <c r="QDS15" s="477"/>
      <c r="QDT15" s="477"/>
      <c r="QDU15" s="463"/>
      <c r="QDV15" s="475"/>
      <c r="QDW15" s="476"/>
      <c r="QDX15" s="476"/>
      <c r="QDY15" s="476"/>
      <c r="QDZ15" s="476"/>
      <c r="QEA15" s="476"/>
      <c r="QEB15" s="476"/>
      <c r="QEC15" s="476"/>
      <c r="QED15" s="476"/>
      <c r="QEE15" s="476"/>
      <c r="QEF15" s="476"/>
      <c r="QEG15" s="476"/>
      <c r="QEH15" s="476"/>
      <c r="QEI15" s="477"/>
      <c r="QEJ15" s="477"/>
      <c r="QEK15" s="463"/>
      <c r="QEL15" s="475"/>
      <c r="QEM15" s="476"/>
      <c r="QEN15" s="476"/>
      <c r="QEO15" s="476"/>
      <c r="QEP15" s="476"/>
      <c r="QEQ15" s="476"/>
      <c r="QER15" s="476"/>
      <c r="QES15" s="476"/>
      <c r="QET15" s="476"/>
      <c r="QEU15" s="476"/>
      <c r="QEV15" s="476"/>
      <c r="QEW15" s="476"/>
      <c r="QEX15" s="476"/>
      <c r="QEY15" s="477"/>
      <c r="QEZ15" s="477"/>
      <c r="QFA15" s="463"/>
      <c r="QFB15" s="475"/>
      <c r="QFC15" s="476"/>
      <c r="QFD15" s="476"/>
      <c r="QFE15" s="476"/>
      <c r="QFF15" s="476"/>
      <c r="QFG15" s="476"/>
      <c r="QFH15" s="476"/>
      <c r="QFI15" s="476"/>
      <c r="QFJ15" s="476"/>
      <c r="QFK15" s="476"/>
      <c r="QFL15" s="476"/>
      <c r="QFM15" s="476"/>
      <c r="QFN15" s="476"/>
      <c r="QFO15" s="477"/>
      <c r="QFP15" s="477"/>
      <c r="QFQ15" s="463"/>
      <c r="QFR15" s="475"/>
      <c r="QFS15" s="476"/>
      <c r="QFT15" s="476"/>
      <c r="QFU15" s="476"/>
      <c r="QFV15" s="476"/>
      <c r="QFW15" s="476"/>
      <c r="QFX15" s="476"/>
      <c r="QFY15" s="476"/>
      <c r="QFZ15" s="476"/>
      <c r="QGA15" s="476"/>
      <c r="QGB15" s="476"/>
      <c r="QGC15" s="476"/>
      <c r="QGD15" s="476"/>
      <c r="QGE15" s="477"/>
      <c r="QGF15" s="477"/>
      <c r="QGG15" s="463"/>
      <c r="QGH15" s="475"/>
      <c r="QGI15" s="476"/>
      <c r="QGJ15" s="476"/>
      <c r="QGK15" s="476"/>
      <c r="QGL15" s="476"/>
      <c r="QGM15" s="476"/>
      <c r="QGN15" s="476"/>
      <c r="QGO15" s="476"/>
      <c r="QGP15" s="476"/>
      <c r="QGQ15" s="476"/>
      <c r="QGR15" s="476"/>
      <c r="QGS15" s="476"/>
      <c r="QGT15" s="476"/>
      <c r="QGU15" s="477"/>
      <c r="QGV15" s="477"/>
      <c r="QGW15" s="463"/>
      <c r="QGX15" s="475"/>
      <c r="QGY15" s="476"/>
      <c r="QGZ15" s="476"/>
      <c r="QHA15" s="476"/>
      <c r="QHB15" s="476"/>
      <c r="QHC15" s="476"/>
      <c r="QHD15" s="476"/>
      <c r="QHE15" s="476"/>
      <c r="QHF15" s="476"/>
      <c r="QHG15" s="476"/>
      <c r="QHH15" s="476"/>
      <c r="QHI15" s="476"/>
      <c r="QHJ15" s="476"/>
      <c r="QHK15" s="477"/>
      <c r="QHL15" s="477"/>
      <c r="QHM15" s="463"/>
      <c r="QHN15" s="475"/>
      <c r="QHO15" s="476"/>
      <c r="QHP15" s="476"/>
      <c r="QHQ15" s="476"/>
      <c r="QHR15" s="476"/>
      <c r="QHS15" s="476"/>
      <c r="QHT15" s="476"/>
      <c r="QHU15" s="476"/>
      <c r="QHV15" s="476"/>
      <c r="QHW15" s="476"/>
      <c r="QHX15" s="476"/>
      <c r="QHY15" s="476"/>
      <c r="QHZ15" s="476"/>
      <c r="QIA15" s="477"/>
      <c r="QIB15" s="477"/>
      <c r="QIC15" s="463"/>
      <c r="QID15" s="475"/>
      <c r="QIE15" s="476"/>
      <c r="QIF15" s="476"/>
      <c r="QIG15" s="476"/>
      <c r="QIH15" s="476"/>
      <c r="QII15" s="476"/>
      <c r="QIJ15" s="476"/>
      <c r="QIK15" s="476"/>
      <c r="QIL15" s="476"/>
      <c r="QIM15" s="476"/>
      <c r="QIN15" s="476"/>
      <c r="QIO15" s="476"/>
      <c r="QIP15" s="476"/>
      <c r="QIQ15" s="477"/>
      <c r="QIR15" s="477"/>
      <c r="QIS15" s="463"/>
      <c r="QIT15" s="475"/>
      <c r="QIU15" s="476"/>
      <c r="QIV15" s="476"/>
      <c r="QIW15" s="476"/>
      <c r="QIX15" s="476"/>
      <c r="QIY15" s="476"/>
      <c r="QIZ15" s="476"/>
      <c r="QJA15" s="476"/>
      <c r="QJB15" s="476"/>
      <c r="QJC15" s="476"/>
      <c r="QJD15" s="476"/>
      <c r="QJE15" s="476"/>
      <c r="QJF15" s="476"/>
      <c r="QJG15" s="477"/>
      <c r="QJH15" s="477"/>
      <c r="QJI15" s="463"/>
      <c r="QJJ15" s="475"/>
      <c r="QJK15" s="476"/>
      <c r="QJL15" s="476"/>
      <c r="QJM15" s="476"/>
      <c r="QJN15" s="476"/>
      <c r="QJO15" s="476"/>
      <c r="QJP15" s="476"/>
      <c r="QJQ15" s="476"/>
      <c r="QJR15" s="476"/>
      <c r="QJS15" s="476"/>
      <c r="QJT15" s="476"/>
      <c r="QJU15" s="476"/>
      <c r="QJV15" s="476"/>
      <c r="QJW15" s="477"/>
      <c r="QJX15" s="477"/>
      <c r="QJY15" s="463"/>
      <c r="QJZ15" s="475"/>
      <c r="QKA15" s="476"/>
      <c r="QKB15" s="476"/>
      <c r="QKC15" s="476"/>
      <c r="QKD15" s="476"/>
      <c r="QKE15" s="476"/>
      <c r="QKF15" s="476"/>
      <c r="QKG15" s="476"/>
      <c r="QKH15" s="476"/>
      <c r="QKI15" s="476"/>
      <c r="QKJ15" s="476"/>
      <c r="QKK15" s="476"/>
      <c r="QKL15" s="476"/>
      <c r="QKM15" s="477"/>
      <c r="QKN15" s="477"/>
      <c r="QKO15" s="463"/>
      <c r="QKP15" s="475"/>
      <c r="QKQ15" s="476"/>
      <c r="QKR15" s="476"/>
      <c r="QKS15" s="476"/>
      <c r="QKT15" s="476"/>
      <c r="QKU15" s="476"/>
      <c r="QKV15" s="476"/>
      <c r="QKW15" s="476"/>
      <c r="QKX15" s="476"/>
      <c r="QKY15" s="476"/>
      <c r="QKZ15" s="476"/>
      <c r="QLA15" s="476"/>
      <c r="QLB15" s="476"/>
      <c r="QLC15" s="477"/>
      <c r="QLD15" s="477"/>
      <c r="QLE15" s="463"/>
      <c r="QLF15" s="475"/>
      <c r="QLG15" s="476"/>
      <c r="QLH15" s="476"/>
      <c r="QLI15" s="476"/>
      <c r="QLJ15" s="476"/>
      <c r="QLK15" s="476"/>
      <c r="QLL15" s="476"/>
      <c r="QLM15" s="476"/>
      <c r="QLN15" s="476"/>
      <c r="QLO15" s="476"/>
      <c r="QLP15" s="476"/>
      <c r="QLQ15" s="476"/>
      <c r="QLR15" s="476"/>
      <c r="QLS15" s="477"/>
      <c r="QLT15" s="477"/>
      <c r="QLU15" s="463"/>
      <c r="QLV15" s="475"/>
      <c r="QLW15" s="476"/>
      <c r="QLX15" s="476"/>
      <c r="QLY15" s="476"/>
      <c r="QLZ15" s="476"/>
      <c r="QMA15" s="476"/>
      <c r="QMB15" s="476"/>
      <c r="QMC15" s="476"/>
      <c r="QMD15" s="476"/>
      <c r="QME15" s="476"/>
      <c r="QMF15" s="476"/>
      <c r="QMG15" s="476"/>
      <c r="QMH15" s="476"/>
      <c r="QMI15" s="477"/>
      <c r="QMJ15" s="477"/>
      <c r="QMK15" s="463"/>
      <c r="QML15" s="475"/>
      <c r="QMM15" s="476"/>
      <c r="QMN15" s="476"/>
      <c r="QMO15" s="476"/>
      <c r="QMP15" s="476"/>
      <c r="QMQ15" s="476"/>
      <c r="QMR15" s="476"/>
      <c r="QMS15" s="476"/>
      <c r="QMT15" s="476"/>
      <c r="QMU15" s="476"/>
      <c r="QMV15" s="476"/>
      <c r="QMW15" s="476"/>
      <c r="QMX15" s="476"/>
      <c r="QMY15" s="477"/>
      <c r="QMZ15" s="477"/>
      <c r="QNA15" s="463"/>
      <c r="QNB15" s="475"/>
      <c r="QNC15" s="476"/>
      <c r="QND15" s="476"/>
      <c r="QNE15" s="476"/>
      <c r="QNF15" s="476"/>
      <c r="QNG15" s="476"/>
      <c r="QNH15" s="476"/>
      <c r="QNI15" s="476"/>
      <c r="QNJ15" s="476"/>
      <c r="QNK15" s="476"/>
      <c r="QNL15" s="476"/>
      <c r="QNM15" s="476"/>
      <c r="QNN15" s="476"/>
      <c r="QNO15" s="477"/>
      <c r="QNP15" s="477"/>
      <c r="QNQ15" s="463"/>
      <c r="QNR15" s="475"/>
      <c r="QNS15" s="476"/>
      <c r="QNT15" s="476"/>
      <c r="QNU15" s="476"/>
      <c r="QNV15" s="476"/>
      <c r="QNW15" s="476"/>
      <c r="QNX15" s="476"/>
      <c r="QNY15" s="476"/>
      <c r="QNZ15" s="476"/>
      <c r="QOA15" s="476"/>
      <c r="QOB15" s="476"/>
      <c r="QOC15" s="476"/>
      <c r="QOD15" s="476"/>
      <c r="QOE15" s="477"/>
      <c r="QOF15" s="477"/>
      <c r="QOG15" s="463"/>
      <c r="QOH15" s="475"/>
      <c r="QOI15" s="476"/>
      <c r="QOJ15" s="476"/>
      <c r="QOK15" s="476"/>
      <c r="QOL15" s="476"/>
      <c r="QOM15" s="476"/>
      <c r="QON15" s="476"/>
      <c r="QOO15" s="476"/>
      <c r="QOP15" s="476"/>
      <c r="QOQ15" s="476"/>
      <c r="QOR15" s="476"/>
      <c r="QOS15" s="476"/>
      <c r="QOT15" s="476"/>
      <c r="QOU15" s="477"/>
      <c r="QOV15" s="477"/>
      <c r="QOW15" s="463"/>
      <c r="QOX15" s="475"/>
      <c r="QOY15" s="476"/>
      <c r="QOZ15" s="476"/>
      <c r="QPA15" s="476"/>
      <c r="QPB15" s="476"/>
      <c r="QPC15" s="476"/>
      <c r="QPD15" s="476"/>
      <c r="QPE15" s="476"/>
      <c r="QPF15" s="476"/>
      <c r="QPG15" s="476"/>
      <c r="QPH15" s="476"/>
      <c r="QPI15" s="476"/>
      <c r="QPJ15" s="476"/>
      <c r="QPK15" s="477"/>
      <c r="QPL15" s="477"/>
      <c r="QPM15" s="463"/>
      <c r="QPN15" s="475"/>
      <c r="QPO15" s="476"/>
      <c r="QPP15" s="476"/>
      <c r="QPQ15" s="476"/>
      <c r="QPR15" s="476"/>
      <c r="QPS15" s="476"/>
      <c r="QPT15" s="476"/>
      <c r="QPU15" s="476"/>
      <c r="QPV15" s="476"/>
      <c r="QPW15" s="476"/>
      <c r="QPX15" s="476"/>
      <c r="QPY15" s="476"/>
      <c r="QPZ15" s="476"/>
      <c r="QQA15" s="477"/>
      <c r="QQB15" s="477"/>
      <c r="QQC15" s="463"/>
      <c r="QQD15" s="475"/>
      <c r="QQE15" s="476"/>
      <c r="QQF15" s="476"/>
      <c r="QQG15" s="476"/>
      <c r="QQH15" s="476"/>
      <c r="QQI15" s="476"/>
      <c r="QQJ15" s="476"/>
      <c r="QQK15" s="476"/>
      <c r="QQL15" s="476"/>
      <c r="QQM15" s="476"/>
      <c r="QQN15" s="476"/>
      <c r="QQO15" s="476"/>
      <c r="QQP15" s="476"/>
      <c r="QQQ15" s="477"/>
      <c r="QQR15" s="477"/>
      <c r="QQS15" s="463"/>
      <c r="QQT15" s="475"/>
      <c r="QQU15" s="476"/>
      <c r="QQV15" s="476"/>
      <c r="QQW15" s="476"/>
      <c r="QQX15" s="476"/>
      <c r="QQY15" s="476"/>
      <c r="QQZ15" s="476"/>
      <c r="QRA15" s="476"/>
      <c r="QRB15" s="476"/>
      <c r="QRC15" s="476"/>
      <c r="QRD15" s="476"/>
      <c r="QRE15" s="476"/>
      <c r="QRF15" s="476"/>
      <c r="QRG15" s="477"/>
      <c r="QRH15" s="477"/>
      <c r="QRI15" s="463"/>
      <c r="QRJ15" s="475"/>
      <c r="QRK15" s="476"/>
      <c r="QRL15" s="476"/>
      <c r="QRM15" s="476"/>
      <c r="QRN15" s="476"/>
      <c r="QRO15" s="476"/>
      <c r="QRP15" s="476"/>
      <c r="QRQ15" s="476"/>
      <c r="QRR15" s="476"/>
      <c r="QRS15" s="476"/>
      <c r="QRT15" s="476"/>
      <c r="QRU15" s="476"/>
      <c r="QRV15" s="476"/>
      <c r="QRW15" s="477"/>
      <c r="QRX15" s="477"/>
      <c r="QRY15" s="463"/>
      <c r="QRZ15" s="475"/>
      <c r="QSA15" s="476"/>
      <c r="QSB15" s="476"/>
      <c r="QSC15" s="476"/>
      <c r="QSD15" s="476"/>
      <c r="QSE15" s="476"/>
      <c r="QSF15" s="476"/>
      <c r="QSG15" s="476"/>
      <c r="QSH15" s="476"/>
      <c r="QSI15" s="476"/>
      <c r="QSJ15" s="476"/>
      <c r="QSK15" s="476"/>
      <c r="QSL15" s="476"/>
      <c r="QSM15" s="477"/>
      <c r="QSN15" s="477"/>
      <c r="QSO15" s="463"/>
      <c r="QSP15" s="475"/>
      <c r="QSQ15" s="476"/>
      <c r="QSR15" s="476"/>
      <c r="QSS15" s="476"/>
      <c r="QST15" s="476"/>
      <c r="QSU15" s="476"/>
      <c r="QSV15" s="476"/>
      <c r="QSW15" s="476"/>
      <c r="QSX15" s="476"/>
      <c r="QSY15" s="476"/>
      <c r="QSZ15" s="476"/>
      <c r="QTA15" s="476"/>
      <c r="QTB15" s="476"/>
      <c r="QTC15" s="477"/>
      <c r="QTD15" s="477"/>
      <c r="QTE15" s="463"/>
      <c r="QTF15" s="475"/>
      <c r="QTG15" s="476"/>
      <c r="QTH15" s="476"/>
      <c r="QTI15" s="476"/>
      <c r="QTJ15" s="476"/>
      <c r="QTK15" s="476"/>
      <c r="QTL15" s="476"/>
      <c r="QTM15" s="476"/>
      <c r="QTN15" s="476"/>
      <c r="QTO15" s="476"/>
      <c r="QTP15" s="476"/>
      <c r="QTQ15" s="476"/>
      <c r="QTR15" s="476"/>
      <c r="QTS15" s="477"/>
      <c r="QTT15" s="477"/>
      <c r="QTU15" s="463"/>
      <c r="QTV15" s="475"/>
      <c r="QTW15" s="476"/>
      <c r="QTX15" s="476"/>
      <c r="QTY15" s="476"/>
      <c r="QTZ15" s="476"/>
      <c r="QUA15" s="476"/>
      <c r="QUB15" s="476"/>
      <c r="QUC15" s="476"/>
      <c r="QUD15" s="476"/>
      <c r="QUE15" s="476"/>
      <c r="QUF15" s="476"/>
      <c r="QUG15" s="476"/>
      <c r="QUH15" s="476"/>
      <c r="QUI15" s="477"/>
      <c r="QUJ15" s="477"/>
      <c r="QUK15" s="463"/>
      <c r="QUL15" s="475"/>
      <c r="QUM15" s="476"/>
      <c r="QUN15" s="476"/>
      <c r="QUO15" s="476"/>
      <c r="QUP15" s="476"/>
      <c r="QUQ15" s="476"/>
      <c r="QUR15" s="476"/>
      <c r="QUS15" s="476"/>
      <c r="QUT15" s="476"/>
      <c r="QUU15" s="476"/>
      <c r="QUV15" s="476"/>
      <c r="QUW15" s="476"/>
      <c r="QUX15" s="476"/>
      <c r="QUY15" s="477"/>
      <c r="QUZ15" s="477"/>
      <c r="QVA15" s="463"/>
      <c r="QVB15" s="475"/>
      <c r="QVC15" s="476"/>
      <c r="QVD15" s="476"/>
      <c r="QVE15" s="476"/>
      <c r="QVF15" s="476"/>
      <c r="QVG15" s="476"/>
      <c r="QVH15" s="476"/>
      <c r="QVI15" s="476"/>
      <c r="QVJ15" s="476"/>
      <c r="QVK15" s="476"/>
      <c r="QVL15" s="476"/>
      <c r="QVM15" s="476"/>
      <c r="QVN15" s="476"/>
      <c r="QVO15" s="477"/>
      <c r="QVP15" s="477"/>
      <c r="QVQ15" s="463"/>
      <c r="QVR15" s="475"/>
      <c r="QVS15" s="476"/>
      <c r="QVT15" s="476"/>
      <c r="QVU15" s="476"/>
      <c r="QVV15" s="476"/>
      <c r="QVW15" s="476"/>
      <c r="QVX15" s="476"/>
      <c r="QVY15" s="476"/>
      <c r="QVZ15" s="476"/>
      <c r="QWA15" s="476"/>
      <c r="QWB15" s="476"/>
      <c r="QWC15" s="476"/>
      <c r="QWD15" s="476"/>
      <c r="QWE15" s="477"/>
      <c r="QWF15" s="477"/>
      <c r="QWG15" s="463"/>
      <c r="QWH15" s="475"/>
      <c r="QWI15" s="476"/>
      <c r="QWJ15" s="476"/>
      <c r="QWK15" s="476"/>
      <c r="QWL15" s="476"/>
      <c r="QWM15" s="476"/>
      <c r="QWN15" s="476"/>
      <c r="QWO15" s="476"/>
      <c r="QWP15" s="476"/>
      <c r="QWQ15" s="476"/>
      <c r="QWR15" s="476"/>
      <c r="QWS15" s="476"/>
      <c r="QWT15" s="476"/>
      <c r="QWU15" s="477"/>
      <c r="QWV15" s="477"/>
      <c r="QWW15" s="463"/>
      <c r="QWX15" s="475"/>
      <c r="QWY15" s="476"/>
      <c r="QWZ15" s="476"/>
      <c r="QXA15" s="476"/>
      <c r="QXB15" s="476"/>
      <c r="QXC15" s="476"/>
      <c r="QXD15" s="476"/>
      <c r="QXE15" s="476"/>
      <c r="QXF15" s="476"/>
      <c r="QXG15" s="476"/>
      <c r="QXH15" s="476"/>
      <c r="QXI15" s="476"/>
      <c r="QXJ15" s="476"/>
      <c r="QXK15" s="477"/>
      <c r="QXL15" s="477"/>
      <c r="QXM15" s="463"/>
      <c r="QXN15" s="475"/>
      <c r="QXO15" s="476"/>
      <c r="QXP15" s="476"/>
      <c r="QXQ15" s="476"/>
      <c r="QXR15" s="476"/>
      <c r="QXS15" s="476"/>
      <c r="QXT15" s="476"/>
      <c r="QXU15" s="476"/>
      <c r="QXV15" s="476"/>
      <c r="QXW15" s="476"/>
      <c r="QXX15" s="476"/>
      <c r="QXY15" s="476"/>
      <c r="QXZ15" s="476"/>
      <c r="QYA15" s="477"/>
      <c r="QYB15" s="477"/>
      <c r="QYC15" s="463"/>
      <c r="QYD15" s="475"/>
      <c r="QYE15" s="476"/>
      <c r="QYF15" s="476"/>
      <c r="QYG15" s="476"/>
      <c r="QYH15" s="476"/>
      <c r="QYI15" s="476"/>
      <c r="QYJ15" s="476"/>
      <c r="QYK15" s="476"/>
      <c r="QYL15" s="476"/>
      <c r="QYM15" s="476"/>
      <c r="QYN15" s="476"/>
      <c r="QYO15" s="476"/>
      <c r="QYP15" s="476"/>
      <c r="QYQ15" s="477"/>
      <c r="QYR15" s="477"/>
      <c r="QYS15" s="463"/>
      <c r="QYT15" s="475"/>
      <c r="QYU15" s="476"/>
      <c r="QYV15" s="476"/>
      <c r="QYW15" s="476"/>
      <c r="QYX15" s="476"/>
      <c r="QYY15" s="476"/>
      <c r="QYZ15" s="476"/>
      <c r="QZA15" s="476"/>
      <c r="QZB15" s="476"/>
      <c r="QZC15" s="476"/>
      <c r="QZD15" s="476"/>
      <c r="QZE15" s="476"/>
      <c r="QZF15" s="476"/>
      <c r="QZG15" s="477"/>
      <c r="QZH15" s="477"/>
      <c r="QZI15" s="463"/>
      <c r="QZJ15" s="475"/>
      <c r="QZK15" s="476"/>
      <c r="QZL15" s="476"/>
      <c r="QZM15" s="476"/>
      <c r="QZN15" s="476"/>
      <c r="QZO15" s="476"/>
      <c r="QZP15" s="476"/>
      <c r="QZQ15" s="476"/>
      <c r="QZR15" s="476"/>
      <c r="QZS15" s="476"/>
      <c r="QZT15" s="476"/>
      <c r="QZU15" s="476"/>
      <c r="QZV15" s="476"/>
      <c r="QZW15" s="477"/>
      <c r="QZX15" s="477"/>
      <c r="QZY15" s="463"/>
      <c r="QZZ15" s="475"/>
      <c r="RAA15" s="476"/>
      <c r="RAB15" s="476"/>
      <c r="RAC15" s="476"/>
      <c r="RAD15" s="476"/>
      <c r="RAE15" s="476"/>
      <c r="RAF15" s="476"/>
      <c r="RAG15" s="476"/>
      <c r="RAH15" s="476"/>
      <c r="RAI15" s="476"/>
      <c r="RAJ15" s="476"/>
      <c r="RAK15" s="476"/>
      <c r="RAL15" s="476"/>
      <c r="RAM15" s="477"/>
      <c r="RAN15" s="477"/>
      <c r="RAO15" s="463"/>
      <c r="RAP15" s="475"/>
      <c r="RAQ15" s="476"/>
      <c r="RAR15" s="476"/>
      <c r="RAS15" s="476"/>
      <c r="RAT15" s="476"/>
      <c r="RAU15" s="476"/>
      <c r="RAV15" s="476"/>
      <c r="RAW15" s="476"/>
      <c r="RAX15" s="476"/>
      <c r="RAY15" s="476"/>
      <c r="RAZ15" s="476"/>
      <c r="RBA15" s="476"/>
      <c r="RBB15" s="476"/>
      <c r="RBC15" s="477"/>
      <c r="RBD15" s="477"/>
      <c r="RBE15" s="463"/>
      <c r="RBF15" s="475"/>
      <c r="RBG15" s="476"/>
      <c r="RBH15" s="476"/>
      <c r="RBI15" s="476"/>
      <c r="RBJ15" s="476"/>
      <c r="RBK15" s="476"/>
      <c r="RBL15" s="476"/>
      <c r="RBM15" s="476"/>
      <c r="RBN15" s="476"/>
      <c r="RBO15" s="476"/>
      <c r="RBP15" s="476"/>
      <c r="RBQ15" s="476"/>
      <c r="RBR15" s="476"/>
      <c r="RBS15" s="477"/>
      <c r="RBT15" s="477"/>
      <c r="RBU15" s="463"/>
      <c r="RBV15" s="475"/>
      <c r="RBW15" s="476"/>
      <c r="RBX15" s="476"/>
      <c r="RBY15" s="476"/>
      <c r="RBZ15" s="476"/>
      <c r="RCA15" s="476"/>
      <c r="RCB15" s="476"/>
      <c r="RCC15" s="476"/>
      <c r="RCD15" s="476"/>
      <c r="RCE15" s="476"/>
      <c r="RCF15" s="476"/>
      <c r="RCG15" s="476"/>
      <c r="RCH15" s="476"/>
      <c r="RCI15" s="477"/>
      <c r="RCJ15" s="477"/>
      <c r="RCK15" s="463"/>
      <c r="RCL15" s="475"/>
      <c r="RCM15" s="476"/>
      <c r="RCN15" s="476"/>
      <c r="RCO15" s="476"/>
      <c r="RCP15" s="476"/>
      <c r="RCQ15" s="476"/>
      <c r="RCR15" s="476"/>
      <c r="RCS15" s="476"/>
      <c r="RCT15" s="476"/>
      <c r="RCU15" s="476"/>
      <c r="RCV15" s="476"/>
      <c r="RCW15" s="476"/>
      <c r="RCX15" s="476"/>
      <c r="RCY15" s="477"/>
      <c r="RCZ15" s="477"/>
      <c r="RDA15" s="463"/>
      <c r="RDB15" s="475"/>
      <c r="RDC15" s="476"/>
      <c r="RDD15" s="476"/>
      <c r="RDE15" s="476"/>
      <c r="RDF15" s="476"/>
      <c r="RDG15" s="476"/>
      <c r="RDH15" s="476"/>
      <c r="RDI15" s="476"/>
      <c r="RDJ15" s="476"/>
      <c r="RDK15" s="476"/>
      <c r="RDL15" s="476"/>
      <c r="RDM15" s="476"/>
      <c r="RDN15" s="476"/>
      <c r="RDO15" s="477"/>
      <c r="RDP15" s="477"/>
      <c r="RDQ15" s="463"/>
      <c r="RDR15" s="475"/>
      <c r="RDS15" s="476"/>
      <c r="RDT15" s="476"/>
      <c r="RDU15" s="476"/>
      <c r="RDV15" s="476"/>
      <c r="RDW15" s="476"/>
      <c r="RDX15" s="476"/>
      <c r="RDY15" s="476"/>
      <c r="RDZ15" s="476"/>
      <c r="REA15" s="476"/>
      <c r="REB15" s="476"/>
      <c r="REC15" s="476"/>
      <c r="RED15" s="476"/>
      <c r="REE15" s="477"/>
      <c r="REF15" s="477"/>
      <c r="REG15" s="463"/>
      <c r="REH15" s="475"/>
      <c r="REI15" s="476"/>
      <c r="REJ15" s="476"/>
      <c r="REK15" s="476"/>
      <c r="REL15" s="476"/>
      <c r="REM15" s="476"/>
      <c r="REN15" s="476"/>
      <c r="REO15" s="476"/>
      <c r="REP15" s="476"/>
      <c r="REQ15" s="476"/>
      <c r="RER15" s="476"/>
      <c r="RES15" s="476"/>
      <c r="RET15" s="476"/>
      <c r="REU15" s="477"/>
      <c r="REV15" s="477"/>
      <c r="REW15" s="463"/>
      <c r="REX15" s="475"/>
      <c r="REY15" s="476"/>
      <c r="REZ15" s="476"/>
      <c r="RFA15" s="476"/>
      <c r="RFB15" s="476"/>
      <c r="RFC15" s="476"/>
      <c r="RFD15" s="476"/>
      <c r="RFE15" s="476"/>
      <c r="RFF15" s="476"/>
      <c r="RFG15" s="476"/>
      <c r="RFH15" s="476"/>
      <c r="RFI15" s="476"/>
      <c r="RFJ15" s="476"/>
      <c r="RFK15" s="477"/>
      <c r="RFL15" s="477"/>
      <c r="RFM15" s="463"/>
      <c r="RFN15" s="475"/>
      <c r="RFO15" s="476"/>
      <c r="RFP15" s="476"/>
      <c r="RFQ15" s="476"/>
      <c r="RFR15" s="476"/>
      <c r="RFS15" s="476"/>
      <c r="RFT15" s="476"/>
      <c r="RFU15" s="476"/>
      <c r="RFV15" s="476"/>
      <c r="RFW15" s="476"/>
      <c r="RFX15" s="476"/>
      <c r="RFY15" s="476"/>
      <c r="RFZ15" s="476"/>
      <c r="RGA15" s="477"/>
      <c r="RGB15" s="477"/>
      <c r="RGC15" s="463"/>
      <c r="RGD15" s="475"/>
      <c r="RGE15" s="476"/>
      <c r="RGF15" s="476"/>
      <c r="RGG15" s="476"/>
      <c r="RGH15" s="476"/>
      <c r="RGI15" s="476"/>
      <c r="RGJ15" s="476"/>
      <c r="RGK15" s="476"/>
      <c r="RGL15" s="476"/>
      <c r="RGM15" s="476"/>
      <c r="RGN15" s="476"/>
      <c r="RGO15" s="476"/>
      <c r="RGP15" s="476"/>
      <c r="RGQ15" s="477"/>
      <c r="RGR15" s="477"/>
      <c r="RGS15" s="463"/>
      <c r="RGT15" s="475"/>
      <c r="RGU15" s="476"/>
      <c r="RGV15" s="476"/>
      <c r="RGW15" s="476"/>
      <c r="RGX15" s="476"/>
      <c r="RGY15" s="476"/>
      <c r="RGZ15" s="476"/>
      <c r="RHA15" s="476"/>
      <c r="RHB15" s="476"/>
      <c r="RHC15" s="476"/>
      <c r="RHD15" s="476"/>
      <c r="RHE15" s="476"/>
      <c r="RHF15" s="476"/>
      <c r="RHG15" s="477"/>
      <c r="RHH15" s="477"/>
      <c r="RHI15" s="463"/>
      <c r="RHJ15" s="475"/>
      <c r="RHK15" s="476"/>
      <c r="RHL15" s="476"/>
      <c r="RHM15" s="476"/>
      <c r="RHN15" s="476"/>
      <c r="RHO15" s="476"/>
      <c r="RHP15" s="476"/>
      <c r="RHQ15" s="476"/>
      <c r="RHR15" s="476"/>
      <c r="RHS15" s="476"/>
      <c r="RHT15" s="476"/>
      <c r="RHU15" s="476"/>
      <c r="RHV15" s="476"/>
      <c r="RHW15" s="477"/>
      <c r="RHX15" s="477"/>
      <c r="RHY15" s="463"/>
      <c r="RHZ15" s="475"/>
      <c r="RIA15" s="476"/>
      <c r="RIB15" s="476"/>
      <c r="RIC15" s="476"/>
      <c r="RID15" s="476"/>
      <c r="RIE15" s="476"/>
      <c r="RIF15" s="476"/>
      <c r="RIG15" s="476"/>
      <c r="RIH15" s="476"/>
      <c r="RII15" s="476"/>
      <c r="RIJ15" s="476"/>
      <c r="RIK15" s="476"/>
      <c r="RIL15" s="476"/>
      <c r="RIM15" s="477"/>
      <c r="RIN15" s="477"/>
      <c r="RIO15" s="463"/>
      <c r="RIP15" s="475"/>
      <c r="RIQ15" s="476"/>
      <c r="RIR15" s="476"/>
      <c r="RIS15" s="476"/>
      <c r="RIT15" s="476"/>
      <c r="RIU15" s="476"/>
      <c r="RIV15" s="476"/>
      <c r="RIW15" s="476"/>
      <c r="RIX15" s="476"/>
      <c r="RIY15" s="476"/>
      <c r="RIZ15" s="476"/>
      <c r="RJA15" s="476"/>
      <c r="RJB15" s="476"/>
      <c r="RJC15" s="477"/>
      <c r="RJD15" s="477"/>
      <c r="RJE15" s="463"/>
      <c r="RJF15" s="475"/>
      <c r="RJG15" s="476"/>
      <c r="RJH15" s="476"/>
      <c r="RJI15" s="476"/>
      <c r="RJJ15" s="476"/>
      <c r="RJK15" s="476"/>
      <c r="RJL15" s="476"/>
      <c r="RJM15" s="476"/>
      <c r="RJN15" s="476"/>
      <c r="RJO15" s="476"/>
      <c r="RJP15" s="476"/>
      <c r="RJQ15" s="476"/>
      <c r="RJR15" s="476"/>
      <c r="RJS15" s="477"/>
      <c r="RJT15" s="477"/>
      <c r="RJU15" s="463"/>
      <c r="RJV15" s="475"/>
      <c r="RJW15" s="476"/>
      <c r="RJX15" s="476"/>
      <c r="RJY15" s="476"/>
      <c r="RJZ15" s="476"/>
      <c r="RKA15" s="476"/>
      <c r="RKB15" s="476"/>
      <c r="RKC15" s="476"/>
      <c r="RKD15" s="476"/>
      <c r="RKE15" s="476"/>
      <c r="RKF15" s="476"/>
      <c r="RKG15" s="476"/>
      <c r="RKH15" s="476"/>
      <c r="RKI15" s="477"/>
      <c r="RKJ15" s="477"/>
      <c r="RKK15" s="463"/>
      <c r="RKL15" s="475"/>
      <c r="RKM15" s="476"/>
      <c r="RKN15" s="476"/>
      <c r="RKO15" s="476"/>
      <c r="RKP15" s="476"/>
      <c r="RKQ15" s="476"/>
      <c r="RKR15" s="476"/>
      <c r="RKS15" s="476"/>
      <c r="RKT15" s="476"/>
      <c r="RKU15" s="476"/>
      <c r="RKV15" s="476"/>
      <c r="RKW15" s="476"/>
      <c r="RKX15" s="476"/>
      <c r="RKY15" s="477"/>
      <c r="RKZ15" s="477"/>
      <c r="RLA15" s="463"/>
      <c r="RLB15" s="475"/>
      <c r="RLC15" s="476"/>
      <c r="RLD15" s="476"/>
      <c r="RLE15" s="476"/>
      <c r="RLF15" s="476"/>
      <c r="RLG15" s="476"/>
      <c r="RLH15" s="476"/>
      <c r="RLI15" s="476"/>
      <c r="RLJ15" s="476"/>
      <c r="RLK15" s="476"/>
      <c r="RLL15" s="476"/>
      <c r="RLM15" s="476"/>
      <c r="RLN15" s="476"/>
      <c r="RLO15" s="477"/>
      <c r="RLP15" s="477"/>
      <c r="RLQ15" s="463"/>
      <c r="RLR15" s="475"/>
      <c r="RLS15" s="476"/>
      <c r="RLT15" s="476"/>
      <c r="RLU15" s="476"/>
      <c r="RLV15" s="476"/>
      <c r="RLW15" s="476"/>
      <c r="RLX15" s="476"/>
      <c r="RLY15" s="476"/>
      <c r="RLZ15" s="476"/>
      <c r="RMA15" s="476"/>
      <c r="RMB15" s="476"/>
      <c r="RMC15" s="476"/>
      <c r="RMD15" s="476"/>
      <c r="RME15" s="477"/>
      <c r="RMF15" s="477"/>
      <c r="RMG15" s="463"/>
      <c r="RMH15" s="475"/>
      <c r="RMI15" s="476"/>
      <c r="RMJ15" s="476"/>
      <c r="RMK15" s="476"/>
      <c r="RML15" s="476"/>
      <c r="RMM15" s="476"/>
      <c r="RMN15" s="476"/>
      <c r="RMO15" s="476"/>
      <c r="RMP15" s="476"/>
      <c r="RMQ15" s="476"/>
      <c r="RMR15" s="476"/>
      <c r="RMS15" s="476"/>
      <c r="RMT15" s="476"/>
      <c r="RMU15" s="477"/>
      <c r="RMV15" s="477"/>
      <c r="RMW15" s="463"/>
      <c r="RMX15" s="475"/>
      <c r="RMY15" s="476"/>
      <c r="RMZ15" s="476"/>
      <c r="RNA15" s="476"/>
      <c r="RNB15" s="476"/>
      <c r="RNC15" s="476"/>
      <c r="RND15" s="476"/>
      <c r="RNE15" s="476"/>
      <c r="RNF15" s="476"/>
      <c r="RNG15" s="476"/>
      <c r="RNH15" s="476"/>
      <c r="RNI15" s="476"/>
      <c r="RNJ15" s="476"/>
      <c r="RNK15" s="477"/>
      <c r="RNL15" s="477"/>
      <c r="RNM15" s="463"/>
      <c r="RNN15" s="475"/>
      <c r="RNO15" s="476"/>
      <c r="RNP15" s="476"/>
      <c r="RNQ15" s="476"/>
      <c r="RNR15" s="476"/>
      <c r="RNS15" s="476"/>
      <c r="RNT15" s="476"/>
      <c r="RNU15" s="476"/>
      <c r="RNV15" s="476"/>
      <c r="RNW15" s="476"/>
      <c r="RNX15" s="476"/>
      <c r="RNY15" s="476"/>
      <c r="RNZ15" s="476"/>
      <c r="ROA15" s="477"/>
      <c r="ROB15" s="477"/>
      <c r="ROC15" s="463"/>
      <c r="ROD15" s="475"/>
      <c r="ROE15" s="476"/>
      <c r="ROF15" s="476"/>
      <c r="ROG15" s="476"/>
      <c r="ROH15" s="476"/>
      <c r="ROI15" s="476"/>
      <c r="ROJ15" s="476"/>
      <c r="ROK15" s="476"/>
      <c r="ROL15" s="476"/>
      <c r="ROM15" s="476"/>
      <c r="RON15" s="476"/>
      <c r="ROO15" s="476"/>
      <c r="ROP15" s="476"/>
      <c r="ROQ15" s="477"/>
      <c r="ROR15" s="477"/>
      <c r="ROS15" s="463"/>
      <c r="ROT15" s="475"/>
      <c r="ROU15" s="476"/>
      <c r="ROV15" s="476"/>
      <c r="ROW15" s="476"/>
      <c r="ROX15" s="476"/>
      <c r="ROY15" s="476"/>
      <c r="ROZ15" s="476"/>
      <c r="RPA15" s="476"/>
      <c r="RPB15" s="476"/>
      <c r="RPC15" s="476"/>
      <c r="RPD15" s="476"/>
      <c r="RPE15" s="476"/>
      <c r="RPF15" s="476"/>
      <c r="RPG15" s="477"/>
      <c r="RPH15" s="477"/>
      <c r="RPI15" s="463"/>
      <c r="RPJ15" s="475"/>
      <c r="RPK15" s="476"/>
      <c r="RPL15" s="476"/>
      <c r="RPM15" s="476"/>
      <c r="RPN15" s="476"/>
      <c r="RPO15" s="476"/>
      <c r="RPP15" s="476"/>
      <c r="RPQ15" s="476"/>
      <c r="RPR15" s="476"/>
      <c r="RPS15" s="476"/>
      <c r="RPT15" s="476"/>
      <c r="RPU15" s="476"/>
      <c r="RPV15" s="476"/>
      <c r="RPW15" s="477"/>
      <c r="RPX15" s="477"/>
      <c r="RPY15" s="463"/>
      <c r="RPZ15" s="475"/>
      <c r="RQA15" s="476"/>
      <c r="RQB15" s="476"/>
      <c r="RQC15" s="476"/>
      <c r="RQD15" s="476"/>
      <c r="RQE15" s="476"/>
      <c r="RQF15" s="476"/>
      <c r="RQG15" s="476"/>
      <c r="RQH15" s="476"/>
      <c r="RQI15" s="476"/>
      <c r="RQJ15" s="476"/>
      <c r="RQK15" s="476"/>
      <c r="RQL15" s="476"/>
      <c r="RQM15" s="477"/>
      <c r="RQN15" s="477"/>
      <c r="RQO15" s="463"/>
      <c r="RQP15" s="475"/>
      <c r="RQQ15" s="476"/>
      <c r="RQR15" s="476"/>
      <c r="RQS15" s="476"/>
      <c r="RQT15" s="476"/>
      <c r="RQU15" s="476"/>
      <c r="RQV15" s="476"/>
      <c r="RQW15" s="476"/>
      <c r="RQX15" s="476"/>
      <c r="RQY15" s="476"/>
      <c r="RQZ15" s="476"/>
      <c r="RRA15" s="476"/>
      <c r="RRB15" s="476"/>
      <c r="RRC15" s="477"/>
      <c r="RRD15" s="477"/>
      <c r="RRE15" s="463"/>
      <c r="RRF15" s="475"/>
      <c r="RRG15" s="476"/>
      <c r="RRH15" s="476"/>
      <c r="RRI15" s="476"/>
      <c r="RRJ15" s="476"/>
      <c r="RRK15" s="476"/>
      <c r="RRL15" s="476"/>
      <c r="RRM15" s="476"/>
      <c r="RRN15" s="476"/>
      <c r="RRO15" s="476"/>
      <c r="RRP15" s="476"/>
      <c r="RRQ15" s="476"/>
      <c r="RRR15" s="476"/>
      <c r="RRS15" s="477"/>
      <c r="RRT15" s="477"/>
      <c r="RRU15" s="463"/>
      <c r="RRV15" s="475"/>
      <c r="RRW15" s="476"/>
      <c r="RRX15" s="476"/>
      <c r="RRY15" s="476"/>
      <c r="RRZ15" s="476"/>
      <c r="RSA15" s="476"/>
      <c r="RSB15" s="476"/>
      <c r="RSC15" s="476"/>
      <c r="RSD15" s="476"/>
      <c r="RSE15" s="476"/>
      <c r="RSF15" s="476"/>
      <c r="RSG15" s="476"/>
      <c r="RSH15" s="476"/>
      <c r="RSI15" s="477"/>
      <c r="RSJ15" s="477"/>
      <c r="RSK15" s="463"/>
      <c r="RSL15" s="475"/>
      <c r="RSM15" s="476"/>
      <c r="RSN15" s="476"/>
      <c r="RSO15" s="476"/>
      <c r="RSP15" s="476"/>
      <c r="RSQ15" s="476"/>
      <c r="RSR15" s="476"/>
      <c r="RSS15" s="476"/>
      <c r="RST15" s="476"/>
      <c r="RSU15" s="476"/>
      <c r="RSV15" s="476"/>
      <c r="RSW15" s="476"/>
      <c r="RSX15" s="476"/>
      <c r="RSY15" s="477"/>
      <c r="RSZ15" s="477"/>
      <c r="RTA15" s="463"/>
      <c r="RTB15" s="475"/>
      <c r="RTC15" s="476"/>
      <c r="RTD15" s="476"/>
      <c r="RTE15" s="476"/>
      <c r="RTF15" s="476"/>
      <c r="RTG15" s="476"/>
      <c r="RTH15" s="476"/>
      <c r="RTI15" s="476"/>
      <c r="RTJ15" s="476"/>
      <c r="RTK15" s="476"/>
      <c r="RTL15" s="476"/>
      <c r="RTM15" s="476"/>
      <c r="RTN15" s="476"/>
      <c r="RTO15" s="477"/>
      <c r="RTP15" s="477"/>
      <c r="RTQ15" s="463"/>
      <c r="RTR15" s="475"/>
      <c r="RTS15" s="476"/>
      <c r="RTT15" s="476"/>
      <c r="RTU15" s="476"/>
      <c r="RTV15" s="476"/>
      <c r="RTW15" s="476"/>
      <c r="RTX15" s="476"/>
      <c r="RTY15" s="476"/>
      <c r="RTZ15" s="476"/>
      <c r="RUA15" s="476"/>
      <c r="RUB15" s="476"/>
      <c r="RUC15" s="476"/>
      <c r="RUD15" s="476"/>
      <c r="RUE15" s="477"/>
      <c r="RUF15" s="477"/>
      <c r="RUG15" s="463"/>
      <c r="RUH15" s="475"/>
      <c r="RUI15" s="476"/>
      <c r="RUJ15" s="476"/>
      <c r="RUK15" s="476"/>
      <c r="RUL15" s="476"/>
      <c r="RUM15" s="476"/>
      <c r="RUN15" s="476"/>
      <c r="RUO15" s="476"/>
      <c r="RUP15" s="476"/>
      <c r="RUQ15" s="476"/>
      <c r="RUR15" s="476"/>
      <c r="RUS15" s="476"/>
      <c r="RUT15" s="476"/>
      <c r="RUU15" s="477"/>
      <c r="RUV15" s="477"/>
      <c r="RUW15" s="463"/>
      <c r="RUX15" s="475"/>
      <c r="RUY15" s="476"/>
      <c r="RUZ15" s="476"/>
      <c r="RVA15" s="476"/>
      <c r="RVB15" s="476"/>
      <c r="RVC15" s="476"/>
      <c r="RVD15" s="476"/>
      <c r="RVE15" s="476"/>
      <c r="RVF15" s="476"/>
      <c r="RVG15" s="476"/>
      <c r="RVH15" s="476"/>
      <c r="RVI15" s="476"/>
      <c r="RVJ15" s="476"/>
      <c r="RVK15" s="477"/>
      <c r="RVL15" s="477"/>
      <c r="RVM15" s="463"/>
      <c r="RVN15" s="475"/>
      <c r="RVO15" s="476"/>
      <c r="RVP15" s="476"/>
      <c r="RVQ15" s="476"/>
      <c r="RVR15" s="476"/>
      <c r="RVS15" s="476"/>
      <c r="RVT15" s="476"/>
      <c r="RVU15" s="476"/>
      <c r="RVV15" s="476"/>
      <c r="RVW15" s="476"/>
      <c r="RVX15" s="476"/>
      <c r="RVY15" s="476"/>
      <c r="RVZ15" s="476"/>
      <c r="RWA15" s="477"/>
      <c r="RWB15" s="477"/>
      <c r="RWC15" s="463"/>
      <c r="RWD15" s="475"/>
      <c r="RWE15" s="476"/>
      <c r="RWF15" s="476"/>
      <c r="RWG15" s="476"/>
      <c r="RWH15" s="476"/>
      <c r="RWI15" s="476"/>
      <c r="RWJ15" s="476"/>
      <c r="RWK15" s="476"/>
      <c r="RWL15" s="476"/>
      <c r="RWM15" s="476"/>
      <c r="RWN15" s="476"/>
      <c r="RWO15" s="476"/>
      <c r="RWP15" s="476"/>
      <c r="RWQ15" s="477"/>
      <c r="RWR15" s="477"/>
      <c r="RWS15" s="463"/>
      <c r="RWT15" s="475"/>
      <c r="RWU15" s="476"/>
      <c r="RWV15" s="476"/>
      <c r="RWW15" s="476"/>
      <c r="RWX15" s="476"/>
      <c r="RWY15" s="476"/>
      <c r="RWZ15" s="476"/>
      <c r="RXA15" s="476"/>
      <c r="RXB15" s="476"/>
      <c r="RXC15" s="476"/>
      <c r="RXD15" s="476"/>
      <c r="RXE15" s="476"/>
      <c r="RXF15" s="476"/>
      <c r="RXG15" s="477"/>
      <c r="RXH15" s="477"/>
      <c r="RXI15" s="463"/>
      <c r="RXJ15" s="475"/>
      <c r="RXK15" s="476"/>
      <c r="RXL15" s="476"/>
      <c r="RXM15" s="476"/>
      <c r="RXN15" s="476"/>
      <c r="RXO15" s="476"/>
      <c r="RXP15" s="476"/>
      <c r="RXQ15" s="476"/>
      <c r="RXR15" s="476"/>
      <c r="RXS15" s="476"/>
      <c r="RXT15" s="476"/>
      <c r="RXU15" s="476"/>
      <c r="RXV15" s="476"/>
      <c r="RXW15" s="477"/>
      <c r="RXX15" s="477"/>
      <c r="RXY15" s="463"/>
      <c r="RXZ15" s="475"/>
      <c r="RYA15" s="476"/>
      <c r="RYB15" s="476"/>
      <c r="RYC15" s="476"/>
      <c r="RYD15" s="476"/>
      <c r="RYE15" s="476"/>
      <c r="RYF15" s="476"/>
      <c r="RYG15" s="476"/>
      <c r="RYH15" s="476"/>
      <c r="RYI15" s="476"/>
      <c r="RYJ15" s="476"/>
      <c r="RYK15" s="476"/>
      <c r="RYL15" s="476"/>
      <c r="RYM15" s="477"/>
      <c r="RYN15" s="477"/>
      <c r="RYO15" s="463"/>
      <c r="RYP15" s="475"/>
      <c r="RYQ15" s="476"/>
      <c r="RYR15" s="476"/>
      <c r="RYS15" s="476"/>
      <c r="RYT15" s="476"/>
      <c r="RYU15" s="476"/>
      <c r="RYV15" s="476"/>
      <c r="RYW15" s="476"/>
      <c r="RYX15" s="476"/>
      <c r="RYY15" s="476"/>
      <c r="RYZ15" s="476"/>
      <c r="RZA15" s="476"/>
      <c r="RZB15" s="476"/>
      <c r="RZC15" s="477"/>
      <c r="RZD15" s="477"/>
      <c r="RZE15" s="463"/>
      <c r="RZF15" s="475"/>
      <c r="RZG15" s="476"/>
      <c r="RZH15" s="476"/>
      <c r="RZI15" s="476"/>
      <c r="RZJ15" s="476"/>
      <c r="RZK15" s="476"/>
      <c r="RZL15" s="476"/>
      <c r="RZM15" s="476"/>
      <c r="RZN15" s="476"/>
      <c r="RZO15" s="476"/>
      <c r="RZP15" s="476"/>
      <c r="RZQ15" s="476"/>
      <c r="RZR15" s="476"/>
      <c r="RZS15" s="477"/>
      <c r="RZT15" s="477"/>
      <c r="RZU15" s="463"/>
      <c r="RZV15" s="475"/>
      <c r="RZW15" s="476"/>
      <c r="RZX15" s="476"/>
      <c r="RZY15" s="476"/>
      <c r="RZZ15" s="476"/>
      <c r="SAA15" s="476"/>
      <c r="SAB15" s="476"/>
      <c r="SAC15" s="476"/>
      <c r="SAD15" s="476"/>
      <c r="SAE15" s="476"/>
      <c r="SAF15" s="476"/>
      <c r="SAG15" s="476"/>
      <c r="SAH15" s="476"/>
      <c r="SAI15" s="477"/>
      <c r="SAJ15" s="477"/>
      <c r="SAK15" s="463"/>
      <c r="SAL15" s="475"/>
      <c r="SAM15" s="476"/>
      <c r="SAN15" s="476"/>
      <c r="SAO15" s="476"/>
      <c r="SAP15" s="476"/>
      <c r="SAQ15" s="476"/>
      <c r="SAR15" s="476"/>
      <c r="SAS15" s="476"/>
      <c r="SAT15" s="476"/>
      <c r="SAU15" s="476"/>
      <c r="SAV15" s="476"/>
      <c r="SAW15" s="476"/>
      <c r="SAX15" s="476"/>
      <c r="SAY15" s="477"/>
      <c r="SAZ15" s="477"/>
      <c r="SBA15" s="463"/>
      <c r="SBB15" s="475"/>
      <c r="SBC15" s="476"/>
      <c r="SBD15" s="476"/>
      <c r="SBE15" s="476"/>
      <c r="SBF15" s="476"/>
      <c r="SBG15" s="476"/>
      <c r="SBH15" s="476"/>
      <c r="SBI15" s="476"/>
      <c r="SBJ15" s="476"/>
      <c r="SBK15" s="476"/>
      <c r="SBL15" s="476"/>
      <c r="SBM15" s="476"/>
      <c r="SBN15" s="476"/>
      <c r="SBO15" s="477"/>
      <c r="SBP15" s="477"/>
      <c r="SBQ15" s="463"/>
      <c r="SBR15" s="475"/>
      <c r="SBS15" s="476"/>
      <c r="SBT15" s="476"/>
      <c r="SBU15" s="476"/>
      <c r="SBV15" s="476"/>
      <c r="SBW15" s="476"/>
      <c r="SBX15" s="476"/>
      <c r="SBY15" s="476"/>
      <c r="SBZ15" s="476"/>
      <c r="SCA15" s="476"/>
      <c r="SCB15" s="476"/>
      <c r="SCC15" s="476"/>
      <c r="SCD15" s="476"/>
      <c r="SCE15" s="477"/>
      <c r="SCF15" s="477"/>
      <c r="SCG15" s="463"/>
      <c r="SCH15" s="475"/>
      <c r="SCI15" s="476"/>
      <c r="SCJ15" s="476"/>
      <c r="SCK15" s="476"/>
      <c r="SCL15" s="476"/>
      <c r="SCM15" s="476"/>
      <c r="SCN15" s="476"/>
      <c r="SCO15" s="476"/>
      <c r="SCP15" s="476"/>
      <c r="SCQ15" s="476"/>
      <c r="SCR15" s="476"/>
      <c r="SCS15" s="476"/>
      <c r="SCT15" s="476"/>
      <c r="SCU15" s="477"/>
      <c r="SCV15" s="477"/>
      <c r="SCW15" s="463"/>
      <c r="SCX15" s="475"/>
      <c r="SCY15" s="476"/>
      <c r="SCZ15" s="476"/>
      <c r="SDA15" s="476"/>
      <c r="SDB15" s="476"/>
      <c r="SDC15" s="476"/>
      <c r="SDD15" s="476"/>
      <c r="SDE15" s="476"/>
      <c r="SDF15" s="476"/>
      <c r="SDG15" s="476"/>
      <c r="SDH15" s="476"/>
      <c r="SDI15" s="476"/>
      <c r="SDJ15" s="476"/>
      <c r="SDK15" s="477"/>
      <c r="SDL15" s="477"/>
      <c r="SDM15" s="463"/>
      <c r="SDN15" s="475"/>
      <c r="SDO15" s="476"/>
      <c r="SDP15" s="476"/>
      <c r="SDQ15" s="476"/>
      <c r="SDR15" s="476"/>
      <c r="SDS15" s="476"/>
      <c r="SDT15" s="476"/>
      <c r="SDU15" s="476"/>
      <c r="SDV15" s="476"/>
      <c r="SDW15" s="476"/>
      <c r="SDX15" s="476"/>
      <c r="SDY15" s="476"/>
      <c r="SDZ15" s="476"/>
      <c r="SEA15" s="477"/>
      <c r="SEB15" s="477"/>
      <c r="SEC15" s="463"/>
      <c r="SED15" s="475"/>
      <c r="SEE15" s="476"/>
      <c r="SEF15" s="476"/>
      <c r="SEG15" s="476"/>
      <c r="SEH15" s="476"/>
      <c r="SEI15" s="476"/>
      <c r="SEJ15" s="476"/>
      <c r="SEK15" s="476"/>
      <c r="SEL15" s="476"/>
      <c r="SEM15" s="476"/>
      <c r="SEN15" s="476"/>
      <c r="SEO15" s="476"/>
      <c r="SEP15" s="476"/>
      <c r="SEQ15" s="477"/>
      <c r="SER15" s="477"/>
      <c r="SES15" s="463"/>
      <c r="SET15" s="475"/>
      <c r="SEU15" s="476"/>
      <c r="SEV15" s="476"/>
      <c r="SEW15" s="476"/>
      <c r="SEX15" s="476"/>
      <c r="SEY15" s="476"/>
      <c r="SEZ15" s="476"/>
      <c r="SFA15" s="476"/>
      <c r="SFB15" s="476"/>
      <c r="SFC15" s="476"/>
      <c r="SFD15" s="476"/>
      <c r="SFE15" s="476"/>
      <c r="SFF15" s="476"/>
      <c r="SFG15" s="477"/>
      <c r="SFH15" s="477"/>
      <c r="SFI15" s="463"/>
      <c r="SFJ15" s="475"/>
      <c r="SFK15" s="476"/>
      <c r="SFL15" s="476"/>
      <c r="SFM15" s="476"/>
      <c r="SFN15" s="476"/>
      <c r="SFO15" s="476"/>
      <c r="SFP15" s="476"/>
      <c r="SFQ15" s="476"/>
      <c r="SFR15" s="476"/>
      <c r="SFS15" s="476"/>
      <c r="SFT15" s="476"/>
      <c r="SFU15" s="476"/>
      <c r="SFV15" s="476"/>
      <c r="SFW15" s="477"/>
      <c r="SFX15" s="477"/>
      <c r="SFY15" s="463"/>
      <c r="SFZ15" s="475"/>
      <c r="SGA15" s="476"/>
      <c r="SGB15" s="476"/>
      <c r="SGC15" s="476"/>
      <c r="SGD15" s="476"/>
      <c r="SGE15" s="476"/>
      <c r="SGF15" s="476"/>
      <c r="SGG15" s="476"/>
      <c r="SGH15" s="476"/>
      <c r="SGI15" s="476"/>
      <c r="SGJ15" s="476"/>
      <c r="SGK15" s="476"/>
      <c r="SGL15" s="476"/>
      <c r="SGM15" s="477"/>
      <c r="SGN15" s="477"/>
      <c r="SGO15" s="463"/>
      <c r="SGP15" s="475"/>
      <c r="SGQ15" s="476"/>
      <c r="SGR15" s="476"/>
      <c r="SGS15" s="476"/>
      <c r="SGT15" s="476"/>
      <c r="SGU15" s="476"/>
      <c r="SGV15" s="476"/>
      <c r="SGW15" s="476"/>
      <c r="SGX15" s="476"/>
      <c r="SGY15" s="476"/>
      <c r="SGZ15" s="476"/>
      <c r="SHA15" s="476"/>
      <c r="SHB15" s="476"/>
      <c r="SHC15" s="477"/>
      <c r="SHD15" s="477"/>
      <c r="SHE15" s="463"/>
      <c r="SHF15" s="475"/>
      <c r="SHG15" s="476"/>
      <c r="SHH15" s="476"/>
      <c r="SHI15" s="476"/>
      <c r="SHJ15" s="476"/>
      <c r="SHK15" s="476"/>
      <c r="SHL15" s="476"/>
      <c r="SHM15" s="476"/>
      <c r="SHN15" s="476"/>
      <c r="SHO15" s="476"/>
      <c r="SHP15" s="476"/>
      <c r="SHQ15" s="476"/>
      <c r="SHR15" s="476"/>
      <c r="SHS15" s="477"/>
      <c r="SHT15" s="477"/>
      <c r="SHU15" s="463"/>
      <c r="SHV15" s="475"/>
      <c r="SHW15" s="476"/>
      <c r="SHX15" s="476"/>
      <c r="SHY15" s="476"/>
      <c r="SHZ15" s="476"/>
      <c r="SIA15" s="476"/>
      <c r="SIB15" s="476"/>
      <c r="SIC15" s="476"/>
      <c r="SID15" s="476"/>
      <c r="SIE15" s="476"/>
      <c r="SIF15" s="476"/>
      <c r="SIG15" s="476"/>
      <c r="SIH15" s="476"/>
      <c r="SII15" s="477"/>
      <c r="SIJ15" s="477"/>
      <c r="SIK15" s="463"/>
      <c r="SIL15" s="475"/>
      <c r="SIM15" s="476"/>
      <c r="SIN15" s="476"/>
      <c r="SIO15" s="476"/>
      <c r="SIP15" s="476"/>
      <c r="SIQ15" s="476"/>
      <c r="SIR15" s="476"/>
      <c r="SIS15" s="476"/>
      <c r="SIT15" s="476"/>
      <c r="SIU15" s="476"/>
      <c r="SIV15" s="476"/>
      <c r="SIW15" s="476"/>
      <c r="SIX15" s="476"/>
      <c r="SIY15" s="477"/>
      <c r="SIZ15" s="477"/>
      <c r="SJA15" s="463"/>
      <c r="SJB15" s="475"/>
      <c r="SJC15" s="476"/>
      <c r="SJD15" s="476"/>
      <c r="SJE15" s="476"/>
      <c r="SJF15" s="476"/>
      <c r="SJG15" s="476"/>
      <c r="SJH15" s="476"/>
      <c r="SJI15" s="476"/>
      <c r="SJJ15" s="476"/>
      <c r="SJK15" s="476"/>
      <c r="SJL15" s="476"/>
      <c r="SJM15" s="476"/>
      <c r="SJN15" s="476"/>
      <c r="SJO15" s="477"/>
      <c r="SJP15" s="477"/>
      <c r="SJQ15" s="463"/>
      <c r="SJR15" s="475"/>
      <c r="SJS15" s="476"/>
      <c r="SJT15" s="476"/>
      <c r="SJU15" s="476"/>
      <c r="SJV15" s="476"/>
      <c r="SJW15" s="476"/>
      <c r="SJX15" s="476"/>
      <c r="SJY15" s="476"/>
      <c r="SJZ15" s="476"/>
      <c r="SKA15" s="476"/>
      <c r="SKB15" s="476"/>
      <c r="SKC15" s="476"/>
      <c r="SKD15" s="476"/>
      <c r="SKE15" s="477"/>
      <c r="SKF15" s="477"/>
      <c r="SKG15" s="463"/>
      <c r="SKH15" s="475"/>
      <c r="SKI15" s="476"/>
      <c r="SKJ15" s="476"/>
      <c r="SKK15" s="476"/>
      <c r="SKL15" s="476"/>
      <c r="SKM15" s="476"/>
      <c r="SKN15" s="476"/>
      <c r="SKO15" s="476"/>
      <c r="SKP15" s="476"/>
      <c r="SKQ15" s="476"/>
      <c r="SKR15" s="476"/>
      <c r="SKS15" s="476"/>
      <c r="SKT15" s="476"/>
      <c r="SKU15" s="477"/>
      <c r="SKV15" s="477"/>
      <c r="SKW15" s="463"/>
      <c r="SKX15" s="475"/>
      <c r="SKY15" s="476"/>
      <c r="SKZ15" s="476"/>
      <c r="SLA15" s="476"/>
      <c r="SLB15" s="476"/>
      <c r="SLC15" s="476"/>
      <c r="SLD15" s="476"/>
      <c r="SLE15" s="476"/>
      <c r="SLF15" s="476"/>
      <c r="SLG15" s="476"/>
      <c r="SLH15" s="476"/>
      <c r="SLI15" s="476"/>
      <c r="SLJ15" s="476"/>
      <c r="SLK15" s="477"/>
      <c r="SLL15" s="477"/>
      <c r="SLM15" s="463"/>
      <c r="SLN15" s="475"/>
      <c r="SLO15" s="476"/>
      <c r="SLP15" s="476"/>
      <c r="SLQ15" s="476"/>
      <c r="SLR15" s="476"/>
      <c r="SLS15" s="476"/>
      <c r="SLT15" s="476"/>
      <c r="SLU15" s="476"/>
      <c r="SLV15" s="476"/>
      <c r="SLW15" s="476"/>
      <c r="SLX15" s="476"/>
      <c r="SLY15" s="476"/>
      <c r="SLZ15" s="476"/>
      <c r="SMA15" s="477"/>
      <c r="SMB15" s="477"/>
      <c r="SMC15" s="463"/>
      <c r="SMD15" s="475"/>
      <c r="SME15" s="476"/>
      <c r="SMF15" s="476"/>
      <c r="SMG15" s="476"/>
      <c r="SMH15" s="476"/>
      <c r="SMI15" s="476"/>
      <c r="SMJ15" s="476"/>
      <c r="SMK15" s="476"/>
      <c r="SML15" s="476"/>
      <c r="SMM15" s="476"/>
      <c r="SMN15" s="476"/>
      <c r="SMO15" s="476"/>
      <c r="SMP15" s="476"/>
      <c r="SMQ15" s="477"/>
      <c r="SMR15" s="477"/>
      <c r="SMS15" s="463"/>
      <c r="SMT15" s="475"/>
      <c r="SMU15" s="476"/>
      <c r="SMV15" s="476"/>
      <c r="SMW15" s="476"/>
      <c r="SMX15" s="476"/>
      <c r="SMY15" s="476"/>
      <c r="SMZ15" s="476"/>
      <c r="SNA15" s="476"/>
      <c r="SNB15" s="476"/>
      <c r="SNC15" s="476"/>
      <c r="SND15" s="476"/>
      <c r="SNE15" s="476"/>
      <c r="SNF15" s="476"/>
      <c r="SNG15" s="477"/>
      <c r="SNH15" s="477"/>
      <c r="SNI15" s="463"/>
      <c r="SNJ15" s="475"/>
      <c r="SNK15" s="476"/>
      <c r="SNL15" s="476"/>
      <c r="SNM15" s="476"/>
      <c r="SNN15" s="476"/>
      <c r="SNO15" s="476"/>
      <c r="SNP15" s="476"/>
      <c r="SNQ15" s="476"/>
      <c r="SNR15" s="476"/>
      <c r="SNS15" s="476"/>
      <c r="SNT15" s="476"/>
      <c r="SNU15" s="476"/>
      <c r="SNV15" s="476"/>
      <c r="SNW15" s="477"/>
      <c r="SNX15" s="477"/>
      <c r="SNY15" s="463"/>
      <c r="SNZ15" s="475"/>
      <c r="SOA15" s="476"/>
      <c r="SOB15" s="476"/>
      <c r="SOC15" s="476"/>
      <c r="SOD15" s="476"/>
      <c r="SOE15" s="476"/>
      <c r="SOF15" s="476"/>
      <c r="SOG15" s="476"/>
      <c r="SOH15" s="476"/>
      <c r="SOI15" s="476"/>
      <c r="SOJ15" s="476"/>
      <c r="SOK15" s="476"/>
      <c r="SOL15" s="476"/>
      <c r="SOM15" s="477"/>
      <c r="SON15" s="477"/>
      <c r="SOO15" s="463"/>
      <c r="SOP15" s="475"/>
      <c r="SOQ15" s="476"/>
      <c r="SOR15" s="476"/>
      <c r="SOS15" s="476"/>
      <c r="SOT15" s="476"/>
      <c r="SOU15" s="476"/>
      <c r="SOV15" s="476"/>
      <c r="SOW15" s="476"/>
      <c r="SOX15" s="476"/>
      <c r="SOY15" s="476"/>
      <c r="SOZ15" s="476"/>
      <c r="SPA15" s="476"/>
      <c r="SPB15" s="476"/>
      <c r="SPC15" s="477"/>
      <c r="SPD15" s="477"/>
      <c r="SPE15" s="463"/>
      <c r="SPF15" s="475"/>
      <c r="SPG15" s="476"/>
      <c r="SPH15" s="476"/>
      <c r="SPI15" s="476"/>
      <c r="SPJ15" s="476"/>
      <c r="SPK15" s="476"/>
      <c r="SPL15" s="476"/>
      <c r="SPM15" s="476"/>
      <c r="SPN15" s="476"/>
      <c r="SPO15" s="476"/>
      <c r="SPP15" s="476"/>
      <c r="SPQ15" s="476"/>
      <c r="SPR15" s="476"/>
      <c r="SPS15" s="477"/>
      <c r="SPT15" s="477"/>
      <c r="SPU15" s="463"/>
      <c r="SPV15" s="475"/>
      <c r="SPW15" s="476"/>
      <c r="SPX15" s="476"/>
      <c r="SPY15" s="476"/>
      <c r="SPZ15" s="476"/>
      <c r="SQA15" s="476"/>
      <c r="SQB15" s="476"/>
      <c r="SQC15" s="476"/>
      <c r="SQD15" s="476"/>
      <c r="SQE15" s="476"/>
      <c r="SQF15" s="476"/>
      <c r="SQG15" s="476"/>
      <c r="SQH15" s="476"/>
      <c r="SQI15" s="477"/>
      <c r="SQJ15" s="477"/>
      <c r="SQK15" s="463"/>
      <c r="SQL15" s="475"/>
      <c r="SQM15" s="476"/>
      <c r="SQN15" s="476"/>
      <c r="SQO15" s="476"/>
      <c r="SQP15" s="476"/>
      <c r="SQQ15" s="476"/>
      <c r="SQR15" s="476"/>
      <c r="SQS15" s="476"/>
      <c r="SQT15" s="476"/>
      <c r="SQU15" s="476"/>
      <c r="SQV15" s="476"/>
      <c r="SQW15" s="476"/>
      <c r="SQX15" s="476"/>
      <c r="SQY15" s="477"/>
      <c r="SQZ15" s="477"/>
      <c r="SRA15" s="463"/>
      <c r="SRB15" s="475"/>
      <c r="SRC15" s="476"/>
      <c r="SRD15" s="476"/>
      <c r="SRE15" s="476"/>
      <c r="SRF15" s="476"/>
      <c r="SRG15" s="476"/>
      <c r="SRH15" s="476"/>
      <c r="SRI15" s="476"/>
      <c r="SRJ15" s="476"/>
      <c r="SRK15" s="476"/>
      <c r="SRL15" s="476"/>
      <c r="SRM15" s="476"/>
      <c r="SRN15" s="476"/>
      <c r="SRO15" s="477"/>
      <c r="SRP15" s="477"/>
      <c r="SRQ15" s="463"/>
      <c r="SRR15" s="475"/>
      <c r="SRS15" s="476"/>
      <c r="SRT15" s="476"/>
      <c r="SRU15" s="476"/>
      <c r="SRV15" s="476"/>
      <c r="SRW15" s="476"/>
      <c r="SRX15" s="476"/>
      <c r="SRY15" s="476"/>
      <c r="SRZ15" s="476"/>
      <c r="SSA15" s="476"/>
      <c r="SSB15" s="476"/>
      <c r="SSC15" s="476"/>
      <c r="SSD15" s="476"/>
      <c r="SSE15" s="477"/>
      <c r="SSF15" s="477"/>
      <c r="SSG15" s="463"/>
      <c r="SSH15" s="475"/>
      <c r="SSI15" s="476"/>
      <c r="SSJ15" s="476"/>
      <c r="SSK15" s="476"/>
      <c r="SSL15" s="476"/>
      <c r="SSM15" s="476"/>
      <c r="SSN15" s="476"/>
      <c r="SSO15" s="476"/>
      <c r="SSP15" s="476"/>
      <c r="SSQ15" s="476"/>
      <c r="SSR15" s="476"/>
      <c r="SSS15" s="476"/>
      <c r="SST15" s="476"/>
      <c r="SSU15" s="477"/>
      <c r="SSV15" s="477"/>
      <c r="SSW15" s="463"/>
      <c r="SSX15" s="475"/>
      <c r="SSY15" s="476"/>
      <c r="SSZ15" s="476"/>
      <c r="STA15" s="476"/>
      <c r="STB15" s="476"/>
      <c r="STC15" s="476"/>
      <c r="STD15" s="476"/>
      <c r="STE15" s="476"/>
      <c r="STF15" s="476"/>
      <c r="STG15" s="476"/>
      <c r="STH15" s="476"/>
      <c r="STI15" s="476"/>
      <c r="STJ15" s="476"/>
      <c r="STK15" s="477"/>
      <c r="STL15" s="477"/>
      <c r="STM15" s="463"/>
      <c r="STN15" s="475"/>
      <c r="STO15" s="476"/>
      <c r="STP15" s="476"/>
      <c r="STQ15" s="476"/>
      <c r="STR15" s="476"/>
      <c r="STS15" s="476"/>
      <c r="STT15" s="476"/>
      <c r="STU15" s="476"/>
      <c r="STV15" s="476"/>
      <c r="STW15" s="476"/>
      <c r="STX15" s="476"/>
      <c r="STY15" s="476"/>
      <c r="STZ15" s="476"/>
      <c r="SUA15" s="477"/>
      <c r="SUB15" s="477"/>
      <c r="SUC15" s="463"/>
      <c r="SUD15" s="475"/>
      <c r="SUE15" s="476"/>
      <c r="SUF15" s="476"/>
      <c r="SUG15" s="476"/>
      <c r="SUH15" s="476"/>
      <c r="SUI15" s="476"/>
      <c r="SUJ15" s="476"/>
      <c r="SUK15" s="476"/>
      <c r="SUL15" s="476"/>
      <c r="SUM15" s="476"/>
      <c r="SUN15" s="476"/>
      <c r="SUO15" s="476"/>
      <c r="SUP15" s="476"/>
      <c r="SUQ15" s="477"/>
      <c r="SUR15" s="477"/>
      <c r="SUS15" s="463"/>
      <c r="SUT15" s="475"/>
      <c r="SUU15" s="476"/>
      <c r="SUV15" s="476"/>
      <c r="SUW15" s="476"/>
      <c r="SUX15" s="476"/>
      <c r="SUY15" s="476"/>
      <c r="SUZ15" s="476"/>
      <c r="SVA15" s="476"/>
      <c r="SVB15" s="476"/>
      <c r="SVC15" s="476"/>
      <c r="SVD15" s="476"/>
      <c r="SVE15" s="476"/>
      <c r="SVF15" s="476"/>
      <c r="SVG15" s="477"/>
      <c r="SVH15" s="477"/>
      <c r="SVI15" s="463"/>
      <c r="SVJ15" s="475"/>
      <c r="SVK15" s="476"/>
      <c r="SVL15" s="476"/>
      <c r="SVM15" s="476"/>
      <c r="SVN15" s="476"/>
      <c r="SVO15" s="476"/>
      <c r="SVP15" s="476"/>
      <c r="SVQ15" s="476"/>
      <c r="SVR15" s="476"/>
      <c r="SVS15" s="476"/>
      <c r="SVT15" s="476"/>
      <c r="SVU15" s="476"/>
      <c r="SVV15" s="476"/>
      <c r="SVW15" s="477"/>
      <c r="SVX15" s="477"/>
      <c r="SVY15" s="463"/>
      <c r="SVZ15" s="475"/>
      <c r="SWA15" s="476"/>
      <c r="SWB15" s="476"/>
      <c r="SWC15" s="476"/>
      <c r="SWD15" s="476"/>
      <c r="SWE15" s="476"/>
      <c r="SWF15" s="476"/>
      <c r="SWG15" s="476"/>
      <c r="SWH15" s="476"/>
      <c r="SWI15" s="476"/>
      <c r="SWJ15" s="476"/>
      <c r="SWK15" s="476"/>
      <c r="SWL15" s="476"/>
      <c r="SWM15" s="477"/>
      <c r="SWN15" s="477"/>
      <c r="SWO15" s="463"/>
      <c r="SWP15" s="475"/>
      <c r="SWQ15" s="476"/>
      <c r="SWR15" s="476"/>
      <c r="SWS15" s="476"/>
      <c r="SWT15" s="476"/>
      <c r="SWU15" s="476"/>
      <c r="SWV15" s="476"/>
      <c r="SWW15" s="476"/>
      <c r="SWX15" s="476"/>
      <c r="SWY15" s="476"/>
      <c r="SWZ15" s="476"/>
      <c r="SXA15" s="476"/>
      <c r="SXB15" s="476"/>
      <c r="SXC15" s="477"/>
      <c r="SXD15" s="477"/>
      <c r="SXE15" s="463"/>
      <c r="SXF15" s="475"/>
      <c r="SXG15" s="476"/>
      <c r="SXH15" s="476"/>
      <c r="SXI15" s="476"/>
      <c r="SXJ15" s="476"/>
      <c r="SXK15" s="476"/>
      <c r="SXL15" s="476"/>
      <c r="SXM15" s="476"/>
      <c r="SXN15" s="476"/>
      <c r="SXO15" s="476"/>
      <c r="SXP15" s="476"/>
      <c r="SXQ15" s="476"/>
      <c r="SXR15" s="476"/>
      <c r="SXS15" s="477"/>
      <c r="SXT15" s="477"/>
      <c r="SXU15" s="463"/>
      <c r="SXV15" s="475"/>
      <c r="SXW15" s="476"/>
      <c r="SXX15" s="476"/>
      <c r="SXY15" s="476"/>
      <c r="SXZ15" s="476"/>
      <c r="SYA15" s="476"/>
      <c r="SYB15" s="476"/>
      <c r="SYC15" s="476"/>
      <c r="SYD15" s="476"/>
      <c r="SYE15" s="476"/>
      <c r="SYF15" s="476"/>
      <c r="SYG15" s="476"/>
      <c r="SYH15" s="476"/>
      <c r="SYI15" s="477"/>
      <c r="SYJ15" s="477"/>
      <c r="SYK15" s="463"/>
      <c r="SYL15" s="475"/>
      <c r="SYM15" s="476"/>
      <c r="SYN15" s="476"/>
      <c r="SYO15" s="476"/>
      <c r="SYP15" s="476"/>
      <c r="SYQ15" s="476"/>
      <c r="SYR15" s="476"/>
      <c r="SYS15" s="476"/>
      <c r="SYT15" s="476"/>
      <c r="SYU15" s="476"/>
      <c r="SYV15" s="476"/>
      <c r="SYW15" s="476"/>
      <c r="SYX15" s="476"/>
      <c r="SYY15" s="477"/>
      <c r="SYZ15" s="477"/>
      <c r="SZA15" s="463"/>
      <c r="SZB15" s="475"/>
      <c r="SZC15" s="476"/>
      <c r="SZD15" s="476"/>
      <c r="SZE15" s="476"/>
      <c r="SZF15" s="476"/>
      <c r="SZG15" s="476"/>
      <c r="SZH15" s="476"/>
      <c r="SZI15" s="476"/>
      <c r="SZJ15" s="476"/>
      <c r="SZK15" s="476"/>
      <c r="SZL15" s="476"/>
      <c r="SZM15" s="476"/>
      <c r="SZN15" s="476"/>
      <c r="SZO15" s="477"/>
      <c r="SZP15" s="477"/>
      <c r="SZQ15" s="463"/>
      <c r="SZR15" s="475"/>
      <c r="SZS15" s="476"/>
      <c r="SZT15" s="476"/>
      <c r="SZU15" s="476"/>
      <c r="SZV15" s="476"/>
      <c r="SZW15" s="476"/>
      <c r="SZX15" s="476"/>
      <c r="SZY15" s="476"/>
      <c r="SZZ15" s="476"/>
      <c r="TAA15" s="476"/>
      <c r="TAB15" s="476"/>
      <c r="TAC15" s="476"/>
      <c r="TAD15" s="476"/>
      <c r="TAE15" s="477"/>
      <c r="TAF15" s="477"/>
      <c r="TAG15" s="463"/>
      <c r="TAH15" s="475"/>
      <c r="TAI15" s="476"/>
      <c r="TAJ15" s="476"/>
      <c r="TAK15" s="476"/>
      <c r="TAL15" s="476"/>
      <c r="TAM15" s="476"/>
      <c r="TAN15" s="476"/>
      <c r="TAO15" s="476"/>
      <c r="TAP15" s="476"/>
      <c r="TAQ15" s="476"/>
      <c r="TAR15" s="476"/>
      <c r="TAS15" s="476"/>
      <c r="TAT15" s="476"/>
      <c r="TAU15" s="477"/>
      <c r="TAV15" s="477"/>
      <c r="TAW15" s="463"/>
      <c r="TAX15" s="475"/>
      <c r="TAY15" s="476"/>
      <c r="TAZ15" s="476"/>
      <c r="TBA15" s="476"/>
      <c r="TBB15" s="476"/>
      <c r="TBC15" s="476"/>
      <c r="TBD15" s="476"/>
      <c r="TBE15" s="476"/>
      <c r="TBF15" s="476"/>
      <c r="TBG15" s="476"/>
      <c r="TBH15" s="476"/>
      <c r="TBI15" s="476"/>
      <c r="TBJ15" s="476"/>
      <c r="TBK15" s="477"/>
      <c r="TBL15" s="477"/>
      <c r="TBM15" s="463"/>
      <c r="TBN15" s="475"/>
      <c r="TBO15" s="476"/>
      <c r="TBP15" s="476"/>
      <c r="TBQ15" s="476"/>
      <c r="TBR15" s="476"/>
      <c r="TBS15" s="476"/>
      <c r="TBT15" s="476"/>
      <c r="TBU15" s="476"/>
      <c r="TBV15" s="476"/>
      <c r="TBW15" s="476"/>
      <c r="TBX15" s="476"/>
      <c r="TBY15" s="476"/>
      <c r="TBZ15" s="476"/>
      <c r="TCA15" s="477"/>
      <c r="TCB15" s="477"/>
      <c r="TCC15" s="463"/>
      <c r="TCD15" s="475"/>
      <c r="TCE15" s="476"/>
      <c r="TCF15" s="476"/>
      <c r="TCG15" s="476"/>
      <c r="TCH15" s="476"/>
      <c r="TCI15" s="476"/>
      <c r="TCJ15" s="476"/>
      <c r="TCK15" s="476"/>
      <c r="TCL15" s="476"/>
      <c r="TCM15" s="476"/>
      <c r="TCN15" s="476"/>
      <c r="TCO15" s="476"/>
      <c r="TCP15" s="476"/>
      <c r="TCQ15" s="477"/>
      <c r="TCR15" s="477"/>
      <c r="TCS15" s="463"/>
      <c r="TCT15" s="475"/>
      <c r="TCU15" s="476"/>
      <c r="TCV15" s="476"/>
      <c r="TCW15" s="476"/>
      <c r="TCX15" s="476"/>
      <c r="TCY15" s="476"/>
      <c r="TCZ15" s="476"/>
      <c r="TDA15" s="476"/>
      <c r="TDB15" s="476"/>
      <c r="TDC15" s="476"/>
      <c r="TDD15" s="476"/>
      <c r="TDE15" s="476"/>
      <c r="TDF15" s="476"/>
      <c r="TDG15" s="477"/>
      <c r="TDH15" s="477"/>
      <c r="TDI15" s="463"/>
      <c r="TDJ15" s="475"/>
      <c r="TDK15" s="476"/>
      <c r="TDL15" s="476"/>
      <c r="TDM15" s="476"/>
      <c r="TDN15" s="476"/>
      <c r="TDO15" s="476"/>
      <c r="TDP15" s="476"/>
      <c r="TDQ15" s="476"/>
      <c r="TDR15" s="476"/>
      <c r="TDS15" s="476"/>
      <c r="TDT15" s="476"/>
      <c r="TDU15" s="476"/>
      <c r="TDV15" s="476"/>
      <c r="TDW15" s="477"/>
      <c r="TDX15" s="477"/>
      <c r="TDY15" s="463"/>
      <c r="TDZ15" s="475"/>
      <c r="TEA15" s="476"/>
      <c r="TEB15" s="476"/>
      <c r="TEC15" s="476"/>
      <c r="TED15" s="476"/>
      <c r="TEE15" s="476"/>
      <c r="TEF15" s="476"/>
      <c r="TEG15" s="476"/>
      <c r="TEH15" s="476"/>
      <c r="TEI15" s="476"/>
      <c r="TEJ15" s="476"/>
      <c r="TEK15" s="476"/>
      <c r="TEL15" s="476"/>
      <c r="TEM15" s="477"/>
      <c r="TEN15" s="477"/>
      <c r="TEO15" s="463"/>
      <c r="TEP15" s="475"/>
      <c r="TEQ15" s="476"/>
      <c r="TER15" s="476"/>
      <c r="TES15" s="476"/>
      <c r="TET15" s="476"/>
      <c r="TEU15" s="476"/>
      <c r="TEV15" s="476"/>
      <c r="TEW15" s="476"/>
      <c r="TEX15" s="476"/>
      <c r="TEY15" s="476"/>
      <c r="TEZ15" s="476"/>
      <c r="TFA15" s="476"/>
      <c r="TFB15" s="476"/>
      <c r="TFC15" s="477"/>
      <c r="TFD15" s="477"/>
      <c r="TFE15" s="463"/>
      <c r="TFF15" s="475"/>
      <c r="TFG15" s="476"/>
      <c r="TFH15" s="476"/>
      <c r="TFI15" s="476"/>
      <c r="TFJ15" s="476"/>
      <c r="TFK15" s="476"/>
      <c r="TFL15" s="476"/>
      <c r="TFM15" s="476"/>
      <c r="TFN15" s="476"/>
      <c r="TFO15" s="476"/>
      <c r="TFP15" s="476"/>
      <c r="TFQ15" s="476"/>
      <c r="TFR15" s="476"/>
      <c r="TFS15" s="477"/>
      <c r="TFT15" s="477"/>
      <c r="TFU15" s="463"/>
      <c r="TFV15" s="475"/>
      <c r="TFW15" s="476"/>
      <c r="TFX15" s="476"/>
      <c r="TFY15" s="476"/>
      <c r="TFZ15" s="476"/>
      <c r="TGA15" s="476"/>
      <c r="TGB15" s="476"/>
      <c r="TGC15" s="476"/>
      <c r="TGD15" s="476"/>
      <c r="TGE15" s="476"/>
      <c r="TGF15" s="476"/>
      <c r="TGG15" s="476"/>
      <c r="TGH15" s="476"/>
      <c r="TGI15" s="477"/>
      <c r="TGJ15" s="477"/>
      <c r="TGK15" s="463"/>
      <c r="TGL15" s="475"/>
      <c r="TGM15" s="476"/>
      <c r="TGN15" s="476"/>
      <c r="TGO15" s="476"/>
      <c r="TGP15" s="476"/>
      <c r="TGQ15" s="476"/>
      <c r="TGR15" s="476"/>
      <c r="TGS15" s="476"/>
      <c r="TGT15" s="476"/>
      <c r="TGU15" s="476"/>
      <c r="TGV15" s="476"/>
      <c r="TGW15" s="476"/>
      <c r="TGX15" s="476"/>
      <c r="TGY15" s="477"/>
      <c r="TGZ15" s="477"/>
      <c r="THA15" s="463"/>
      <c r="THB15" s="475"/>
      <c r="THC15" s="476"/>
      <c r="THD15" s="476"/>
      <c r="THE15" s="476"/>
      <c r="THF15" s="476"/>
      <c r="THG15" s="476"/>
      <c r="THH15" s="476"/>
      <c r="THI15" s="476"/>
      <c r="THJ15" s="476"/>
      <c r="THK15" s="476"/>
      <c r="THL15" s="476"/>
      <c r="THM15" s="476"/>
      <c r="THN15" s="476"/>
      <c r="THO15" s="477"/>
      <c r="THP15" s="477"/>
      <c r="THQ15" s="463"/>
      <c r="THR15" s="475"/>
      <c r="THS15" s="476"/>
      <c r="THT15" s="476"/>
      <c r="THU15" s="476"/>
      <c r="THV15" s="476"/>
      <c r="THW15" s="476"/>
      <c r="THX15" s="476"/>
      <c r="THY15" s="476"/>
      <c r="THZ15" s="476"/>
      <c r="TIA15" s="476"/>
      <c r="TIB15" s="476"/>
      <c r="TIC15" s="476"/>
      <c r="TID15" s="476"/>
      <c r="TIE15" s="477"/>
      <c r="TIF15" s="477"/>
      <c r="TIG15" s="463"/>
      <c r="TIH15" s="475"/>
      <c r="TII15" s="476"/>
      <c r="TIJ15" s="476"/>
      <c r="TIK15" s="476"/>
      <c r="TIL15" s="476"/>
      <c r="TIM15" s="476"/>
      <c r="TIN15" s="476"/>
      <c r="TIO15" s="476"/>
      <c r="TIP15" s="476"/>
      <c r="TIQ15" s="476"/>
      <c r="TIR15" s="476"/>
      <c r="TIS15" s="476"/>
      <c r="TIT15" s="476"/>
      <c r="TIU15" s="477"/>
      <c r="TIV15" s="477"/>
      <c r="TIW15" s="463"/>
      <c r="TIX15" s="475"/>
      <c r="TIY15" s="476"/>
      <c r="TIZ15" s="476"/>
      <c r="TJA15" s="476"/>
      <c r="TJB15" s="476"/>
      <c r="TJC15" s="476"/>
      <c r="TJD15" s="476"/>
      <c r="TJE15" s="476"/>
      <c r="TJF15" s="476"/>
      <c r="TJG15" s="476"/>
      <c r="TJH15" s="476"/>
      <c r="TJI15" s="476"/>
      <c r="TJJ15" s="476"/>
      <c r="TJK15" s="477"/>
      <c r="TJL15" s="477"/>
      <c r="TJM15" s="463"/>
      <c r="TJN15" s="475"/>
      <c r="TJO15" s="476"/>
      <c r="TJP15" s="476"/>
      <c r="TJQ15" s="476"/>
      <c r="TJR15" s="476"/>
      <c r="TJS15" s="476"/>
      <c r="TJT15" s="476"/>
      <c r="TJU15" s="476"/>
      <c r="TJV15" s="476"/>
      <c r="TJW15" s="476"/>
      <c r="TJX15" s="476"/>
      <c r="TJY15" s="476"/>
      <c r="TJZ15" s="476"/>
      <c r="TKA15" s="477"/>
      <c r="TKB15" s="477"/>
      <c r="TKC15" s="463"/>
      <c r="TKD15" s="475"/>
      <c r="TKE15" s="476"/>
      <c r="TKF15" s="476"/>
      <c r="TKG15" s="476"/>
      <c r="TKH15" s="476"/>
      <c r="TKI15" s="476"/>
      <c r="TKJ15" s="476"/>
      <c r="TKK15" s="476"/>
      <c r="TKL15" s="476"/>
      <c r="TKM15" s="476"/>
      <c r="TKN15" s="476"/>
      <c r="TKO15" s="476"/>
      <c r="TKP15" s="476"/>
      <c r="TKQ15" s="477"/>
      <c r="TKR15" s="477"/>
      <c r="TKS15" s="463"/>
      <c r="TKT15" s="475"/>
      <c r="TKU15" s="476"/>
      <c r="TKV15" s="476"/>
      <c r="TKW15" s="476"/>
      <c r="TKX15" s="476"/>
      <c r="TKY15" s="476"/>
      <c r="TKZ15" s="476"/>
      <c r="TLA15" s="476"/>
      <c r="TLB15" s="476"/>
      <c r="TLC15" s="476"/>
      <c r="TLD15" s="476"/>
      <c r="TLE15" s="476"/>
      <c r="TLF15" s="476"/>
      <c r="TLG15" s="477"/>
      <c r="TLH15" s="477"/>
      <c r="TLI15" s="463"/>
      <c r="TLJ15" s="475"/>
      <c r="TLK15" s="476"/>
      <c r="TLL15" s="476"/>
      <c r="TLM15" s="476"/>
      <c r="TLN15" s="476"/>
      <c r="TLO15" s="476"/>
      <c r="TLP15" s="476"/>
      <c r="TLQ15" s="476"/>
      <c r="TLR15" s="476"/>
      <c r="TLS15" s="476"/>
      <c r="TLT15" s="476"/>
      <c r="TLU15" s="476"/>
      <c r="TLV15" s="476"/>
      <c r="TLW15" s="477"/>
      <c r="TLX15" s="477"/>
      <c r="TLY15" s="463"/>
      <c r="TLZ15" s="475"/>
      <c r="TMA15" s="476"/>
      <c r="TMB15" s="476"/>
      <c r="TMC15" s="476"/>
      <c r="TMD15" s="476"/>
      <c r="TME15" s="476"/>
      <c r="TMF15" s="476"/>
      <c r="TMG15" s="476"/>
      <c r="TMH15" s="476"/>
      <c r="TMI15" s="476"/>
      <c r="TMJ15" s="476"/>
      <c r="TMK15" s="476"/>
      <c r="TML15" s="476"/>
      <c r="TMM15" s="477"/>
      <c r="TMN15" s="477"/>
      <c r="TMO15" s="463"/>
      <c r="TMP15" s="475"/>
      <c r="TMQ15" s="476"/>
      <c r="TMR15" s="476"/>
      <c r="TMS15" s="476"/>
      <c r="TMT15" s="476"/>
      <c r="TMU15" s="476"/>
      <c r="TMV15" s="476"/>
      <c r="TMW15" s="476"/>
      <c r="TMX15" s="476"/>
      <c r="TMY15" s="476"/>
      <c r="TMZ15" s="476"/>
      <c r="TNA15" s="476"/>
      <c r="TNB15" s="476"/>
      <c r="TNC15" s="477"/>
      <c r="TND15" s="477"/>
      <c r="TNE15" s="463"/>
      <c r="TNF15" s="475"/>
      <c r="TNG15" s="476"/>
      <c r="TNH15" s="476"/>
      <c r="TNI15" s="476"/>
      <c r="TNJ15" s="476"/>
      <c r="TNK15" s="476"/>
      <c r="TNL15" s="476"/>
      <c r="TNM15" s="476"/>
      <c r="TNN15" s="476"/>
      <c r="TNO15" s="476"/>
      <c r="TNP15" s="476"/>
      <c r="TNQ15" s="476"/>
      <c r="TNR15" s="476"/>
      <c r="TNS15" s="477"/>
      <c r="TNT15" s="477"/>
      <c r="TNU15" s="463"/>
      <c r="TNV15" s="475"/>
      <c r="TNW15" s="476"/>
      <c r="TNX15" s="476"/>
      <c r="TNY15" s="476"/>
      <c r="TNZ15" s="476"/>
      <c r="TOA15" s="476"/>
      <c r="TOB15" s="476"/>
      <c r="TOC15" s="476"/>
      <c r="TOD15" s="476"/>
      <c r="TOE15" s="476"/>
      <c r="TOF15" s="476"/>
      <c r="TOG15" s="476"/>
      <c r="TOH15" s="476"/>
      <c r="TOI15" s="477"/>
      <c r="TOJ15" s="477"/>
      <c r="TOK15" s="463"/>
      <c r="TOL15" s="475"/>
      <c r="TOM15" s="476"/>
      <c r="TON15" s="476"/>
      <c r="TOO15" s="476"/>
      <c r="TOP15" s="476"/>
      <c r="TOQ15" s="476"/>
      <c r="TOR15" s="476"/>
      <c r="TOS15" s="476"/>
      <c r="TOT15" s="476"/>
      <c r="TOU15" s="476"/>
      <c r="TOV15" s="476"/>
      <c r="TOW15" s="476"/>
      <c r="TOX15" s="476"/>
      <c r="TOY15" s="477"/>
      <c r="TOZ15" s="477"/>
      <c r="TPA15" s="463"/>
      <c r="TPB15" s="475"/>
      <c r="TPC15" s="476"/>
      <c r="TPD15" s="476"/>
      <c r="TPE15" s="476"/>
      <c r="TPF15" s="476"/>
      <c r="TPG15" s="476"/>
      <c r="TPH15" s="476"/>
      <c r="TPI15" s="476"/>
      <c r="TPJ15" s="476"/>
      <c r="TPK15" s="476"/>
      <c r="TPL15" s="476"/>
      <c r="TPM15" s="476"/>
      <c r="TPN15" s="476"/>
      <c r="TPO15" s="477"/>
      <c r="TPP15" s="477"/>
      <c r="TPQ15" s="463"/>
      <c r="TPR15" s="475"/>
      <c r="TPS15" s="476"/>
      <c r="TPT15" s="476"/>
      <c r="TPU15" s="476"/>
      <c r="TPV15" s="476"/>
      <c r="TPW15" s="476"/>
      <c r="TPX15" s="476"/>
      <c r="TPY15" s="476"/>
      <c r="TPZ15" s="476"/>
      <c r="TQA15" s="476"/>
      <c r="TQB15" s="476"/>
      <c r="TQC15" s="476"/>
      <c r="TQD15" s="476"/>
      <c r="TQE15" s="477"/>
      <c r="TQF15" s="477"/>
      <c r="TQG15" s="463"/>
      <c r="TQH15" s="475"/>
      <c r="TQI15" s="476"/>
      <c r="TQJ15" s="476"/>
      <c r="TQK15" s="476"/>
      <c r="TQL15" s="476"/>
      <c r="TQM15" s="476"/>
      <c r="TQN15" s="476"/>
      <c r="TQO15" s="476"/>
      <c r="TQP15" s="476"/>
      <c r="TQQ15" s="476"/>
      <c r="TQR15" s="476"/>
      <c r="TQS15" s="476"/>
      <c r="TQT15" s="476"/>
      <c r="TQU15" s="477"/>
      <c r="TQV15" s="477"/>
      <c r="TQW15" s="463"/>
      <c r="TQX15" s="475"/>
      <c r="TQY15" s="476"/>
      <c r="TQZ15" s="476"/>
      <c r="TRA15" s="476"/>
      <c r="TRB15" s="476"/>
      <c r="TRC15" s="476"/>
      <c r="TRD15" s="476"/>
      <c r="TRE15" s="476"/>
      <c r="TRF15" s="476"/>
      <c r="TRG15" s="476"/>
      <c r="TRH15" s="476"/>
      <c r="TRI15" s="476"/>
      <c r="TRJ15" s="476"/>
      <c r="TRK15" s="477"/>
      <c r="TRL15" s="477"/>
      <c r="TRM15" s="463"/>
      <c r="TRN15" s="475"/>
      <c r="TRO15" s="476"/>
      <c r="TRP15" s="476"/>
      <c r="TRQ15" s="476"/>
      <c r="TRR15" s="476"/>
      <c r="TRS15" s="476"/>
      <c r="TRT15" s="476"/>
      <c r="TRU15" s="476"/>
      <c r="TRV15" s="476"/>
      <c r="TRW15" s="476"/>
      <c r="TRX15" s="476"/>
      <c r="TRY15" s="476"/>
      <c r="TRZ15" s="476"/>
      <c r="TSA15" s="477"/>
      <c r="TSB15" s="477"/>
      <c r="TSC15" s="463"/>
      <c r="TSD15" s="475"/>
      <c r="TSE15" s="476"/>
      <c r="TSF15" s="476"/>
      <c r="TSG15" s="476"/>
      <c r="TSH15" s="476"/>
      <c r="TSI15" s="476"/>
      <c r="TSJ15" s="476"/>
      <c r="TSK15" s="476"/>
      <c r="TSL15" s="476"/>
      <c r="TSM15" s="476"/>
      <c r="TSN15" s="476"/>
      <c r="TSO15" s="476"/>
      <c r="TSP15" s="476"/>
      <c r="TSQ15" s="477"/>
      <c r="TSR15" s="477"/>
      <c r="TSS15" s="463"/>
      <c r="TST15" s="475"/>
      <c r="TSU15" s="476"/>
      <c r="TSV15" s="476"/>
      <c r="TSW15" s="476"/>
      <c r="TSX15" s="476"/>
      <c r="TSY15" s="476"/>
      <c r="TSZ15" s="476"/>
      <c r="TTA15" s="476"/>
      <c r="TTB15" s="476"/>
      <c r="TTC15" s="476"/>
      <c r="TTD15" s="476"/>
      <c r="TTE15" s="476"/>
      <c r="TTF15" s="476"/>
      <c r="TTG15" s="477"/>
      <c r="TTH15" s="477"/>
      <c r="TTI15" s="463"/>
      <c r="TTJ15" s="475"/>
      <c r="TTK15" s="476"/>
      <c r="TTL15" s="476"/>
      <c r="TTM15" s="476"/>
      <c r="TTN15" s="476"/>
      <c r="TTO15" s="476"/>
      <c r="TTP15" s="476"/>
      <c r="TTQ15" s="476"/>
      <c r="TTR15" s="476"/>
      <c r="TTS15" s="476"/>
      <c r="TTT15" s="476"/>
      <c r="TTU15" s="476"/>
      <c r="TTV15" s="476"/>
      <c r="TTW15" s="477"/>
      <c r="TTX15" s="477"/>
      <c r="TTY15" s="463"/>
      <c r="TTZ15" s="475"/>
      <c r="TUA15" s="476"/>
      <c r="TUB15" s="476"/>
      <c r="TUC15" s="476"/>
      <c r="TUD15" s="476"/>
      <c r="TUE15" s="476"/>
      <c r="TUF15" s="476"/>
      <c r="TUG15" s="476"/>
      <c r="TUH15" s="476"/>
      <c r="TUI15" s="476"/>
      <c r="TUJ15" s="476"/>
      <c r="TUK15" s="476"/>
      <c r="TUL15" s="476"/>
      <c r="TUM15" s="477"/>
      <c r="TUN15" s="477"/>
      <c r="TUO15" s="463"/>
      <c r="TUP15" s="475"/>
      <c r="TUQ15" s="476"/>
      <c r="TUR15" s="476"/>
      <c r="TUS15" s="476"/>
      <c r="TUT15" s="476"/>
      <c r="TUU15" s="476"/>
      <c r="TUV15" s="476"/>
      <c r="TUW15" s="476"/>
      <c r="TUX15" s="476"/>
      <c r="TUY15" s="476"/>
      <c r="TUZ15" s="476"/>
      <c r="TVA15" s="476"/>
      <c r="TVB15" s="476"/>
      <c r="TVC15" s="477"/>
      <c r="TVD15" s="477"/>
      <c r="TVE15" s="463"/>
      <c r="TVF15" s="475"/>
      <c r="TVG15" s="476"/>
      <c r="TVH15" s="476"/>
      <c r="TVI15" s="476"/>
      <c r="TVJ15" s="476"/>
      <c r="TVK15" s="476"/>
      <c r="TVL15" s="476"/>
      <c r="TVM15" s="476"/>
      <c r="TVN15" s="476"/>
      <c r="TVO15" s="476"/>
      <c r="TVP15" s="476"/>
      <c r="TVQ15" s="476"/>
      <c r="TVR15" s="476"/>
      <c r="TVS15" s="477"/>
      <c r="TVT15" s="477"/>
      <c r="TVU15" s="463"/>
      <c r="TVV15" s="475"/>
      <c r="TVW15" s="476"/>
      <c r="TVX15" s="476"/>
      <c r="TVY15" s="476"/>
      <c r="TVZ15" s="476"/>
      <c r="TWA15" s="476"/>
      <c r="TWB15" s="476"/>
      <c r="TWC15" s="476"/>
      <c r="TWD15" s="476"/>
      <c r="TWE15" s="476"/>
      <c r="TWF15" s="476"/>
      <c r="TWG15" s="476"/>
      <c r="TWH15" s="476"/>
      <c r="TWI15" s="477"/>
      <c r="TWJ15" s="477"/>
      <c r="TWK15" s="463"/>
      <c r="TWL15" s="475"/>
      <c r="TWM15" s="476"/>
      <c r="TWN15" s="476"/>
      <c r="TWO15" s="476"/>
      <c r="TWP15" s="476"/>
      <c r="TWQ15" s="476"/>
      <c r="TWR15" s="476"/>
      <c r="TWS15" s="476"/>
      <c r="TWT15" s="476"/>
      <c r="TWU15" s="476"/>
      <c r="TWV15" s="476"/>
      <c r="TWW15" s="476"/>
      <c r="TWX15" s="476"/>
      <c r="TWY15" s="477"/>
      <c r="TWZ15" s="477"/>
      <c r="TXA15" s="463"/>
      <c r="TXB15" s="475"/>
      <c r="TXC15" s="476"/>
      <c r="TXD15" s="476"/>
      <c r="TXE15" s="476"/>
      <c r="TXF15" s="476"/>
      <c r="TXG15" s="476"/>
      <c r="TXH15" s="476"/>
      <c r="TXI15" s="476"/>
      <c r="TXJ15" s="476"/>
      <c r="TXK15" s="476"/>
      <c r="TXL15" s="476"/>
      <c r="TXM15" s="476"/>
      <c r="TXN15" s="476"/>
      <c r="TXO15" s="477"/>
      <c r="TXP15" s="477"/>
      <c r="TXQ15" s="463"/>
      <c r="TXR15" s="475"/>
      <c r="TXS15" s="476"/>
      <c r="TXT15" s="476"/>
      <c r="TXU15" s="476"/>
      <c r="TXV15" s="476"/>
      <c r="TXW15" s="476"/>
      <c r="TXX15" s="476"/>
      <c r="TXY15" s="476"/>
      <c r="TXZ15" s="476"/>
      <c r="TYA15" s="476"/>
      <c r="TYB15" s="476"/>
      <c r="TYC15" s="476"/>
      <c r="TYD15" s="476"/>
      <c r="TYE15" s="477"/>
      <c r="TYF15" s="477"/>
      <c r="TYG15" s="463"/>
      <c r="TYH15" s="475"/>
      <c r="TYI15" s="476"/>
      <c r="TYJ15" s="476"/>
      <c r="TYK15" s="476"/>
      <c r="TYL15" s="476"/>
      <c r="TYM15" s="476"/>
      <c r="TYN15" s="476"/>
      <c r="TYO15" s="476"/>
      <c r="TYP15" s="476"/>
      <c r="TYQ15" s="476"/>
      <c r="TYR15" s="476"/>
      <c r="TYS15" s="476"/>
      <c r="TYT15" s="476"/>
      <c r="TYU15" s="477"/>
      <c r="TYV15" s="477"/>
      <c r="TYW15" s="463"/>
      <c r="TYX15" s="475"/>
      <c r="TYY15" s="476"/>
      <c r="TYZ15" s="476"/>
      <c r="TZA15" s="476"/>
      <c r="TZB15" s="476"/>
      <c r="TZC15" s="476"/>
      <c r="TZD15" s="476"/>
      <c r="TZE15" s="476"/>
      <c r="TZF15" s="476"/>
      <c r="TZG15" s="476"/>
      <c r="TZH15" s="476"/>
      <c r="TZI15" s="476"/>
      <c r="TZJ15" s="476"/>
      <c r="TZK15" s="477"/>
      <c r="TZL15" s="477"/>
      <c r="TZM15" s="463"/>
      <c r="TZN15" s="475"/>
      <c r="TZO15" s="476"/>
      <c r="TZP15" s="476"/>
      <c r="TZQ15" s="476"/>
      <c r="TZR15" s="476"/>
      <c r="TZS15" s="476"/>
      <c r="TZT15" s="476"/>
      <c r="TZU15" s="476"/>
      <c r="TZV15" s="476"/>
      <c r="TZW15" s="476"/>
      <c r="TZX15" s="476"/>
      <c r="TZY15" s="476"/>
      <c r="TZZ15" s="476"/>
      <c r="UAA15" s="477"/>
      <c r="UAB15" s="477"/>
      <c r="UAC15" s="463"/>
      <c r="UAD15" s="475"/>
      <c r="UAE15" s="476"/>
      <c r="UAF15" s="476"/>
      <c r="UAG15" s="476"/>
      <c r="UAH15" s="476"/>
      <c r="UAI15" s="476"/>
      <c r="UAJ15" s="476"/>
      <c r="UAK15" s="476"/>
      <c r="UAL15" s="476"/>
      <c r="UAM15" s="476"/>
      <c r="UAN15" s="476"/>
      <c r="UAO15" s="476"/>
      <c r="UAP15" s="476"/>
      <c r="UAQ15" s="477"/>
      <c r="UAR15" s="477"/>
      <c r="UAS15" s="463"/>
      <c r="UAT15" s="475"/>
      <c r="UAU15" s="476"/>
      <c r="UAV15" s="476"/>
      <c r="UAW15" s="476"/>
      <c r="UAX15" s="476"/>
      <c r="UAY15" s="476"/>
      <c r="UAZ15" s="476"/>
      <c r="UBA15" s="476"/>
      <c r="UBB15" s="476"/>
      <c r="UBC15" s="476"/>
      <c r="UBD15" s="476"/>
      <c r="UBE15" s="476"/>
      <c r="UBF15" s="476"/>
      <c r="UBG15" s="477"/>
      <c r="UBH15" s="477"/>
      <c r="UBI15" s="463"/>
      <c r="UBJ15" s="475"/>
      <c r="UBK15" s="476"/>
      <c r="UBL15" s="476"/>
      <c r="UBM15" s="476"/>
      <c r="UBN15" s="476"/>
      <c r="UBO15" s="476"/>
      <c r="UBP15" s="476"/>
      <c r="UBQ15" s="476"/>
      <c r="UBR15" s="476"/>
      <c r="UBS15" s="476"/>
      <c r="UBT15" s="476"/>
      <c r="UBU15" s="476"/>
      <c r="UBV15" s="476"/>
      <c r="UBW15" s="477"/>
      <c r="UBX15" s="477"/>
      <c r="UBY15" s="463"/>
      <c r="UBZ15" s="475"/>
      <c r="UCA15" s="476"/>
      <c r="UCB15" s="476"/>
      <c r="UCC15" s="476"/>
      <c r="UCD15" s="476"/>
      <c r="UCE15" s="476"/>
      <c r="UCF15" s="476"/>
      <c r="UCG15" s="476"/>
      <c r="UCH15" s="476"/>
      <c r="UCI15" s="476"/>
      <c r="UCJ15" s="476"/>
      <c r="UCK15" s="476"/>
      <c r="UCL15" s="476"/>
      <c r="UCM15" s="477"/>
      <c r="UCN15" s="477"/>
      <c r="UCO15" s="463"/>
      <c r="UCP15" s="475"/>
      <c r="UCQ15" s="476"/>
      <c r="UCR15" s="476"/>
      <c r="UCS15" s="476"/>
      <c r="UCT15" s="476"/>
      <c r="UCU15" s="476"/>
      <c r="UCV15" s="476"/>
      <c r="UCW15" s="476"/>
      <c r="UCX15" s="476"/>
      <c r="UCY15" s="476"/>
      <c r="UCZ15" s="476"/>
      <c r="UDA15" s="476"/>
      <c r="UDB15" s="476"/>
      <c r="UDC15" s="477"/>
      <c r="UDD15" s="477"/>
      <c r="UDE15" s="463"/>
      <c r="UDF15" s="475"/>
      <c r="UDG15" s="476"/>
      <c r="UDH15" s="476"/>
      <c r="UDI15" s="476"/>
      <c r="UDJ15" s="476"/>
      <c r="UDK15" s="476"/>
      <c r="UDL15" s="476"/>
      <c r="UDM15" s="476"/>
      <c r="UDN15" s="476"/>
      <c r="UDO15" s="476"/>
      <c r="UDP15" s="476"/>
      <c r="UDQ15" s="476"/>
      <c r="UDR15" s="476"/>
      <c r="UDS15" s="477"/>
      <c r="UDT15" s="477"/>
      <c r="UDU15" s="463"/>
      <c r="UDV15" s="475"/>
      <c r="UDW15" s="476"/>
      <c r="UDX15" s="476"/>
      <c r="UDY15" s="476"/>
      <c r="UDZ15" s="476"/>
      <c r="UEA15" s="476"/>
      <c r="UEB15" s="476"/>
      <c r="UEC15" s="476"/>
      <c r="UED15" s="476"/>
      <c r="UEE15" s="476"/>
      <c r="UEF15" s="476"/>
      <c r="UEG15" s="476"/>
      <c r="UEH15" s="476"/>
      <c r="UEI15" s="477"/>
      <c r="UEJ15" s="477"/>
      <c r="UEK15" s="463"/>
      <c r="UEL15" s="475"/>
      <c r="UEM15" s="476"/>
      <c r="UEN15" s="476"/>
      <c r="UEO15" s="476"/>
      <c r="UEP15" s="476"/>
      <c r="UEQ15" s="476"/>
      <c r="UER15" s="476"/>
      <c r="UES15" s="476"/>
      <c r="UET15" s="476"/>
      <c r="UEU15" s="476"/>
      <c r="UEV15" s="476"/>
      <c r="UEW15" s="476"/>
      <c r="UEX15" s="476"/>
      <c r="UEY15" s="477"/>
      <c r="UEZ15" s="477"/>
      <c r="UFA15" s="463"/>
      <c r="UFB15" s="475"/>
      <c r="UFC15" s="476"/>
      <c r="UFD15" s="476"/>
      <c r="UFE15" s="476"/>
      <c r="UFF15" s="476"/>
      <c r="UFG15" s="476"/>
      <c r="UFH15" s="476"/>
      <c r="UFI15" s="476"/>
      <c r="UFJ15" s="476"/>
      <c r="UFK15" s="476"/>
      <c r="UFL15" s="476"/>
      <c r="UFM15" s="476"/>
      <c r="UFN15" s="476"/>
      <c r="UFO15" s="477"/>
      <c r="UFP15" s="477"/>
      <c r="UFQ15" s="463"/>
      <c r="UFR15" s="475"/>
      <c r="UFS15" s="476"/>
      <c r="UFT15" s="476"/>
      <c r="UFU15" s="476"/>
      <c r="UFV15" s="476"/>
      <c r="UFW15" s="476"/>
      <c r="UFX15" s="476"/>
      <c r="UFY15" s="476"/>
      <c r="UFZ15" s="476"/>
      <c r="UGA15" s="476"/>
      <c r="UGB15" s="476"/>
      <c r="UGC15" s="476"/>
      <c r="UGD15" s="476"/>
      <c r="UGE15" s="477"/>
      <c r="UGF15" s="477"/>
      <c r="UGG15" s="463"/>
      <c r="UGH15" s="475"/>
      <c r="UGI15" s="476"/>
      <c r="UGJ15" s="476"/>
      <c r="UGK15" s="476"/>
      <c r="UGL15" s="476"/>
      <c r="UGM15" s="476"/>
      <c r="UGN15" s="476"/>
      <c r="UGO15" s="476"/>
      <c r="UGP15" s="476"/>
      <c r="UGQ15" s="476"/>
      <c r="UGR15" s="476"/>
      <c r="UGS15" s="476"/>
      <c r="UGT15" s="476"/>
      <c r="UGU15" s="477"/>
      <c r="UGV15" s="477"/>
      <c r="UGW15" s="463"/>
      <c r="UGX15" s="475"/>
      <c r="UGY15" s="476"/>
      <c r="UGZ15" s="476"/>
      <c r="UHA15" s="476"/>
      <c r="UHB15" s="476"/>
      <c r="UHC15" s="476"/>
      <c r="UHD15" s="476"/>
      <c r="UHE15" s="476"/>
      <c r="UHF15" s="476"/>
      <c r="UHG15" s="476"/>
      <c r="UHH15" s="476"/>
      <c r="UHI15" s="476"/>
      <c r="UHJ15" s="476"/>
      <c r="UHK15" s="477"/>
      <c r="UHL15" s="477"/>
      <c r="UHM15" s="463"/>
      <c r="UHN15" s="475"/>
      <c r="UHO15" s="476"/>
      <c r="UHP15" s="476"/>
      <c r="UHQ15" s="476"/>
      <c r="UHR15" s="476"/>
      <c r="UHS15" s="476"/>
      <c r="UHT15" s="476"/>
      <c r="UHU15" s="476"/>
      <c r="UHV15" s="476"/>
      <c r="UHW15" s="476"/>
      <c r="UHX15" s="476"/>
      <c r="UHY15" s="476"/>
      <c r="UHZ15" s="476"/>
      <c r="UIA15" s="477"/>
      <c r="UIB15" s="477"/>
      <c r="UIC15" s="463"/>
      <c r="UID15" s="475"/>
      <c r="UIE15" s="476"/>
      <c r="UIF15" s="476"/>
      <c r="UIG15" s="476"/>
      <c r="UIH15" s="476"/>
      <c r="UII15" s="476"/>
      <c r="UIJ15" s="476"/>
      <c r="UIK15" s="476"/>
      <c r="UIL15" s="476"/>
      <c r="UIM15" s="476"/>
      <c r="UIN15" s="476"/>
      <c r="UIO15" s="476"/>
      <c r="UIP15" s="476"/>
      <c r="UIQ15" s="477"/>
      <c r="UIR15" s="477"/>
      <c r="UIS15" s="463"/>
      <c r="UIT15" s="475"/>
      <c r="UIU15" s="476"/>
      <c r="UIV15" s="476"/>
      <c r="UIW15" s="476"/>
      <c r="UIX15" s="476"/>
      <c r="UIY15" s="476"/>
      <c r="UIZ15" s="476"/>
      <c r="UJA15" s="476"/>
      <c r="UJB15" s="476"/>
      <c r="UJC15" s="476"/>
      <c r="UJD15" s="476"/>
      <c r="UJE15" s="476"/>
      <c r="UJF15" s="476"/>
      <c r="UJG15" s="477"/>
      <c r="UJH15" s="477"/>
      <c r="UJI15" s="463"/>
      <c r="UJJ15" s="475"/>
      <c r="UJK15" s="476"/>
      <c r="UJL15" s="476"/>
      <c r="UJM15" s="476"/>
      <c r="UJN15" s="476"/>
      <c r="UJO15" s="476"/>
      <c r="UJP15" s="476"/>
      <c r="UJQ15" s="476"/>
      <c r="UJR15" s="476"/>
      <c r="UJS15" s="476"/>
      <c r="UJT15" s="476"/>
      <c r="UJU15" s="476"/>
      <c r="UJV15" s="476"/>
      <c r="UJW15" s="477"/>
      <c r="UJX15" s="477"/>
      <c r="UJY15" s="463"/>
      <c r="UJZ15" s="475"/>
      <c r="UKA15" s="476"/>
      <c r="UKB15" s="476"/>
      <c r="UKC15" s="476"/>
      <c r="UKD15" s="476"/>
      <c r="UKE15" s="476"/>
      <c r="UKF15" s="476"/>
      <c r="UKG15" s="476"/>
      <c r="UKH15" s="476"/>
      <c r="UKI15" s="476"/>
      <c r="UKJ15" s="476"/>
      <c r="UKK15" s="476"/>
      <c r="UKL15" s="476"/>
      <c r="UKM15" s="477"/>
      <c r="UKN15" s="477"/>
      <c r="UKO15" s="463"/>
      <c r="UKP15" s="475"/>
      <c r="UKQ15" s="476"/>
      <c r="UKR15" s="476"/>
      <c r="UKS15" s="476"/>
      <c r="UKT15" s="476"/>
      <c r="UKU15" s="476"/>
      <c r="UKV15" s="476"/>
      <c r="UKW15" s="476"/>
      <c r="UKX15" s="476"/>
      <c r="UKY15" s="476"/>
      <c r="UKZ15" s="476"/>
      <c r="ULA15" s="476"/>
      <c r="ULB15" s="476"/>
      <c r="ULC15" s="477"/>
      <c r="ULD15" s="477"/>
      <c r="ULE15" s="463"/>
      <c r="ULF15" s="475"/>
      <c r="ULG15" s="476"/>
      <c r="ULH15" s="476"/>
      <c r="ULI15" s="476"/>
      <c r="ULJ15" s="476"/>
      <c r="ULK15" s="476"/>
      <c r="ULL15" s="476"/>
      <c r="ULM15" s="476"/>
      <c r="ULN15" s="476"/>
      <c r="ULO15" s="476"/>
      <c r="ULP15" s="476"/>
      <c r="ULQ15" s="476"/>
      <c r="ULR15" s="476"/>
      <c r="ULS15" s="477"/>
      <c r="ULT15" s="477"/>
      <c r="ULU15" s="463"/>
      <c r="ULV15" s="475"/>
      <c r="ULW15" s="476"/>
      <c r="ULX15" s="476"/>
      <c r="ULY15" s="476"/>
      <c r="ULZ15" s="476"/>
      <c r="UMA15" s="476"/>
      <c r="UMB15" s="476"/>
      <c r="UMC15" s="476"/>
      <c r="UMD15" s="476"/>
      <c r="UME15" s="476"/>
      <c r="UMF15" s="476"/>
      <c r="UMG15" s="476"/>
      <c r="UMH15" s="476"/>
      <c r="UMI15" s="477"/>
      <c r="UMJ15" s="477"/>
      <c r="UMK15" s="463"/>
      <c r="UML15" s="475"/>
      <c r="UMM15" s="476"/>
      <c r="UMN15" s="476"/>
      <c r="UMO15" s="476"/>
      <c r="UMP15" s="476"/>
      <c r="UMQ15" s="476"/>
      <c r="UMR15" s="476"/>
      <c r="UMS15" s="476"/>
      <c r="UMT15" s="476"/>
      <c r="UMU15" s="476"/>
      <c r="UMV15" s="476"/>
      <c r="UMW15" s="476"/>
      <c r="UMX15" s="476"/>
      <c r="UMY15" s="477"/>
      <c r="UMZ15" s="477"/>
      <c r="UNA15" s="463"/>
      <c r="UNB15" s="475"/>
      <c r="UNC15" s="476"/>
      <c r="UND15" s="476"/>
      <c r="UNE15" s="476"/>
      <c r="UNF15" s="476"/>
      <c r="UNG15" s="476"/>
      <c r="UNH15" s="476"/>
      <c r="UNI15" s="476"/>
      <c r="UNJ15" s="476"/>
      <c r="UNK15" s="476"/>
      <c r="UNL15" s="476"/>
      <c r="UNM15" s="476"/>
      <c r="UNN15" s="476"/>
      <c r="UNO15" s="477"/>
      <c r="UNP15" s="477"/>
      <c r="UNQ15" s="463"/>
      <c r="UNR15" s="475"/>
      <c r="UNS15" s="476"/>
      <c r="UNT15" s="476"/>
      <c r="UNU15" s="476"/>
      <c r="UNV15" s="476"/>
      <c r="UNW15" s="476"/>
      <c r="UNX15" s="476"/>
      <c r="UNY15" s="476"/>
      <c r="UNZ15" s="476"/>
      <c r="UOA15" s="476"/>
      <c r="UOB15" s="476"/>
      <c r="UOC15" s="476"/>
      <c r="UOD15" s="476"/>
      <c r="UOE15" s="477"/>
      <c r="UOF15" s="477"/>
      <c r="UOG15" s="463"/>
      <c r="UOH15" s="475"/>
      <c r="UOI15" s="476"/>
      <c r="UOJ15" s="476"/>
      <c r="UOK15" s="476"/>
      <c r="UOL15" s="476"/>
      <c r="UOM15" s="476"/>
      <c r="UON15" s="476"/>
      <c r="UOO15" s="476"/>
      <c r="UOP15" s="476"/>
      <c r="UOQ15" s="476"/>
      <c r="UOR15" s="476"/>
      <c r="UOS15" s="476"/>
      <c r="UOT15" s="476"/>
      <c r="UOU15" s="477"/>
      <c r="UOV15" s="477"/>
      <c r="UOW15" s="463"/>
      <c r="UOX15" s="475"/>
      <c r="UOY15" s="476"/>
      <c r="UOZ15" s="476"/>
      <c r="UPA15" s="476"/>
      <c r="UPB15" s="476"/>
      <c r="UPC15" s="476"/>
      <c r="UPD15" s="476"/>
      <c r="UPE15" s="476"/>
      <c r="UPF15" s="476"/>
      <c r="UPG15" s="476"/>
      <c r="UPH15" s="476"/>
      <c r="UPI15" s="476"/>
      <c r="UPJ15" s="476"/>
      <c r="UPK15" s="477"/>
      <c r="UPL15" s="477"/>
      <c r="UPM15" s="463"/>
      <c r="UPN15" s="475"/>
      <c r="UPO15" s="476"/>
      <c r="UPP15" s="476"/>
      <c r="UPQ15" s="476"/>
      <c r="UPR15" s="476"/>
      <c r="UPS15" s="476"/>
      <c r="UPT15" s="476"/>
      <c r="UPU15" s="476"/>
      <c r="UPV15" s="476"/>
      <c r="UPW15" s="476"/>
      <c r="UPX15" s="476"/>
      <c r="UPY15" s="476"/>
      <c r="UPZ15" s="476"/>
      <c r="UQA15" s="477"/>
      <c r="UQB15" s="477"/>
      <c r="UQC15" s="463"/>
      <c r="UQD15" s="475"/>
      <c r="UQE15" s="476"/>
      <c r="UQF15" s="476"/>
      <c r="UQG15" s="476"/>
      <c r="UQH15" s="476"/>
      <c r="UQI15" s="476"/>
      <c r="UQJ15" s="476"/>
      <c r="UQK15" s="476"/>
      <c r="UQL15" s="476"/>
      <c r="UQM15" s="476"/>
      <c r="UQN15" s="476"/>
      <c r="UQO15" s="476"/>
      <c r="UQP15" s="476"/>
      <c r="UQQ15" s="477"/>
      <c r="UQR15" s="477"/>
      <c r="UQS15" s="463"/>
      <c r="UQT15" s="475"/>
      <c r="UQU15" s="476"/>
      <c r="UQV15" s="476"/>
      <c r="UQW15" s="476"/>
      <c r="UQX15" s="476"/>
      <c r="UQY15" s="476"/>
      <c r="UQZ15" s="476"/>
      <c r="URA15" s="476"/>
      <c r="URB15" s="476"/>
      <c r="URC15" s="476"/>
      <c r="URD15" s="476"/>
      <c r="URE15" s="476"/>
      <c r="URF15" s="476"/>
      <c r="URG15" s="477"/>
      <c r="URH15" s="477"/>
      <c r="URI15" s="463"/>
      <c r="URJ15" s="475"/>
      <c r="URK15" s="476"/>
      <c r="URL15" s="476"/>
      <c r="URM15" s="476"/>
      <c r="URN15" s="476"/>
      <c r="URO15" s="476"/>
      <c r="URP15" s="476"/>
      <c r="URQ15" s="476"/>
      <c r="URR15" s="476"/>
      <c r="URS15" s="476"/>
      <c r="URT15" s="476"/>
      <c r="URU15" s="476"/>
      <c r="URV15" s="476"/>
      <c r="URW15" s="477"/>
      <c r="URX15" s="477"/>
      <c r="URY15" s="463"/>
      <c r="URZ15" s="475"/>
      <c r="USA15" s="476"/>
      <c r="USB15" s="476"/>
      <c r="USC15" s="476"/>
      <c r="USD15" s="476"/>
      <c r="USE15" s="476"/>
      <c r="USF15" s="476"/>
      <c r="USG15" s="476"/>
      <c r="USH15" s="476"/>
      <c r="USI15" s="476"/>
      <c r="USJ15" s="476"/>
      <c r="USK15" s="476"/>
      <c r="USL15" s="476"/>
      <c r="USM15" s="477"/>
      <c r="USN15" s="477"/>
      <c r="USO15" s="463"/>
      <c r="USP15" s="475"/>
      <c r="USQ15" s="476"/>
      <c r="USR15" s="476"/>
      <c r="USS15" s="476"/>
      <c r="UST15" s="476"/>
      <c r="USU15" s="476"/>
      <c r="USV15" s="476"/>
      <c r="USW15" s="476"/>
      <c r="USX15" s="476"/>
      <c r="USY15" s="476"/>
      <c r="USZ15" s="476"/>
      <c r="UTA15" s="476"/>
      <c r="UTB15" s="476"/>
      <c r="UTC15" s="477"/>
      <c r="UTD15" s="477"/>
      <c r="UTE15" s="463"/>
      <c r="UTF15" s="475"/>
      <c r="UTG15" s="476"/>
      <c r="UTH15" s="476"/>
      <c r="UTI15" s="476"/>
      <c r="UTJ15" s="476"/>
      <c r="UTK15" s="476"/>
      <c r="UTL15" s="476"/>
      <c r="UTM15" s="476"/>
      <c r="UTN15" s="476"/>
      <c r="UTO15" s="476"/>
      <c r="UTP15" s="476"/>
      <c r="UTQ15" s="476"/>
      <c r="UTR15" s="476"/>
      <c r="UTS15" s="477"/>
      <c r="UTT15" s="477"/>
      <c r="UTU15" s="463"/>
      <c r="UTV15" s="475"/>
      <c r="UTW15" s="476"/>
      <c r="UTX15" s="476"/>
      <c r="UTY15" s="476"/>
      <c r="UTZ15" s="476"/>
      <c r="UUA15" s="476"/>
      <c r="UUB15" s="476"/>
      <c r="UUC15" s="476"/>
      <c r="UUD15" s="476"/>
      <c r="UUE15" s="476"/>
      <c r="UUF15" s="476"/>
      <c r="UUG15" s="476"/>
      <c r="UUH15" s="476"/>
      <c r="UUI15" s="477"/>
      <c r="UUJ15" s="477"/>
      <c r="UUK15" s="463"/>
      <c r="UUL15" s="475"/>
      <c r="UUM15" s="476"/>
      <c r="UUN15" s="476"/>
      <c r="UUO15" s="476"/>
      <c r="UUP15" s="476"/>
      <c r="UUQ15" s="476"/>
      <c r="UUR15" s="476"/>
      <c r="UUS15" s="476"/>
      <c r="UUT15" s="476"/>
      <c r="UUU15" s="476"/>
      <c r="UUV15" s="476"/>
      <c r="UUW15" s="476"/>
      <c r="UUX15" s="476"/>
      <c r="UUY15" s="477"/>
      <c r="UUZ15" s="477"/>
      <c r="UVA15" s="463"/>
      <c r="UVB15" s="475"/>
      <c r="UVC15" s="476"/>
      <c r="UVD15" s="476"/>
      <c r="UVE15" s="476"/>
      <c r="UVF15" s="476"/>
      <c r="UVG15" s="476"/>
      <c r="UVH15" s="476"/>
      <c r="UVI15" s="476"/>
      <c r="UVJ15" s="476"/>
      <c r="UVK15" s="476"/>
      <c r="UVL15" s="476"/>
      <c r="UVM15" s="476"/>
      <c r="UVN15" s="476"/>
      <c r="UVO15" s="477"/>
      <c r="UVP15" s="477"/>
      <c r="UVQ15" s="463"/>
      <c r="UVR15" s="475"/>
      <c r="UVS15" s="476"/>
      <c r="UVT15" s="476"/>
      <c r="UVU15" s="476"/>
      <c r="UVV15" s="476"/>
      <c r="UVW15" s="476"/>
      <c r="UVX15" s="476"/>
      <c r="UVY15" s="476"/>
      <c r="UVZ15" s="476"/>
      <c r="UWA15" s="476"/>
      <c r="UWB15" s="476"/>
      <c r="UWC15" s="476"/>
      <c r="UWD15" s="476"/>
      <c r="UWE15" s="477"/>
      <c r="UWF15" s="477"/>
      <c r="UWG15" s="463"/>
      <c r="UWH15" s="475"/>
      <c r="UWI15" s="476"/>
      <c r="UWJ15" s="476"/>
      <c r="UWK15" s="476"/>
      <c r="UWL15" s="476"/>
      <c r="UWM15" s="476"/>
      <c r="UWN15" s="476"/>
      <c r="UWO15" s="476"/>
      <c r="UWP15" s="476"/>
      <c r="UWQ15" s="476"/>
      <c r="UWR15" s="476"/>
      <c r="UWS15" s="476"/>
      <c r="UWT15" s="476"/>
      <c r="UWU15" s="477"/>
      <c r="UWV15" s="477"/>
      <c r="UWW15" s="463"/>
      <c r="UWX15" s="475"/>
      <c r="UWY15" s="476"/>
      <c r="UWZ15" s="476"/>
      <c r="UXA15" s="476"/>
      <c r="UXB15" s="476"/>
      <c r="UXC15" s="476"/>
      <c r="UXD15" s="476"/>
      <c r="UXE15" s="476"/>
      <c r="UXF15" s="476"/>
      <c r="UXG15" s="476"/>
      <c r="UXH15" s="476"/>
      <c r="UXI15" s="476"/>
      <c r="UXJ15" s="476"/>
      <c r="UXK15" s="477"/>
      <c r="UXL15" s="477"/>
      <c r="UXM15" s="463"/>
      <c r="UXN15" s="475"/>
      <c r="UXO15" s="476"/>
      <c r="UXP15" s="476"/>
      <c r="UXQ15" s="476"/>
      <c r="UXR15" s="476"/>
      <c r="UXS15" s="476"/>
      <c r="UXT15" s="476"/>
      <c r="UXU15" s="476"/>
      <c r="UXV15" s="476"/>
      <c r="UXW15" s="476"/>
      <c r="UXX15" s="476"/>
      <c r="UXY15" s="476"/>
      <c r="UXZ15" s="476"/>
      <c r="UYA15" s="477"/>
      <c r="UYB15" s="477"/>
      <c r="UYC15" s="463"/>
      <c r="UYD15" s="475"/>
      <c r="UYE15" s="476"/>
      <c r="UYF15" s="476"/>
      <c r="UYG15" s="476"/>
      <c r="UYH15" s="476"/>
      <c r="UYI15" s="476"/>
      <c r="UYJ15" s="476"/>
      <c r="UYK15" s="476"/>
      <c r="UYL15" s="476"/>
      <c r="UYM15" s="476"/>
      <c r="UYN15" s="476"/>
      <c r="UYO15" s="476"/>
      <c r="UYP15" s="476"/>
      <c r="UYQ15" s="477"/>
      <c r="UYR15" s="477"/>
      <c r="UYS15" s="463"/>
      <c r="UYT15" s="475"/>
      <c r="UYU15" s="476"/>
      <c r="UYV15" s="476"/>
      <c r="UYW15" s="476"/>
      <c r="UYX15" s="476"/>
      <c r="UYY15" s="476"/>
      <c r="UYZ15" s="476"/>
      <c r="UZA15" s="476"/>
      <c r="UZB15" s="476"/>
      <c r="UZC15" s="476"/>
      <c r="UZD15" s="476"/>
      <c r="UZE15" s="476"/>
      <c r="UZF15" s="476"/>
      <c r="UZG15" s="477"/>
      <c r="UZH15" s="477"/>
      <c r="UZI15" s="463"/>
      <c r="UZJ15" s="475"/>
      <c r="UZK15" s="476"/>
      <c r="UZL15" s="476"/>
      <c r="UZM15" s="476"/>
      <c r="UZN15" s="476"/>
      <c r="UZO15" s="476"/>
      <c r="UZP15" s="476"/>
      <c r="UZQ15" s="476"/>
      <c r="UZR15" s="476"/>
      <c r="UZS15" s="476"/>
      <c r="UZT15" s="476"/>
      <c r="UZU15" s="476"/>
      <c r="UZV15" s="476"/>
      <c r="UZW15" s="477"/>
      <c r="UZX15" s="477"/>
      <c r="UZY15" s="463"/>
      <c r="UZZ15" s="475"/>
      <c r="VAA15" s="476"/>
      <c r="VAB15" s="476"/>
      <c r="VAC15" s="476"/>
      <c r="VAD15" s="476"/>
      <c r="VAE15" s="476"/>
      <c r="VAF15" s="476"/>
      <c r="VAG15" s="476"/>
      <c r="VAH15" s="476"/>
      <c r="VAI15" s="476"/>
      <c r="VAJ15" s="476"/>
      <c r="VAK15" s="476"/>
      <c r="VAL15" s="476"/>
      <c r="VAM15" s="477"/>
      <c r="VAN15" s="477"/>
      <c r="VAO15" s="463"/>
      <c r="VAP15" s="475"/>
      <c r="VAQ15" s="476"/>
      <c r="VAR15" s="476"/>
      <c r="VAS15" s="476"/>
      <c r="VAT15" s="476"/>
      <c r="VAU15" s="476"/>
      <c r="VAV15" s="476"/>
      <c r="VAW15" s="476"/>
      <c r="VAX15" s="476"/>
      <c r="VAY15" s="476"/>
      <c r="VAZ15" s="476"/>
      <c r="VBA15" s="476"/>
      <c r="VBB15" s="476"/>
      <c r="VBC15" s="477"/>
      <c r="VBD15" s="477"/>
      <c r="VBE15" s="463"/>
      <c r="VBF15" s="475"/>
      <c r="VBG15" s="476"/>
      <c r="VBH15" s="476"/>
      <c r="VBI15" s="476"/>
      <c r="VBJ15" s="476"/>
      <c r="VBK15" s="476"/>
      <c r="VBL15" s="476"/>
      <c r="VBM15" s="476"/>
      <c r="VBN15" s="476"/>
      <c r="VBO15" s="476"/>
      <c r="VBP15" s="476"/>
      <c r="VBQ15" s="476"/>
      <c r="VBR15" s="476"/>
      <c r="VBS15" s="477"/>
      <c r="VBT15" s="477"/>
      <c r="VBU15" s="463"/>
      <c r="VBV15" s="475"/>
      <c r="VBW15" s="476"/>
      <c r="VBX15" s="476"/>
      <c r="VBY15" s="476"/>
      <c r="VBZ15" s="476"/>
      <c r="VCA15" s="476"/>
      <c r="VCB15" s="476"/>
      <c r="VCC15" s="476"/>
      <c r="VCD15" s="476"/>
      <c r="VCE15" s="476"/>
      <c r="VCF15" s="476"/>
      <c r="VCG15" s="476"/>
      <c r="VCH15" s="476"/>
      <c r="VCI15" s="477"/>
      <c r="VCJ15" s="477"/>
      <c r="VCK15" s="463"/>
      <c r="VCL15" s="475"/>
      <c r="VCM15" s="476"/>
      <c r="VCN15" s="476"/>
      <c r="VCO15" s="476"/>
      <c r="VCP15" s="476"/>
      <c r="VCQ15" s="476"/>
      <c r="VCR15" s="476"/>
      <c r="VCS15" s="476"/>
      <c r="VCT15" s="476"/>
      <c r="VCU15" s="476"/>
      <c r="VCV15" s="476"/>
      <c r="VCW15" s="476"/>
      <c r="VCX15" s="476"/>
      <c r="VCY15" s="477"/>
      <c r="VCZ15" s="477"/>
      <c r="VDA15" s="463"/>
      <c r="VDB15" s="475"/>
      <c r="VDC15" s="476"/>
      <c r="VDD15" s="476"/>
      <c r="VDE15" s="476"/>
      <c r="VDF15" s="476"/>
      <c r="VDG15" s="476"/>
      <c r="VDH15" s="476"/>
      <c r="VDI15" s="476"/>
      <c r="VDJ15" s="476"/>
      <c r="VDK15" s="476"/>
      <c r="VDL15" s="476"/>
      <c r="VDM15" s="476"/>
      <c r="VDN15" s="476"/>
      <c r="VDO15" s="477"/>
      <c r="VDP15" s="477"/>
      <c r="VDQ15" s="463"/>
      <c r="VDR15" s="475"/>
      <c r="VDS15" s="476"/>
      <c r="VDT15" s="476"/>
      <c r="VDU15" s="476"/>
      <c r="VDV15" s="476"/>
      <c r="VDW15" s="476"/>
      <c r="VDX15" s="476"/>
      <c r="VDY15" s="476"/>
      <c r="VDZ15" s="476"/>
      <c r="VEA15" s="476"/>
      <c r="VEB15" s="476"/>
      <c r="VEC15" s="476"/>
      <c r="VED15" s="476"/>
      <c r="VEE15" s="477"/>
      <c r="VEF15" s="477"/>
      <c r="VEG15" s="463"/>
      <c r="VEH15" s="475"/>
      <c r="VEI15" s="476"/>
      <c r="VEJ15" s="476"/>
      <c r="VEK15" s="476"/>
      <c r="VEL15" s="476"/>
      <c r="VEM15" s="476"/>
      <c r="VEN15" s="476"/>
      <c r="VEO15" s="476"/>
      <c r="VEP15" s="476"/>
      <c r="VEQ15" s="476"/>
      <c r="VER15" s="476"/>
      <c r="VES15" s="476"/>
      <c r="VET15" s="476"/>
      <c r="VEU15" s="477"/>
      <c r="VEV15" s="477"/>
      <c r="VEW15" s="463"/>
      <c r="VEX15" s="475"/>
      <c r="VEY15" s="476"/>
      <c r="VEZ15" s="476"/>
      <c r="VFA15" s="476"/>
      <c r="VFB15" s="476"/>
      <c r="VFC15" s="476"/>
      <c r="VFD15" s="476"/>
      <c r="VFE15" s="476"/>
      <c r="VFF15" s="476"/>
      <c r="VFG15" s="476"/>
      <c r="VFH15" s="476"/>
      <c r="VFI15" s="476"/>
      <c r="VFJ15" s="476"/>
      <c r="VFK15" s="477"/>
      <c r="VFL15" s="477"/>
      <c r="VFM15" s="463"/>
      <c r="VFN15" s="475"/>
      <c r="VFO15" s="476"/>
      <c r="VFP15" s="476"/>
      <c r="VFQ15" s="476"/>
      <c r="VFR15" s="476"/>
      <c r="VFS15" s="476"/>
      <c r="VFT15" s="476"/>
      <c r="VFU15" s="476"/>
      <c r="VFV15" s="476"/>
      <c r="VFW15" s="476"/>
      <c r="VFX15" s="476"/>
      <c r="VFY15" s="476"/>
      <c r="VFZ15" s="476"/>
      <c r="VGA15" s="477"/>
      <c r="VGB15" s="477"/>
      <c r="VGC15" s="463"/>
      <c r="VGD15" s="475"/>
      <c r="VGE15" s="476"/>
      <c r="VGF15" s="476"/>
      <c r="VGG15" s="476"/>
      <c r="VGH15" s="476"/>
      <c r="VGI15" s="476"/>
      <c r="VGJ15" s="476"/>
      <c r="VGK15" s="476"/>
      <c r="VGL15" s="476"/>
      <c r="VGM15" s="476"/>
      <c r="VGN15" s="476"/>
      <c r="VGO15" s="476"/>
      <c r="VGP15" s="476"/>
      <c r="VGQ15" s="477"/>
      <c r="VGR15" s="477"/>
      <c r="VGS15" s="463"/>
      <c r="VGT15" s="475"/>
      <c r="VGU15" s="476"/>
      <c r="VGV15" s="476"/>
      <c r="VGW15" s="476"/>
      <c r="VGX15" s="476"/>
      <c r="VGY15" s="476"/>
      <c r="VGZ15" s="476"/>
      <c r="VHA15" s="476"/>
      <c r="VHB15" s="476"/>
      <c r="VHC15" s="476"/>
      <c r="VHD15" s="476"/>
      <c r="VHE15" s="476"/>
      <c r="VHF15" s="476"/>
      <c r="VHG15" s="477"/>
      <c r="VHH15" s="477"/>
      <c r="VHI15" s="463"/>
      <c r="VHJ15" s="475"/>
      <c r="VHK15" s="476"/>
      <c r="VHL15" s="476"/>
      <c r="VHM15" s="476"/>
      <c r="VHN15" s="476"/>
      <c r="VHO15" s="476"/>
      <c r="VHP15" s="476"/>
      <c r="VHQ15" s="476"/>
      <c r="VHR15" s="476"/>
      <c r="VHS15" s="476"/>
      <c r="VHT15" s="476"/>
      <c r="VHU15" s="476"/>
      <c r="VHV15" s="476"/>
      <c r="VHW15" s="477"/>
      <c r="VHX15" s="477"/>
      <c r="VHY15" s="463"/>
      <c r="VHZ15" s="475"/>
      <c r="VIA15" s="476"/>
      <c r="VIB15" s="476"/>
      <c r="VIC15" s="476"/>
      <c r="VID15" s="476"/>
      <c r="VIE15" s="476"/>
      <c r="VIF15" s="476"/>
      <c r="VIG15" s="476"/>
      <c r="VIH15" s="476"/>
      <c r="VII15" s="476"/>
      <c r="VIJ15" s="476"/>
      <c r="VIK15" s="476"/>
      <c r="VIL15" s="476"/>
      <c r="VIM15" s="477"/>
      <c r="VIN15" s="477"/>
      <c r="VIO15" s="463"/>
      <c r="VIP15" s="475"/>
      <c r="VIQ15" s="476"/>
      <c r="VIR15" s="476"/>
      <c r="VIS15" s="476"/>
      <c r="VIT15" s="476"/>
      <c r="VIU15" s="476"/>
      <c r="VIV15" s="476"/>
      <c r="VIW15" s="476"/>
      <c r="VIX15" s="476"/>
      <c r="VIY15" s="476"/>
      <c r="VIZ15" s="476"/>
      <c r="VJA15" s="476"/>
      <c r="VJB15" s="476"/>
      <c r="VJC15" s="477"/>
      <c r="VJD15" s="477"/>
      <c r="VJE15" s="463"/>
      <c r="VJF15" s="475"/>
      <c r="VJG15" s="476"/>
      <c r="VJH15" s="476"/>
      <c r="VJI15" s="476"/>
      <c r="VJJ15" s="476"/>
      <c r="VJK15" s="476"/>
      <c r="VJL15" s="476"/>
      <c r="VJM15" s="476"/>
      <c r="VJN15" s="476"/>
      <c r="VJO15" s="476"/>
      <c r="VJP15" s="476"/>
      <c r="VJQ15" s="476"/>
      <c r="VJR15" s="476"/>
      <c r="VJS15" s="477"/>
      <c r="VJT15" s="477"/>
      <c r="VJU15" s="463"/>
      <c r="VJV15" s="475"/>
      <c r="VJW15" s="476"/>
      <c r="VJX15" s="476"/>
      <c r="VJY15" s="476"/>
      <c r="VJZ15" s="476"/>
      <c r="VKA15" s="476"/>
      <c r="VKB15" s="476"/>
      <c r="VKC15" s="476"/>
      <c r="VKD15" s="476"/>
      <c r="VKE15" s="476"/>
      <c r="VKF15" s="476"/>
      <c r="VKG15" s="476"/>
      <c r="VKH15" s="476"/>
      <c r="VKI15" s="477"/>
      <c r="VKJ15" s="477"/>
      <c r="VKK15" s="463"/>
      <c r="VKL15" s="475"/>
      <c r="VKM15" s="476"/>
      <c r="VKN15" s="476"/>
      <c r="VKO15" s="476"/>
      <c r="VKP15" s="476"/>
      <c r="VKQ15" s="476"/>
      <c r="VKR15" s="476"/>
      <c r="VKS15" s="476"/>
      <c r="VKT15" s="476"/>
      <c r="VKU15" s="476"/>
      <c r="VKV15" s="476"/>
      <c r="VKW15" s="476"/>
      <c r="VKX15" s="476"/>
      <c r="VKY15" s="477"/>
      <c r="VKZ15" s="477"/>
      <c r="VLA15" s="463"/>
      <c r="VLB15" s="475"/>
      <c r="VLC15" s="476"/>
      <c r="VLD15" s="476"/>
      <c r="VLE15" s="476"/>
      <c r="VLF15" s="476"/>
      <c r="VLG15" s="476"/>
      <c r="VLH15" s="476"/>
      <c r="VLI15" s="476"/>
      <c r="VLJ15" s="476"/>
      <c r="VLK15" s="476"/>
      <c r="VLL15" s="476"/>
      <c r="VLM15" s="476"/>
      <c r="VLN15" s="476"/>
      <c r="VLO15" s="477"/>
      <c r="VLP15" s="477"/>
      <c r="VLQ15" s="463"/>
      <c r="VLR15" s="475"/>
      <c r="VLS15" s="476"/>
      <c r="VLT15" s="476"/>
      <c r="VLU15" s="476"/>
      <c r="VLV15" s="476"/>
      <c r="VLW15" s="476"/>
      <c r="VLX15" s="476"/>
      <c r="VLY15" s="476"/>
      <c r="VLZ15" s="476"/>
      <c r="VMA15" s="476"/>
      <c r="VMB15" s="476"/>
      <c r="VMC15" s="476"/>
      <c r="VMD15" s="476"/>
      <c r="VME15" s="477"/>
      <c r="VMF15" s="477"/>
      <c r="VMG15" s="463"/>
      <c r="VMH15" s="475"/>
      <c r="VMI15" s="476"/>
      <c r="VMJ15" s="476"/>
      <c r="VMK15" s="476"/>
      <c r="VML15" s="476"/>
      <c r="VMM15" s="476"/>
      <c r="VMN15" s="476"/>
      <c r="VMO15" s="476"/>
      <c r="VMP15" s="476"/>
      <c r="VMQ15" s="476"/>
      <c r="VMR15" s="476"/>
      <c r="VMS15" s="476"/>
      <c r="VMT15" s="476"/>
      <c r="VMU15" s="477"/>
      <c r="VMV15" s="477"/>
      <c r="VMW15" s="463"/>
      <c r="VMX15" s="475"/>
      <c r="VMY15" s="476"/>
      <c r="VMZ15" s="476"/>
      <c r="VNA15" s="476"/>
      <c r="VNB15" s="476"/>
      <c r="VNC15" s="476"/>
      <c r="VND15" s="476"/>
      <c r="VNE15" s="476"/>
      <c r="VNF15" s="476"/>
      <c r="VNG15" s="476"/>
      <c r="VNH15" s="476"/>
      <c r="VNI15" s="476"/>
      <c r="VNJ15" s="476"/>
      <c r="VNK15" s="477"/>
      <c r="VNL15" s="477"/>
      <c r="VNM15" s="463"/>
      <c r="VNN15" s="475"/>
      <c r="VNO15" s="476"/>
      <c r="VNP15" s="476"/>
      <c r="VNQ15" s="476"/>
      <c r="VNR15" s="476"/>
      <c r="VNS15" s="476"/>
      <c r="VNT15" s="476"/>
      <c r="VNU15" s="476"/>
      <c r="VNV15" s="476"/>
      <c r="VNW15" s="476"/>
      <c r="VNX15" s="476"/>
      <c r="VNY15" s="476"/>
      <c r="VNZ15" s="476"/>
      <c r="VOA15" s="477"/>
      <c r="VOB15" s="477"/>
      <c r="VOC15" s="463"/>
      <c r="VOD15" s="475"/>
      <c r="VOE15" s="476"/>
      <c r="VOF15" s="476"/>
      <c r="VOG15" s="476"/>
      <c r="VOH15" s="476"/>
      <c r="VOI15" s="476"/>
      <c r="VOJ15" s="476"/>
      <c r="VOK15" s="476"/>
      <c r="VOL15" s="476"/>
      <c r="VOM15" s="476"/>
      <c r="VON15" s="476"/>
      <c r="VOO15" s="476"/>
      <c r="VOP15" s="476"/>
      <c r="VOQ15" s="477"/>
      <c r="VOR15" s="477"/>
      <c r="VOS15" s="463"/>
      <c r="VOT15" s="475"/>
      <c r="VOU15" s="476"/>
      <c r="VOV15" s="476"/>
      <c r="VOW15" s="476"/>
      <c r="VOX15" s="476"/>
      <c r="VOY15" s="476"/>
      <c r="VOZ15" s="476"/>
      <c r="VPA15" s="476"/>
      <c r="VPB15" s="476"/>
      <c r="VPC15" s="476"/>
      <c r="VPD15" s="476"/>
      <c r="VPE15" s="476"/>
      <c r="VPF15" s="476"/>
      <c r="VPG15" s="477"/>
      <c r="VPH15" s="477"/>
      <c r="VPI15" s="463"/>
      <c r="VPJ15" s="475"/>
      <c r="VPK15" s="476"/>
      <c r="VPL15" s="476"/>
      <c r="VPM15" s="476"/>
      <c r="VPN15" s="476"/>
      <c r="VPO15" s="476"/>
      <c r="VPP15" s="476"/>
      <c r="VPQ15" s="476"/>
      <c r="VPR15" s="476"/>
      <c r="VPS15" s="476"/>
      <c r="VPT15" s="476"/>
      <c r="VPU15" s="476"/>
      <c r="VPV15" s="476"/>
      <c r="VPW15" s="477"/>
      <c r="VPX15" s="477"/>
      <c r="VPY15" s="463"/>
      <c r="VPZ15" s="475"/>
      <c r="VQA15" s="476"/>
      <c r="VQB15" s="476"/>
      <c r="VQC15" s="476"/>
      <c r="VQD15" s="476"/>
      <c r="VQE15" s="476"/>
      <c r="VQF15" s="476"/>
      <c r="VQG15" s="476"/>
      <c r="VQH15" s="476"/>
      <c r="VQI15" s="476"/>
      <c r="VQJ15" s="476"/>
      <c r="VQK15" s="476"/>
      <c r="VQL15" s="476"/>
      <c r="VQM15" s="477"/>
      <c r="VQN15" s="477"/>
      <c r="VQO15" s="463"/>
      <c r="VQP15" s="475"/>
      <c r="VQQ15" s="476"/>
      <c r="VQR15" s="476"/>
      <c r="VQS15" s="476"/>
      <c r="VQT15" s="476"/>
      <c r="VQU15" s="476"/>
      <c r="VQV15" s="476"/>
      <c r="VQW15" s="476"/>
      <c r="VQX15" s="476"/>
      <c r="VQY15" s="476"/>
      <c r="VQZ15" s="476"/>
      <c r="VRA15" s="476"/>
      <c r="VRB15" s="476"/>
      <c r="VRC15" s="477"/>
      <c r="VRD15" s="477"/>
      <c r="VRE15" s="463"/>
      <c r="VRF15" s="475"/>
      <c r="VRG15" s="476"/>
      <c r="VRH15" s="476"/>
      <c r="VRI15" s="476"/>
      <c r="VRJ15" s="476"/>
      <c r="VRK15" s="476"/>
      <c r="VRL15" s="476"/>
      <c r="VRM15" s="476"/>
      <c r="VRN15" s="476"/>
      <c r="VRO15" s="476"/>
      <c r="VRP15" s="476"/>
      <c r="VRQ15" s="476"/>
      <c r="VRR15" s="476"/>
      <c r="VRS15" s="477"/>
      <c r="VRT15" s="477"/>
      <c r="VRU15" s="463"/>
      <c r="VRV15" s="475"/>
      <c r="VRW15" s="476"/>
      <c r="VRX15" s="476"/>
      <c r="VRY15" s="476"/>
      <c r="VRZ15" s="476"/>
      <c r="VSA15" s="476"/>
      <c r="VSB15" s="476"/>
      <c r="VSC15" s="476"/>
      <c r="VSD15" s="476"/>
      <c r="VSE15" s="476"/>
      <c r="VSF15" s="476"/>
      <c r="VSG15" s="476"/>
      <c r="VSH15" s="476"/>
      <c r="VSI15" s="477"/>
      <c r="VSJ15" s="477"/>
      <c r="VSK15" s="463"/>
      <c r="VSL15" s="475"/>
      <c r="VSM15" s="476"/>
      <c r="VSN15" s="476"/>
      <c r="VSO15" s="476"/>
      <c r="VSP15" s="476"/>
      <c r="VSQ15" s="476"/>
      <c r="VSR15" s="476"/>
      <c r="VSS15" s="476"/>
      <c r="VST15" s="476"/>
      <c r="VSU15" s="476"/>
      <c r="VSV15" s="476"/>
      <c r="VSW15" s="476"/>
      <c r="VSX15" s="476"/>
      <c r="VSY15" s="477"/>
      <c r="VSZ15" s="477"/>
      <c r="VTA15" s="463"/>
      <c r="VTB15" s="475"/>
      <c r="VTC15" s="476"/>
      <c r="VTD15" s="476"/>
      <c r="VTE15" s="476"/>
      <c r="VTF15" s="476"/>
      <c r="VTG15" s="476"/>
      <c r="VTH15" s="476"/>
      <c r="VTI15" s="476"/>
      <c r="VTJ15" s="476"/>
      <c r="VTK15" s="476"/>
      <c r="VTL15" s="476"/>
      <c r="VTM15" s="476"/>
      <c r="VTN15" s="476"/>
      <c r="VTO15" s="477"/>
      <c r="VTP15" s="477"/>
      <c r="VTQ15" s="463"/>
      <c r="VTR15" s="475"/>
      <c r="VTS15" s="476"/>
      <c r="VTT15" s="476"/>
      <c r="VTU15" s="476"/>
      <c r="VTV15" s="476"/>
      <c r="VTW15" s="476"/>
      <c r="VTX15" s="476"/>
      <c r="VTY15" s="476"/>
      <c r="VTZ15" s="476"/>
      <c r="VUA15" s="476"/>
      <c r="VUB15" s="476"/>
      <c r="VUC15" s="476"/>
      <c r="VUD15" s="476"/>
      <c r="VUE15" s="477"/>
      <c r="VUF15" s="477"/>
      <c r="VUG15" s="463"/>
      <c r="VUH15" s="475"/>
      <c r="VUI15" s="476"/>
      <c r="VUJ15" s="476"/>
      <c r="VUK15" s="476"/>
      <c r="VUL15" s="476"/>
      <c r="VUM15" s="476"/>
      <c r="VUN15" s="476"/>
      <c r="VUO15" s="476"/>
      <c r="VUP15" s="476"/>
      <c r="VUQ15" s="476"/>
      <c r="VUR15" s="476"/>
      <c r="VUS15" s="476"/>
      <c r="VUT15" s="476"/>
      <c r="VUU15" s="477"/>
      <c r="VUV15" s="477"/>
      <c r="VUW15" s="463"/>
      <c r="VUX15" s="475"/>
      <c r="VUY15" s="476"/>
      <c r="VUZ15" s="476"/>
      <c r="VVA15" s="476"/>
      <c r="VVB15" s="476"/>
      <c r="VVC15" s="476"/>
      <c r="VVD15" s="476"/>
      <c r="VVE15" s="476"/>
      <c r="VVF15" s="476"/>
      <c r="VVG15" s="476"/>
      <c r="VVH15" s="476"/>
      <c r="VVI15" s="476"/>
      <c r="VVJ15" s="476"/>
      <c r="VVK15" s="477"/>
      <c r="VVL15" s="477"/>
      <c r="VVM15" s="463"/>
      <c r="VVN15" s="475"/>
      <c r="VVO15" s="476"/>
      <c r="VVP15" s="476"/>
      <c r="VVQ15" s="476"/>
      <c r="VVR15" s="476"/>
      <c r="VVS15" s="476"/>
      <c r="VVT15" s="476"/>
      <c r="VVU15" s="476"/>
      <c r="VVV15" s="476"/>
      <c r="VVW15" s="476"/>
      <c r="VVX15" s="476"/>
      <c r="VVY15" s="476"/>
      <c r="VVZ15" s="476"/>
      <c r="VWA15" s="477"/>
      <c r="VWB15" s="477"/>
      <c r="VWC15" s="463"/>
      <c r="VWD15" s="475"/>
      <c r="VWE15" s="476"/>
      <c r="VWF15" s="476"/>
      <c r="VWG15" s="476"/>
      <c r="VWH15" s="476"/>
      <c r="VWI15" s="476"/>
      <c r="VWJ15" s="476"/>
      <c r="VWK15" s="476"/>
      <c r="VWL15" s="476"/>
      <c r="VWM15" s="476"/>
      <c r="VWN15" s="476"/>
      <c r="VWO15" s="476"/>
      <c r="VWP15" s="476"/>
      <c r="VWQ15" s="477"/>
      <c r="VWR15" s="477"/>
      <c r="VWS15" s="463"/>
      <c r="VWT15" s="475"/>
      <c r="VWU15" s="476"/>
      <c r="VWV15" s="476"/>
      <c r="VWW15" s="476"/>
      <c r="VWX15" s="476"/>
      <c r="VWY15" s="476"/>
      <c r="VWZ15" s="476"/>
      <c r="VXA15" s="476"/>
      <c r="VXB15" s="476"/>
      <c r="VXC15" s="476"/>
      <c r="VXD15" s="476"/>
      <c r="VXE15" s="476"/>
      <c r="VXF15" s="476"/>
      <c r="VXG15" s="477"/>
      <c r="VXH15" s="477"/>
      <c r="VXI15" s="463"/>
      <c r="VXJ15" s="475"/>
      <c r="VXK15" s="476"/>
      <c r="VXL15" s="476"/>
      <c r="VXM15" s="476"/>
      <c r="VXN15" s="476"/>
      <c r="VXO15" s="476"/>
      <c r="VXP15" s="476"/>
      <c r="VXQ15" s="476"/>
      <c r="VXR15" s="476"/>
      <c r="VXS15" s="476"/>
      <c r="VXT15" s="476"/>
      <c r="VXU15" s="476"/>
      <c r="VXV15" s="476"/>
      <c r="VXW15" s="477"/>
      <c r="VXX15" s="477"/>
      <c r="VXY15" s="463"/>
      <c r="VXZ15" s="475"/>
      <c r="VYA15" s="476"/>
      <c r="VYB15" s="476"/>
      <c r="VYC15" s="476"/>
      <c r="VYD15" s="476"/>
      <c r="VYE15" s="476"/>
      <c r="VYF15" s="476"/>
      <c r="VYG15" s="476"/>
      <c r="VYH15" s="476"/>
      <c r="VYI15" s="476"/>
      <c r="VYJ15" s="476"/>
      <c r="VYK15" s="476"/>
      <c r="VYL15" s="476"/>
      <c r="VYM15" s="477"/>
      <c r="VYN15" s="477"/>
      <c r="VYO15" s="463"/>
      <c r="VYP15" s="475"/>
      <c r="VYQ15" s="476"/>
      <c r="VYR15" s="476"/>
      <c r="VYS15" s="476"/>
      <c r="VYT15" s="476"/>
      <c r="VYU15" s="476"/>
      <c r="VYV15" s="476"/>
      <c r="VYW15" s="476"/>
      <c r="VYX15" s="476"/>
      <c r="VYY15" s="476"/>
      <c r="VYZ15" s="476"/>
      <c r="VZA15" s="476"/>
      <c r="VZB15" s="476"/>
      <c r="VZC15" s="477"/>
      <c r="VZD15" s="477"/>
      <c r="VZE15" s="463"/>
      <c r="VZF15" s="475"/>
      <c r="VZG15" s="476"/>
      <c r="VZH15" s="476"/>
      <c r="VZI15" s="476"/>
      <c r="VZJ15" s="476"/>
      <c r="VZK15" s="476"/>
      <c r="VZL15" s="476"/>
      <c r="VZM15" s="476"/>
      <c r="VZN15" s="476"/>
      <c r="VZO15" s="476"/>
      <c r="VZP15" s="476"/>
      <c r="VZQ15" s="476"/>
      <c r="VZR15" s="476"/>
      <c r="VZS15" s="477"/>
      <c r="VZT15" s="477"/>
      <c r="VZU15" s="463"/>
      <c r="VZV15" s="475"/>
      <c r="VZW15" s="476"/>
      <c r="VZX15" s="476"/>
      <c r="VZY15" s="476"/>
      <c r="VZZ15" s="476"/>
      <c r="WAA15" s="476"/>
      <c r="WAB15" s="476"/>
      <c r="WAC15" s="476"/>
      <c r="WAD15" s="476"/>
      <c r="WAE15" s="476"/>
      <c r="WAF15" s="476"/>
      <c r="WAG15" s="476"/>
      <c r="WAH15" s="476"/>
      <c r="WAI15" s="477"/>
      <c r="WAJ15" s="477"/>
      <c r="WAK15" s="463"/>
      <c r="WAL15" s="475"/>
      <c r="WAM15" s="476"/>
      <c r="WAN15" s="476"/>
      <c r="WAO15" s="476"/>
      <c r="WAP15" s="476"/>
      <c r="WAQ15" s="476"/>
      <c r="WAR15" s="476"/>
      <c r="WAS15" s="476"/>
      <c r="WAT15" s="476"/>
      <c r="WAU15" s="476"/>
      <c r="WAV15" s="476"/>
      <c r="WAW15" s="476"/>
      <c r="WAX15" s="476"/>
      <c r="WAY15" s="477"/>
      <c r="WAZ15" s="477"/>
      <c r="WBA15" s="463"/>
      <c r="WBB15" s="475"/>
      <c r="WBC15" s="476"/>
      <c r="WBD15" s="476"/>
      <c r="WBE15" s="476"/>
      <c r="WBF15" s="476"/>
      <c r="WBG15" s="476"/>
      <c r="WBH15" s="476"/>
      <c r="WBI15" s="476"/>
      <c r="WBJ15" s="476"/>
      <c r="WBK15" s="476"/>
      <c r="WBL15" s="476"/>
      <c r="WBM15" s="476"/>
      <c r="WBN15" s="476"/>
      <c r="WBO15" s="477"/>
      <c r="WBP15" s="477"/>
      <c r="WBQ15" s="463"/>
      <c r="WBR15" s="475"/>
      <c r="WBS15" s="476"/>
      <c r="WBT15" s="476"/>
      <c r="WBU15" s="476"/>
      <c r="WBV15" s="476"/>
      <c r="WBW15" s="476"/>
      <c r="WBX15" s="476"/>
      <c r="WBY15" s="476"/>
      <c r="WBZ15" s="476"/>
      <c r="WCA15" s="476"/>
      <c r="WCB15" s="476"/>
      <c r="WCC15" s="476"/>
      <c r="WCD15" s="476"/>
      <c r="WCE15" s="477"/>
      <c r="WCF15" s="477"/>
      <c r="WCG15" s="463"/>
      <c r="WCH15" s="475"/>
      <c r="WCI15" s="476"/>
      <c r="WCJ15" s="476"/>
      <c r="WCK15" s="476"/>
      <c r="WCL15" s="476"/>
      <c r="WCM15" s="476"/>
      <c r="WCN15" s="476"/>
      <c r="WCO15" s="476"/>
      <c r="WCP15" s="476"/>
      <c r="WCQ15" s="476"/>
      <c r="WCR15" s="476"/>
      <c r="WCS15" s="476"/>
      <c r="WCT15" s="476"/>
      <c r="WCU15" s="477"/>
      <c r="WCV15" s="477"/>
      <c r="WCW15" s="463"/>
      <c r="WCX15" s="475"/>
      <c r="WCY15" s="476"/>
      <c r="WCZ15" s="476"/>
      <c r="WDA15" s="476"/>
      <c r="WDB15" s="476"/>
      <c r="WDC15" s="476"/>
      <c r="WDD15" s="476"/>
      <c r="WDE15" s="476"/>
      <c r="WDF15" s="476"/>
      <c r="WDG15" s="476"/>
      <c r="WDH15" s="476"/>
      <c r="WDI15" s="476"/>
      <c r="WDJ15" s="476"/>
      <c r="WDK15" s="477"/>
      <c r="WDL15" s="477"/>
      <c r="WDM15" s="463"/>
      <c r="WDN15" s="475"/>
      <c r="WDO15" s="476"/>
      <c r="WDP15" s="476"/>
      <c r="WDQ15" s="476"/>
      <c r="WDR15" s="476"/>
      <c r="WDS15" s="476"/>
      <c r="WDT15" s="476"/>
      <c r="WDU15" s="476"/>
      <c r="WDV15" s="476"/>
      <c r="WDW15" s="476"/>
      <c r="WDX15" s="476"/>
      <c r="WDY15" s="476"/>
      <c r="WDZ15" s="476"/>
      <c r="WEA15" s="477"/>
      <c r="WEB15" s="477"/>
      <c r="WEC15" s="463"/>
      <c r="WED15" s="475"/>
      <c r="WEE15" s="476"/>
      <c r="WEF15" s="476"/>
      <c r="WEG15" s="476"/>
      <c r="WEH15" s="476"/>
      <c r="WEI15" s="476"/>
      <c r="WEJ15" s="476"/>
      <c r="WEK15" s="476"/>
      <c r="WEL15" s="476"/>
      <c r="WEM15" s="476"/>
      <c r="WEN15" s="476"/>
      <c r="WEO15" s="476"/>
      <c r="WEP15" s="476"/>
      <c r="WEQ15" s="477"/>
      <c r="WER15" s="477"/>
      <c r="WES15" s="463"/>
      <c r="WET15" s="475"/>
      <c r="WEU15" s="476"/>
      <c r="WEV15" s="476"/>
      <c r="WEW15" s="476"/>
      <c r="WEX15" s="476"/>
      <c r="WEY15" s="476"/>
      <c r="WEZ15" s="476"/>
      <c r="WFA15" s="476"/>
      <c r="WFB15" s="476"/>
      <c r="WFC15" s="476"/>
      <c r="WFD15" s="476"/>
      <c r="WFE15" s="476"/>
      <c r="WFF15" s="476"/>
      <c r="WFG15" s="477"/>
      <c r="WFH15" s="477"/>
      <c r="WFI15" s="463"/>
      <c r="WFJ15" s="475"/>
      <c r="WFK15" s="476"/>
      <c r="WFL15" s="476"/>
      <c r="WFM15" s="476"/>
      <c r="WFN15" s="476"/>
      <c r="WFO15" s="476"/>
      <c r="WFP15" s="476"/>
      <c r="WFQ15" s="476"/>
      <c r="WFR15" s="476"/>
      <c r="WFS15" s="476"/>
      <c r="WFT15" s="476"/>
      <c r="WFU15" s="476"/>
      <c r="WFV15" s="476"/>
      <c r="WFW15" s="477"/>
      <c r="WFX15" s="477"/>
      <c r="WFY15" s="463"/>
      <c r="WFZ15" s="475"/>
      <c r="WGA15" s="476"/>
      <c r="WGB15" s="476"/>
      <c r="WGC15" s="476"/>
      <c r="WGD15" s="476"/>
      <c r="WGE15" s="476"/>
      <c r="WGF15" s="476"/>
      <c r="WGG15" s="476"/>
      <c r="WGH15" s="476"/>
      <c r="WGI15" s="476"/>
      <c r="WGJ15" s="476"/>
      <c r="WGK15" s="476"/>
      <c r="WGL15" s="476"/>
      <c r="WGM15" s="477"/>
      <c r="WGN15" s="477"/>
      <c r="WGO15" s="463"/>
      <c r="WGP15" s="475"/>
      <c r="WGQ15" s="476"/>
      <c r="WGR15" s="476"/>
      <c r="WGS15" s="476"/>
      <c r="WGT15" s="476"/>
      <c r="WGU15" s="476"/>
      <c r="WGV15" s="476"/>
      <c r="WGW15" s="476"/>
      <c r="WGX15" s="476"/>
      <c r="WGY15" s="476"/>
      <c r="WGZ15" s="476"/>
      <c r="WHA15" s="476"/>
      <c r="WHB15" s="476"/>
      <c r="WHC15" s="477"/>
      <c r="WHD15" s="477"/>
      <c r="WHE15" s="463"/>
      <c r="WHF15" s="475"/>
      <c r="WHG15" s="476"/>
      <c r="WHH15" s="476"/>
      <c r="WHI15" s="476"/>
      <c r="WHJ15" s="476"/>
      <c r="WHK15" s="476"/>
      <c r="WHL15" s="476"/>
      <c r="WHM15" s="476"/>
      <c r="WHN15" s="476"/>
      <c r="WHO15" s="476"/>
      <c r="WHP15" s="476"/>
      <c r="WHQ15" s="476"/>
      <c r="WHR15" s="476"/>
      <c r="WHS15" s="477"/>
      <c r="WHT15" s="477"/>
      <c r="WHU15" s="463"/>
      <c r="WHV15" s="475"/>
      <c r="WHW15" s="476"/>
      <c r="WHX15" s="476"/>
      <c r="WHY15" s="476"/>
      <c r="WHZ15" s="476"/>
      <c r="WIA15" s="476"/>
      <c r="WIB15" s="476"/>
      <c r="WIC15" s="476"/>
      <c r="WID15" s="476"/>
      <c r="WIE15" s="476"/>
      <c r="WIF15" s="476"/>
      <c r="WIG15" s="476"/>
      <c r="WIH15" s="476"/>
      <c r="WII15" s="477"/>
      <c r="WIJ15" s="477"/>
      <c r="WIK15" s="463"/>
      <c r="WIL15" s="475"/>
      <c r="WIM15" s="476"/>
      <c r="WIN15" s="476"/>
      <c r="WIO15" s="476"/>
      <c r="WIP15" s="476"/>
      <c r="WIQ15" s="476"/>
      <c r="WIR15" s="476"/>
      <c r="WIS15" s="476"/>
      <c r="WIT15" s="476"/>
      <c r="WIU15" s="476"/>
      <c r="WIV15" s="476"/>
      <c r="WIW15" s="476"/>
      <c r="WIX15" s="476"/>
      <c r="WIY15" s="477"/>
      <c r="WIZ15" s="477"/>
      <c r="WJA15" s="463"/>
      <c r="WJB15" s="475"/>
      <c r="WJC15" s="476"/>
      <c r="WJD15" s="476"/>
      <c r="WJE15" s="476"/>
      <c r="WJF15" s="476"/>
      <c r="WJG15" s="476"/>
      <c r="WJH15" s="476"/>
      <c r="WJI15" s="476"/>
      <c r="WJJ15" s="476"/>
      <c r="WJK15" s="476"/>
      <c r="WJL15" s="476"/>
      <c r="WJM15" s="476"/>
      <c r="WJN15" s="476"/>
      <c r="WJO15" s="477"/>
      <c r="WJP15" s="477"/>
      <c r="WJQ15" s="463"/>
      <c r="WJR15" s="475"/>
      <c r="WJS15" s="476"/>
      <c r="WJT15" s="476"/>
      <c r="WJU15" s="476"/>
      <c r="WJV15" s="476"/>
      <c r="WJW15" s="476"/>
      <c r="WJX15" s="476"/>
      <c r="WJY15" s="476"/>
      <c r="WJZ15" s="476"/>
      <c r="WKA15" s="476"/>
      <c r="WKB15" s="476"/>
      <c r="WKC15" s="476"/>
      <c r="WKD15" s="476"/>
      <c r="WKE15" s="477"/>
      <c r="WKF15" s="477"/>
      <c r="WKG15" s="463"/>
      <c r="WKH15" s="475"/>
      <c r="WKI15" s="476"/>
      <c r="WKJ15" s="476"/>
      <c r="WKK15" s="476"/>
      <c r="WKL15" s="476"/>
      <c r="WKM15" s="476"/>
      <c r="WKN15" s="476"/>
      <c r="WKO15" s="476"/>
      <c r="WKP15" s="476"/>
      <c r="WKQ15" s="476"/>
      <c r="WKR15" s="476"/>
      <c r="WKS15" s="476"/>
      <c r="WKT15" s="476"/>
      <c r="WKU15" s="477"/>
      <c r="WKV15" s="477"/>
      <c r="WKW15" s="463"/>
      <c r="WKX15" s="475"/>
      <c r="WKY15" s="476"/>
      <c r="WKZ15" s="476"/>
      <c r="WLA15" s="476"/>
      <c r="WLB15" s="476"/>
      <c r="WLC15" s="476"/>
      <c r="WLD15" s="476"/>
      <c r="WLE15" s="476"/>
      <c r="WLF15" s="476"/>
      <c r="WLG15" s="476"/>
      <c r="WLH15" s="476"/>
      <c r="WLI15" s="476"/>
      <c r="WLJ15" s="476"/>
      <c r="WLK15" s="477"/>
      <c r="WLL15" s="477"/>
      <c r="WLM15" s="463"/>
      <c r="WLN15" s="475"/>
      <c r="WLO15" s="476"/>
      <c r="WLP15" s="476"/>
      <c r="WLQ15" s="476"/>
      <c r="WLR15" s="476"/>
      <c r="WLS15" s="476"/>
      <c r="WLT15" s="476"/>
      <c r="WLU15" s="476"/>
      <c r="WLV15" s="476"/>
      <c r="WLW15" s="476"/>
      <c r="WLX15" s="476"/>
      <c r="WLY15" s="476"/>
      <c r="WLZ15" s="476"/>
      <c r="WMA15" s="477"/>
      <c r="WMB15" s="477"/>
      <c r="WMC15" s="463"/>
      <c r="WMD15" s="475"/>
      <c r="WME15" s="476"/>
      <c r="WMF15" s="476"/>
      <c r="WMG15" s="476"/>
      <c r="WMH15" s="476"/>
      <c r="WMI15" s="476"/>
      <c r="WMJ15" s="476"/>
      <c r="WMK15" s="476"/>
      <c r="WML15" s="476"/>
      <c r="WMM15" s="476"/>
      <c r="WMN15" s="476"/>
      <c r="WMO15" s="476"/>
      <c r="WMP15" s="476"/>
      <c r="WMQ15" s="477"/>
      <c r="WMR15" s="477"/>
      <c r="WMS15" s="463"/>
      <c r="WMT15" s="475"/>
      <c r="WMU15" s="476"/>
      <c r="WMV15" s="476"/>
      <c r="WMW15" s="476"/>
      <c r="WMX15" s="476"/>
      <c r="WMY15" s="476"/>
      <c r="WMZ15" s="476"/>
      <c r="WNA15" s="476"/>
      <c r="WNB15" s="476"/>
      <c r="WNC15" s="476"/>
      <c r="WND15" s="476"/>
      <c r="WNE15" s="476"/>
      <c r="WNF15" s="476"/>
      <c r="WNG15" s="477"/>
      <c r="WNH15" s="477"/>
      <c r="WNI15" s="463"/>
      <c r="WNJ15" s="475"/>
      <c r="WNK15" s="476"/>
      <c r="WNL15" s="476"/>
      <c r="WNM15" s="476"/>
      <c r="WNN15" s="476"/>
      <c r="WNO15" s="476"/>
      <c r="WNP15" s="476"/>
      <c r="WNQ15" s="476"/>
      <c r="WNR15" s="476"/>
      <c r="WNS15" s="476"/>
      <c r="WNT15" s="476"/>
      <c r="WNU15" s="476"/>
      <c r="WNV15" s="476"/>
      <c r="WNW15" s="477"/>
      <c r="WNX15" s="477"/>
      <c r="WNY15" s="463"/>
      <c r="WNZ15" s="475"/>
      <c r="WOA15" s="476"/>
      <c r="WOB15" s="476"/>
      <c r="WOC15" s="476"/>
      <c r="WOD15" s="476"/>
      <c r="WOE15" s="476"/>
      <c r="WOF15" s="476"/>
      <c r="WOG15" s="476"/>
      <c r="WOH15" s="476"/>
      <c r="WOI15" s="476"/>
      <c r="WOJ15" s="476"/>
      <c r="WOK15" s="476"/>
      <c r="WOL15" s="476"/>
      <c r="WOM15" s="477"/>
      <c r="WON15" s="477"/>
      <c r="WOO15" s="463"/>
      <c r="WOP15" s="475"/>
      <c r="WOQ15" s="476"/>
      <c r="WOR15" s="476"/>
      <c r="WOS15" s="476"/>
      <c r="WOT15" s="476"/>
      <c r="WOU15" s="476"/>
      <c r="WOV15" s="476"/>
      <c r="WOW15" s="476"/>
      <c r="WOX15" s="476"/>
      <c r="WOY15" s="476"/>
      <c r="WOZ15" s="476"/>
      <c r="WPA15" s="476"/>
      <c r="WPB15" s="476"/>
      <c r="WPC15" s="477"/>
      <c r="WPD15" s="477"/>
      <c r="WPE15" s="463"/>
      <c r="WPF15" s="475"/>
      <c r="WPG15" s="476"/>
      <c r="WPH15" s="476"/>
      <c r="WPI15" s="476"/>
      <c r="WPJ15" s="476"/>
      <c r="WPK15" s="476"/>
      <c r="WPL15" s="476"/>
      <c r="WPM15" s="476"/>
      <c r="WPN15" s="476"/>
      <c r="WPO15" s="476"/>
      <c r="WPP15" s="476"/>
      <c r="WPQ15" s="476"/>
      <c r="WPR15" s="476"/>
      <c r="WPS15" s="477"/>
      <c r="WPT15" s="477"/>
      <c r="WPU15" s="463"/>
      <c r="WPV15" s="475"/>
      <c r="WPW15" s="476"/>
      <c r="WPX15" s="476"/>
      <c r="WPY15" s="476"/>
      <c r="WPZ15" s="476"/>
      <c r="WQA15" s="476"/>
      <c r="WQB15" s="476"/>
      <c r="WQC15" s="476"/>
      <c r="WQD15" s="476"/>
      <c r="WQE15" s="476"/>
      <c r="WQF15" s="476"/>
      <c r="WQG15" s="476"/>
      <c r="WQH15" s="476"/>
      <c r="WQI15" s="477"/>
      <c r="WQJ15" s="477"/>
      <c r="WQK15" s="463"/>
      <c r="WQL15" s="475"/>
      <c r="WQM15" s="476"/>
      <c r="WQN15" s="476"/>
      <c r="WQO15" s="476"/>
      <c r="WQP15" s="476"/>
      <c r="WQQ15" s="476"/>
      <c r="WQR15" s="476"/>
      <c r="WQS15" s="476"/>
      <c r="WQT15" s="476"/>
      <c r="WQU15" s="476"/>
      <c r="WQV15" s="476"/>
      <c r="WQW15" s="476"/>
      <c r="WQX15" s="476"/>
      <c r="WQY15" s="477"/>
      <c r="WQZ15" s="477"/>
      <c r="WRA15" s="463"/>
      <c r="WRB15" s="475"/>
      <c r="WRC15" s="476"/>
      <c r="WRD15" s="476"/>
      <c r="WRE15" s="476"/>
      <c r="WRF15" s="476"/>
      <c r="WRG15" s="476"/>
      <c r="WRH15" s="476"/>
      <c r="WRI15" s="476"/>
      <c r="WRJ15" s="476"/>
      <c r="WRK15" s="476"/>
      <c r="WRL15" s="476"/>
      <c r="WRM15" s="476"/>
      <c r="WRN15" s="476"/>
      <c r="WRO15" s="477"/>
      <c r="WRP15" s="477"/>
      <c r="WRQ15" s="463"/>
      <c r="WRR15" s="475"/>
      <c r="WRS15" s="476"/>
      <c r="WRT15" s="476"/>
      <c r="WRU15" s="476"/>
      <c r="WRV15" s="476"/>
      <c r="WRW15" s="476"/>
      <c r="WRX15" s="476"/>
      <c r="WRY15" s="476"/>
      <c r="WRZ15" s="476"/>
      <c r="WSA15" s="476"/>
      <c r="WSB15" s="476"/>
      <c r="WSC15" s="476"/>
      <c r="WSD15" s="476"/>
      <c r="WSE15" s="477"/>
      <c r="WSF15" s="477"/>
      <c r="WSG15" s="463"/>
      <c r="WSH15" s="475"/>
      <c r="WSI15" s="476"/>
      <c r="WSJ15" s="476"/>
      <c r="WSK15" s="476"/>
      <c r="WSL15" s="476"/>
      <c r="WSM15" s="476"/>
      <c r="WSN15" s="476"/>
      <c r="WSO15" s="476"/>
      <c r="WSP15" s="476"/>
      <c r="WSQ15" s="476"/>
      <c r="WSR15" s="476"/>
      <c r="WSS15" s="476"/>
      <c r="WST15" s="476"/>
      <c r="WSU15" s="477"/>
      <c r="WSV15" s="477"/>
      <c r="WSW15" s="463"/>
      <c r="WSX15" s="475"/>
      <c r="WSY15" s="476"/>
      <c r="WSZ15" s="476"/>
      <c r="WTA15" s="476"/>
      <c r="WTB15" s="476"/>
      <c r="WTC15" s="476"/>
      <c r="WTD15" s="476"/>
      <c r="WTE15" s="476"/>
      <c r="WTF15" s="476"/>
      <c r="WTG15" s="476"/>
      <c r="WTH15" s="476"/>
      <c r="WTI15" s="476"/>
      <c r="WTJ15" s="476"/>
      <c r="WTK15" s="477"/>
      <c r="WTL15" s="477"/>
      <c r="WTM15" s="463"/>
      <c r="WTN15" s="475"/>
      <c r="WTO15" s="476"/>
      <c r="WTP15" s="476"/>
      <c r="WTQ15" s="476"/>
      <c r="WTR15" s="476"/>
      <c r="WTS15" s="476"/>
      <c r="WTT15" s="476"/>
      <c r="WTU15" s="476"/>
      <c r="WTV15" s="476"/>
      <c r="WTW15" s="476"/>
      <c r="WTX15" s="476"/>
      <c r="WTY15" s="476"/>
      <c r="WTZ15" s="476"/>
      <c r="WUA15" s="477"/>
      <c r="WUB15" s="477"/>
      <c r="WUC15" s="463"/>
      <c r="WUD15" s="475"/>
      <c r="WUE15" s="476"/>
      <c r="WUF15" s="476"/>
      <c r="WUG15" s="476"/>
      <c r="WUH15" s="476"/>
      <c r="WUI15" s="476"/>
      <c r="WUJ15" s="476"/>
      <c r="WUK15" s="476"/>
      <c r="WUL15" s="476"/>
      <c r="WUM15" s="476"/>
      <c r="WUN15" s="476"/>
      <c r="WUO15" s="476"/>
      <c r="WUP15" s="476"/>
      <c r="WUQ15" s="477"/>
      <c r="WUR15" s="477"/>
      <c r="WUS15" s="463"/>
      <c r="WUT15" s="475"/>
      <c r="WUU15" s="476"/>
      <c r="WUV15" s="476"/>
      <c r="WUW15" s="476"/>
      <c r="WUX15" s="476"/>
      <c r="WUY15" s="476"/>
      <c r="WUZ15" s="476"/>
      <c r="WVA15" s="476"/>
      <c r="WVB15" s="476"/>
      <c r="WVC15" s="476"/>
      <c r="WVD15" s="476"/>
      <c r="WVE15" s="476"/>
      <c r="WVF15" s="476"/>
      <c r="WVG15" s="477"/>
      <c r="WVH15" s="477"/>
      <c r="WVI15" s="463"/>
      <c r="WVJ15" s="475"/>
      <c r="WVK15" s="476"/>
      <c r="WVL15" s="476"/>
      <c r="WVM15" s="476"/>
      <c r="WVN15" s="476"/>
      <c r="WVO15" s="476"/>
      <c r="WVP15" s="476"/>
      <c r="WVQ15" s="476"/>
      <c r="WVR15" s="476"/>
      <c r="WVS15" s="476"/>
      <c r="WVT15" s="476"/>
      <c r="WVU15" s="476"/>
      <c r="WVV15" s="476"/>
      <c r="WVW15" s="477"/>
      <c r="WVX15" s="477"/>
      <c r="WVY15" s="463"/>
      <c r="WVZ15" s="475"/>
      <c r="WWA15" s="476"/>
      <c r="WWB15" s="476"/>
      <c r="WWC15" s="476"/>
      <c r="WWD15" s="476"/>
      <c r="WWE15" s="476"/>
      <c r="WWF15" s="476"/>
      <c r="WWG15" s="476"/>
      <c r="WWH15" s="476"/>
      <c r="WWI15" s="476"/>
      <c r="WWJ15" s="476"/>
      <c r="WWK15" s="476"/>
      <c r="WWL15" s="476"/>
      <c r="WWM15" s="477"/>
      <c r="WWN15" s="477"/>
      <c r="WWO15" s="463"/>
      <c r="WWP15" s="475"/>
      <c r="WWQ15" s="476"/>
      <c r="WWR15" s="476"/>
      <c r="WWS15" s="476"/>
      <c r="WWT15" s="476"/>
      <c r="WWU15" s="476"/>
      <c r="WWV15" s="476"/>
      <c r="WWW15" s="476"/>
      <c r="WWX15" s="476"/>
      <c r="WWY15" s="476"/>
      <c r="WWZ15" s="476"/>
      <c r="WXA15" s="476"/>
      <c r="WXB15" s="476"/>
      <c r="WXC15" s="477"/>
      <c r="WXD15" s="477"/>
      <c r="WXE15" s="463"/>
      <c r="WXF15" s="475"/>
      <c r="WXG15" s="476"/>
      <c r="WXH15" s="476"/>
      <c r="WXI15" s="476"/>
      <c r="WXJ15" s="476"/>
      <c r="WXK15" s="476"/>
      <c r="WXL15" s="476"/>
      <c r="WXM15" s="476"/>
      <c r="WXN15" s="476"/>
      <c r="WXO15" s="476"/>
      <c r="WXP15" s="476"/>
      <c r="WXQ15" s="476"/>
      <c r="WXR15" s="476"/>
      <c r="WXS15" s="477"/>
      <c r="WXT15" s="477"/>
      <c r="WXU15" s="463"/>
      <c r="WXV15" s="475"/>
      <c r="WXW15" s="476"/>
      <c r="WXX15" s="476"/>
      <c r="WXY15" s="476"/>
      <c r="WXZ15" s="476"/>
      <c r="WYA15" s="476"/>
      <c r="WYB15" s="476"/>
      <c r="WYC15" s="476"/>
      <c r="WYD15" s="476"/>
      <c r="WYE15" s="476"/>
      <c r="WYF15" s="476"/>
      <c r="WYG15" s="476"/>
      <c r="WYH15" s="476"/>
      <c r="WYI15" s="477"/>
      <c r="WYJ15" s="477"/>
      <c r="WYK15" s="463"/>
      <c r="WYL15" s="475"/>
      <c r="WYM15" s="476"/>
      <c r="WYN15" s="476"/>
      <c r="WYO15" s="476"/>
      <c r="WYP15" s="476"/>
      <c r="WYQ15" s="476"/>
      <c r="WYR15" s="476"/>
      <c r="WYS15" s="476"/>
      <c r="WYT15" s="476"/>
      <c r="WYU15" s="476"/>
      <c r="WYV15" s="476"/>
      <c r="WYW15" s="476"/>
      <c r="WYX15" s="476"/>
      <c r="WYY15" s="477"/>
      <c r="WYZ15" s="477"/>
      <c r="WZA15" s="463"/>
      <c r="WZB15" s="475"/>
      <c r="WZC15" s="476"/>
      <c r="WZD15" s="476"/>
      <c r="WZE15" s="476"/>
      <c r="WZF15" s="476"/>
      <c r="WZG15" s="476"/>
      <c r="WZH15" s="476"/>
      <c r="WZI15" s="476"/>
      <c r="WZJ15" s="476"/>
      <c r="WZK15" s="476"/>
      <c r="WZL15" s="476"/>
      <c r="WZM15" s="476"/>
      <c r="WZN15" s="476"/>
      <c r="WZO15" s="477"/>
      <c r="WZP15" s="477"/>
      <c r="WZQ15" s="463"/>
      <c r="WZR15" s="475"/>
      <c r="WZS15" s="476"/>
      <c r="WZT15" s="476"/>
      <c r="WZU15" s="476"/>
      <c r="WZV15" s="476"/>
      <c r="WZW15" s="476"/>
      <c r="WZX15" s="476"/>
      <c r="WZY15" s="476"/>
      <c r="WZZ15" s="476"/>
      <c r="XAA15" s="476"/>
      <c r="XAB15" s="476"/>
      <c r="XAC15" s="476"/>
      <c r="XAD15" s="476"/>
      <c r="XAE15" s="477"/>
      <c r="XAF15" s="477"/>
      <c r="XAG15" s="463"/>
      <c r="XAH15" s="475"/>
      <c r="XAI15" s="476"/>
      <c r="XAJ15" s="476"/>
      <c r="XAK15" s="476"/>
      <c r="XAL15" s="476"/>
      <c r="XAM15" s="476"/>
      <c r="XAN15" s="476"/>
      <c r="XAO15" s="476"/>
      <c r="XAP15" s="476"/>
      <c r="XAQ15" s="476"/>
      <c r="XAR15" s="476"/>
      <c r="XAS15" s="476"/>
      <c r="XAT15" s="476"/>
      <c r="XAU15" s="477"/>
      <c r="XAV15" s="477"/>
      <c r="XAW15" s="463"/>
      <c r="XAX15" s="475"/>
      <c r="XAY15" s="476"/>
      <c r="XAZ15" s="476"/>
      <c r="XBA15" s="476"/>
      <c r="XBB15" s="476"/>
      <c r="XBC15" s="476"/>
      <c r="XBD15" s="476"/>
      <c r="XBE15" s="476"/>
      <c r="XBF15" s="476"/>
      <c r="XBG15" s="476"/>
      <c r="XBH15" s="476"/>
      <c r="XBI15" s="476"/>
      <c r="XBJ15" s="476"/>
      <c r="XBK15" s="477"/>
      <c r="XBL15" s="477"/>
      <c r="XBM15" s="463"/>
      <c r="XBN15" s="475"/>
      <c r="XBO15" s="476"/>
      <c r="XBP15" s="476"/>
      <c r="XBQ15" s="476"/>
      <c r="XBR15" s="476"/>
      <c r="XBS15" s="476"/>
      <c r="XBT15" s="476"/>
      <c r="XBU15" s="476"/>
      <c r="XBV15" s="476"/>
      <c r="XBW15" s="476"/>
      <c r="XBX15" s="476"/>
      <c r="XBY15" s="476"/>
      <c r="XBZ15" s="476"/>
      <c r="XCA15" s="477"/>
      <c r="XCB15" s="477"/>
      <c r="XCC15" s="463"/>
      <c r="XCD15" s="475"/>
      <c r="XCE15" s="476"/>
      <c r="XCF15" s="476"/>
      <c r="XCG15" s="476"/>
      <c r="XCH15" s="476"/>
      <c r="XCI15" s="476"/>
      <c r="XCJ15" s="476"/>
      <c r="XCK15" s="476"/>
      <c r="XCL15" s="476"/>
      <c r="XCM15" s="476"/>
      <c r="XCN15" s="476"/>
      <c r="XCO15" s="476"/>
      <c r="XCP15" s="476"/>
      <c r="XCQ15" s="477"/>
      <c r="XCR15" s="477"/>
      <c r="XCS15" s="463"/>
      <c r="XCT15" s="475"/>
      <c r="XCU15" s="476"/>
      <c r="XCV15" s="476"/>
      <c r="XCW15" s="476"/>
      <c r="XCX15" s="476"/>
      <c r="XCY15" s="476"/>
      <c r="XCZ15" s="476"/>
      <c r="XDA15" s="476"/>
      <c r="XDB15" s="476"/>
      <c r="XDC15" s="476"/>
      <c r="XDD15" s="476"/>
      <c r="XDE15" s="476"/>
      <c r="XDF15" s="476"/>
      <c r="XDG15" s="477"/>
      <c r="XDH15" s="477"/>
      <c r="XDI15" s="463"/>
      <c r="XDJ15" s="475"/>
      <c r="XDK15" s="476"/>
      <c r="XDL15" s="476"/>
      <c r="XDM15" s="476"/>
      <c r="XDN15" s="476"/>
      <c r="XDO15" s="476"/>
      <c r="XDP15" s="476"/>
      <c r="XDQ15" s="476"/>
      <c r="XDR15" s="476"/>
      <c r="XDS15" s="476"/>
      <c r="XDT15" s="476"/>
      <c r="XDU15" s="476"/>
      <c r="XDV15" s="476"/>
      <c r="XDW15" s="477"/>
      <c r="XDX15" s="477"/>
      <c r="XDY15" s="463"/>
      <c r="XDZ15" s="475"/>
      <c r="XEA15" s="476"/>
      <c r="XEB15" s="476"/>
      <c r="XEC15" s="476"/>
      <c r="XED15" s="476"/>
      <c r="XEE15" s="476"/>
      <c r="XEF15" s="476"/>
      <c r="XEG15" s="476"/>
      <c r="XEH15" s="476"/>
      <c r="XEI15" s="476"/>
      <c r="XEJ15" s="476"/>
      <c r="XEK15" s="476"/>
      <c r="XEL15" s="476"/>
      <c r="XEM15" s="477"/>
      <c r="XEN15" s="477"/>
      <c r="XEO15" s="463"/>
      <c r="XEP15" s="475"/>
      <c r="XEQ15" s="476"/>
    </row>
    <row r="16" spans="1:16371" x14ac:dyDescent="0.25">
      <c r="A16" s="471" t="s">
        <v>433</v>
      </c>
      <c r="B16" s="472" t="s">
        <v>341</v>
      </c>
      <c r="C16" s="473">
        <f>INVENTARIOS!C22</f>
        <v>969.6</v>
      </c>
      <c r="D16" s="473">
        <f>INVENTARIOS!D22</f>
        <v>453.17</v>
      </c>
      <c r="E16" s="473">
        <f>INVENTARIOS!E22</f>
        <v>1213.732</v>
      </c>
      <c r="F16" s="473">
        <f>INVENTARIOS!F22</f>
        <v>649.29200000000003</v>
      </c>
      <c r="G16" s="473">
        <f>INVENTARIOS!G22</f>
        <v>574.80399999999997</v>
      </c>
      <c r="H16" s="473">
        <f>INVENTARIOS!H22</f>
        <v>840.48800000000006</v>
      </c>
      <c r="I16" s="473">
        <f>INVENTARIOS!I22</f>
        <v>891.29600000000005</v>
      </c>
      <c r="J16" s="473">
        <f>INVENTARIOS!J22</f>
        <v>503.404</v>
      </c>
      <c r="K16" s="473">
        <f>INVENTARIOS!K22</f>
        <v>632.80700000000002</v>
      </c>
      <c r="L16" s="473">
        <f>INVENTARIOS!L22</f>
        <v>796.90899999999999</v>
      </c>
      <c r="M16" s="473">
        <f>INVENTARIOS!M22</f>
        <v>625.66399999999999</v>
      </c>
      <c r="N16" s="473">
        <f>INVENTARIOS!N22</f>
        <v>444.24</v>
      </c>
      <c r="O16" s="474">
        <f t="shared" si="15"/>
        <v>716.28383333333329</v>
      </c>
      <c r="P16" s="531">
        <f>IFERROR(AVERAGEIFS('INDICADORES PRODUCCION'!C16:N16,'INDICADORES PRODUCCION'!C16:N16,"&gt;0",'INDICADORES PRODUCCION'!C$7:N$7,"&gt;="&amp;DATE(YEAR('INDICADORES PRODUCCION'!N$7),1,1),'INDICADORES PRODUCCION'!C$7:N$7,"&lt;="&amp;DATE(YEAR('INDICADORES PRODUCCION'!N$7),12,31)),"-")</f>
        <v>624.90499999999997</v>
      </c>
      <c r="Q16" s="474">
        <v>672.51225000000011</v>
      </c>
      <c r="R16" s="475"/>
      <c r="S16" s="804"/>
      <c r="T16" s="804"/>
      <c r="U16" s="804"/>
      <c r="V16" s="804"/>
      <c r="W16" s="804"/>
      <c r="X16" s="804"/>
      <c r="Y16" s="804"/>
      <c r="Z16" s="804"/>
      <c r="AA16" s="804"/>
      <c r="AB16" s="804"/>
      <c r="AC16" s="804"/>
      <c r="AD16" s="476"/>
      <c r="AE16" s="799">
        <f t="shared" si="2"/>
        <v>-969.6</v>
      </c>
      <c r="AF16" s="799">
        <f t="shared" si="3"/>
        <v>-453.17</v>
      </c>
      <c r="AG16" s="799">
        <f t="shared" si="4"/>
        <v>-1213.732</v>
      </c>
      <c r="AH16" s="799">
        <f t="shared" si="5"/>
        <v>-649.29200000000003</v>
      </c>
      <c r="AI16" s="799">
        <f t="shared" si="6"/>
        <v>-574.80399999999997</v>
      </c>
      <c r="AJ16" s="799">
        <f t="shared" si="7"/>
        <v>-840.48800000000006</v>
      </c>
      <c r="AK16" s="799">
        <f t="shared" si="8"/>
        <v>-891.29600000000005</v>
      </c>
      <c r="AL16" s="799">
        <f t="shared" si="9"/>
        <v>-503.404</v>
      </c>
      <c r="AM16" s="799">
        <f t="shared" si="10"/>
        <v>-632.80700000000002</v>
      </c>
      <c r="AN16" s="799">
        <f t="shared" si="11"/>
        <v>-796.90899999999999</v>
      </c>
      <c r="AO16" s="799">
        <f t="shared" si="12"/>
        <v>-625.66399999999999</v>
      </c>
      <c r="AP16" s="799"/>
      <c r="AQ16" s="799"/>
      <c r="AR16" s="799"/>
      <c r="AS16" s="799"/>
      <c r="AT16" s="799"/>
      <c r="AU16" s="799"/>
      <c r="AV16" s="799"/>
      <c r="AW16" s="799"/>
      <c r="AX16" s="799"/>
      <c r="AY16" s="799"/>
      <c r="AZ16" s="799">
        <f t="shared" si="1"/>
        <v>-625.66399999999999</v>
      </c>
      <c r="BA16" s="799"/>
      <c r="BB16" s="799"/>
      <c r="BC16" s="476"/>
      <c r="BD16" s="476"/>
      <c r="BE16" s="476"/>
      <c r="BF16" s="476"/>
      <c r="BG16" s="476"/>
      <c r="BH16" s="476"/>
      <c r="BI16" s="476"/>
      <c r="BJ16" s="476"/>
      <c r="BK16" s="477"/>
      <c r="BL16" s="477"/>
      <c r="BM16" s="463"/>
      <c r="BN16" s="475"/>
      <c r="BO16" s="476"/>
      <c r="BP16" s="476"/>
      <c r="BQ16" s="476"/>
      <c r="BR16" s="476"/>
      <c r="BS16" s="476"/>
      <c r="BT16" s="476"/>
      <c r="BU16" s="476"/>
      <c r="BV16" s="476"/>
      <c r="BW16" s="476"/>
      <c r="BX16" s="476"/>
      <c r="BY16" s="476"/>
      <c r="BZ16" s="476"/>
      <c r="CA16" s="477"/>
      <c r="CB16" s="477"/>
      <c r="CC16" s="463"/>
      <c r="CD16" s="475"/>
      <c r="CE16" s="476"/>
      <c r="CF16" s="476"/>
      <c r="CG16" s="476"/>
      <c r="CH16" s="476"/>
      <c r="CI16" s="476"/>
      <c r="CJ16" s="476"/>
      <c r="CK16" s="476"/>
      <c r="CL16" s="476"/>
      <c r="CM16" s="476"/>
      <c r="CN16" s="476"/>
      <c r="CO16" s="476"/>
      <c r="CP16" s="476"/>
      <c r="CQ16" s="477"/>
      <c r="CR16" s="477"/>
      <c r="CS16" s="463"/>
      <c r="CT16" s="475"/>
      <c r="CU16" s="476"/>
      <c r="CV16" s="476"/>
      <c r="CW16" s="476"/>
      <c r="CX16" s="476"/>
      <c r="CY16" s="476"/>
      <c r="CZ16" s="476"/>
      <c r="DA16" s="476"/>
      <c r="DB16" s="476"/>
      <c r="DC16" s="476"/>
      <c r="DD16" s="476"/>
      <c r="DE16" s="476"/>
      <c r="DF16" s="476"/>
      <c r="DG16" s="477"/>
      <c r="DH16" s="477"/>
      <c r="DI16" s="463"/>
      <c r="DJ16" s="475"/>
      <c r="DK16" s="476"/>
      <c r="DL16" s="476"/>
      <c r="DM16" s="476"/>
      <c r="DN16" s="476"/>
      <c r="DO16" s="476"/>
      <c r="DP16" s="476"/>
      <c r="DQ16" s="476"/>
      <c r="DR16" s="476"/>
      <c r="DS16" s="476"/>
      <c r="DT16" s="476"/>
      <c r="DU16" s="476"/>
      <c r="DV16" s="476"/>
      <c r="DW16" s="477"/>
      <c r="DX16" s="477"/>
      <c r="DY16" s="463"/>
      <c r="DZ16" s="475"/>
      <c r="EA16" s="476"/>
      <c r="EB16" s="476"/>
      <c r="EC16" s="476"/>
      <c r="ED16" s="476"/>
      <c r="EE16" s="476"/>
      <c r="EF16" s="476"/>
      <c r="EG16" s="476"/>
      <c r="EH16" s="476"/>
      <c r="EI16" s="476"/>
      <c r="EJ16" s="476"/>
      <c r="EK16" s="476"/>
      <c r="EL16" s="476"/>
      <c r="EM16" s="477"/>
      <c r="EN16" s="477"/>
      <c r="EO16" s="463"/>
      <c r="EP16" s="475"/>
      <c r="EQ16" s="476"/>
      <c r="ER16" s="476"/>
      <c r="ES16" s="476"/>
      <c r="ET16" s="476"/>
      <c r="EU16" s="476"/>
      <c r="EV16" s="476"/>
      <c r="EW16" s="476"/>
      <c r="EX16" s="476"/>
      <c r="EY16" s="476"/>
      <c r="EZ16" s="476"/>
      <c r="FA16" s="476"/>
      <c r="FB16" s="476"/>
      <c r="FC16" s="477"/>
      <c r="FD16" s="477"/>
      <c r="FE16" s="463"/>
      <c r="FF16" s="475"/>
      <c r="FG16" s="476"/>
      <c r="FH16" s="476"/>
      <c r="FI16" s="476"/>
      <c r="FJ16" s="476"/>
      <c r="FK16" s="476"/>
      <c r="FL16" s="476"/>
      <c r="FM16" s="476"/>
      <c r="FN16" s="476"/>
      <c r="FO16" s="476"/>
      <c r="FP16" s="476"/>
      <c r="FQ16" s="476"/>
      <c r="FR16" s="476"/>
      <c r="FS16" s="477"/>
      <c r="FT16" s="477"/>
      <c r="FU16" s="463"/>
      <c r="FV16" s="475"/>
      <c r="FW16" s="476"/>
      <c r="FX16" s="476"/>
      <c r="FY16" s="476"/>
      <c r="FZ16" s="476"/>
      <c r="GA16" s="476"/>
      <c r="GB16" s="476"/>
      <c r="GC16" s="476"/>
      <c r="GD16" s="476"/>
      <c r="GE16" s="476"/>
      <c r="GF16" s="476"/>
      <c r="GG16" s="476"/>
      <c r="GH16" s="476"/>
      <c r="GI16" s="477"/>
      <c r="GJ16" s="477"/>
      <c r="GK16" s="463"/>
      <c r="GL16" s="475"/>
      <c r="GM16" s="476"/>
      <c r="GN16" s="476"/>
      <c r="GO16" s="476"/>
      <c r="GP16" s="476"/>
      <c r="GQ16" s="476"/>
      <c r="GR16" s="476"/>
      <c r="GS16" s="476"/>
      <c r="GT16" s="476"/>
      <c r="GU16" s="476"/>
      <c r="GV16" s="476"/>
      <c r="GW16" s="476"/>
      <c r="GX16" s="476"/>
      <c r="GY16" s="477"/>
      <c r="GZ16" s="477"/>
      <c r="HA16" s="463"/>
      <c r="HB16" s="475"/>
      <c r="HC16" s="476"/>
      <c r="HD16" s="476"/>
      <c r="HE16" s="476"/>
      <c r="HF16" s="476"/>
      <c r="HG16" s="476"/>
      <c r="HH16" s="476"/>
      <c r="HI16" s="476"/>
      <c r="HJ16" s="476"/>
      <c r="HK16" s="476"/>
      <c r="HL16" s="476"/>
      <c r="HM16" s="476"/>
      <c r="HN16" s="476"/>
      <c r="HO16" s="477"/>
      <c r="HP16" s="477"/>
      <c r="HQ16" s="463"/>
      <c r="HR16" s="475"/>
      <c r="HS16" s="476"/>
      <c r="HT16" s="476"/>
      <c r="HU16" s="476"/>
      <c r="HV16" s="476"/>
      <c r="HW16" s="476"/>
      <c r="HX16" s="476"/>
      <c r="HY16" s="476"/>
      <c r="HZ16" s="476"/>
      <c r="IA16" s="476"/>
      <c r="IB16" s="476"/>
      <c r="IC16" s="476"/>
      <c r="ID16" s="476"/>
      <c r="IE16" s="477"/>
      <c r="IF16" s="477"/>
      <c r="IG16" s="463"/>
      <c r="IH16" s="475"/>
      <c r="II16" s="476"/>
      <c r="IJ16" s="476"/>
      <c r="IK16" s="476"/>
      <c r="IL16" s="476"/>
      <c r="IM16" s="476"/>
      <c r="IN16" s="476"/>
      <c r="IO16" s="476"/>
      <c r="IP16" s="476"/>
      <c r="IQ16" s="476"/>
      <c r="IR16" s="476"/>
      <c r="IS16" s="476"/>
      <c r="IT16" s="476"/>
      <c r="IU16" s="477"/>
      <c r="IV16" s="477"/>
      <c r="IW16" s="463"/>
      <c r="IX16" s="475"/>
      <c r="IY16" s="476"/>
      <c r="IZ16" s="476"/>
      <c r="JA16" s="476"/>
      <c r="JB16" s="476"/>
      <c r="JC16" s="476"/>
      <c r="JD16" s="476"/>
      <c r="JE16" s="476"/>
      <c r="JF16" s="476"/>
      <c r="JG16" s="476"/>
      <c r="JH16" s="476"/>
      <c r="JI16" s="476"/>
      <c r="JJ16" s="476"/>
      <c r="JK16" s="477"/>
      <c r="JL16" s="477"/>
      <c r="JM16" s="463"/>
      <c r="JN16" s="475"/>
      <c r="JO16" s="476"/>
      <c r="JP16" s="476"/>
      <c r="JQ16" s="476"/>
      <c r="JR16" s="476"/>
      <c r="JS16" s="476"/>
      <c r="JT16" s="476"/>
      <c r="JU16" s="476"/>
      <c r="JV16" s="476"/>
      <c r="JW16" s="476"/>
      <c r="JX16" s="476"/>
      <c r="JY16" s="476"/>
      <c r="JZ16" s="476"/>
      <c r="KA16" s="477"/>
      <c r="KB16" s="477"/>
      <c r="KC16" s="463"/>
      <c r="KD16" s="475"/>
      <c r="KE16" s="476"/>
      <c r="KF16" s="476"/>
      <c r="KG16" s="476"/>
      <c r="KH16" s="476"/>
      <c r="KI16" s="476"/>
      <c r="KJ16" s="476"/>
      <c r="KK16" s="476"/>
      <c r="KL16" s="476"/>
      <c r="KM16" s="476"/>
      <c r="KN16" s="476"/>
      <c r="KO16" s="476"/>
      <c r="KP16" s="476"/>
      <c r="KQ16" s="477"/>
      <c r="KR16" s="477"/>
      <c r="KS16" s="463"/>
      <c r="KT16" s="475"/>
      <c r="KU16" s="476"/>
      <c r="KV16" s="476"/>
      <c r="KW16" s="476"/>
      <c r="KX16" s="476"/>
      <c r="KY16" s="476"/>
      <c r="KZ16" s="476"/>
      <c r="LA16" s="476"/>
      <c r="LB16" s="476"/>
      <c r="LC16" s="476"/>
      <c r="LD16" s="476"/>
      <c r="LE16" s="476"/>
      <c r="LF16" s="476"/>
      <c r="LG16" s="477"/>
      <c r="LH16" s="477"/>
      <c r="LI16" s="463"/>
      <c r="LJ16" s="475"/>
      <c r="LK16" s="476"/>
      <c r="LL16" s="476"/>
      <c r="LM16" s="476"/>
      <c r="LN16" s="476"/>
      <c r="LO16" s="476"/>
      <c r="LP16" s="476"/>
      <c r="LQ16" s="476"/>
      <c r="LR16" s="476"/>
      <c r="LS16" s="476"/>
      <c r="LT16" s="476"/>
      <c r="LU16" s="476"/>
      <c r="LV16" s="476"/>
      <c r="LW16" s="477"/>
      <c r="LX16" s="477"/>
      <c r="LY16" s="463"/>
      <c r="LZ16" s="475"/>
      <c r="MA16" s="476"/>
      <c r="MB16" s="476"/>
      <c r="MC16" s="476"/>
      <c r="MD16" s="476"/>
      <c r="ME16" s="476"/>
      <c r="MF16" s="476"/>
      <c r="MG16" s="476"/>
      <c r="MH16" s="476"/>
      <c r="MI16" s="476"/>
      <c r="MJ16" s="476"/>
      <c r="MK16" s="476"/>
      <c r="ML16" s="476"/>
      <c r="MM16" s="477"/>
      <c r="MN16" s="477"/>
      <c r="MO16" s="463"/>
      <c r="MP16" s="475"/>
      <c r="MQ16" s="476"/>
      <c r="MR16" s="476"/>
      <c r="MS16" s="476"/>
      <c r="MT16" s="476"/>
      <c r="MU16" s="476"/>
      <c r="MV16" s="476"/>
      <c r="MW16" s="476"/>
      <c r="MX16" s="476"/>
      <c r="MY16" s="476"/>
      <c r="MZ16" s="476"/>
      <c r="NA16" s="476"/>
      <c r="NB16" s="476"/>
      <c r="NC16" s="477"/>
      <c r="ND16" s="477"/>
      <c r="NE16" s="463"/>
      <c r="NF16" s="475"/>
      <c r="NG16" s="476"/>
      <c r="NH16" s="476"/>
      <c r="NI16" s="476"/>
      <c r="NJ16" s="476"/>
      <c r="NK16" s="476"/>
      <c r="NL16" s="476"/>
      <c r="NM16" s="476"/>
      <c r="NN16" s="476"/>
      <c r="NO16" s="476"/>
      <c r="NP16" s="476"/>
      <c r="NQ16" s="476"/>
      <c r="NR16" s="476"/>
      <c r="NS16" s="477"/>
      <c r="NT16" s="477"/>
      <c r="NU16" s="463"/>
      <c r="NV16" s="475"/>
      <c r="NW16" s="476"/>
      <c r="NX16" s="476"/>
      <c r="NY16" s="476"/>
      <c r="NZ16" s="476"/>
      <c r="OA16" s="476"/>
      <c r="OB16" s="476"/>
      <c r="OC16" s="476"/>
      <c r="OD16" s="476"/>
      <c r="OE16" s="476"/>
      <c r="OF16" s="476"/>
      <c r="OG16" s="476"/>
      <c r="OH16" s="476"/>
      <c r="OI16" s="477"/>
      <c r="OJ16" s="477"/>
      <c r="OK16" s="463"/>
      <c r="OL16" s="475"/>
      <c r="OM16" s="476"/>
      <c r="ON16" s="476"/>
      <c r="OO16" s="476"/>
      <c r="OP16" s="476"/>
      <c r="OQ16" s="476"/>
      <c r="OR16" s="476"/>
      <c r="OS16" s="476"/>
      <c r="OT16" s="476"/>
      <c r="OU16" s="476"/>
      <c r="OV16" s="476"/>
      <c r="OW16" s="476"/>
      <c r="OX16" s="476"/>
      <c r="OY16" s="477"/>
      <c r="OZ16" s="477"/>
      <c r="PA16" s="463"/>
      <c r="PB16" s="475"/>
      <c r="PC16" s="476"/>
      <c r="PD16" s="476"/>
      <c r="PE16" s="476"/>
      <c r="PF16" s="476"/>
      <c r="PG16" s="476"/>
      <c r="PH16" s="476"/>
      <c r="PI16" s="476"/>
      <c r="PJ16" s="476"/>
      <c r="PK16" s="476"/>
      <c r="PL16" s="476"/>
      <c r="PM16" s="476"/>
      <c r="PN16" s="476"/>
      <c r="PO16" s="477"/>
      <c r="PP16" s="477"/>
      <c r="PQ16" s="463"/>
      <c r="PR16" s="475"/>
      <c r="PS16" s="476"/>
      <c r="PT16" s="476"/>
      <c r="PU16" s="476"/>
      <c r="PV16" s="476"/>
      <c r="PW16" s="476"/>
      <c r="PX16" s="476"/>
      <c r="PY16" s="476"/>
      <c r="PZ16" s="476"/>
      <c r="QA16" s="476"/>
      <c r="QB16" s="476"/>
      <c r="QC16" s="476"/>
      <c r="QD16" s="476"/>
      <c r="QE16" s="477"/>
      <c r="QF16" s="477"/>
      <c r="QG16" s="463"/>
      <c r="QH16" s="475"/>
      <c r="QI16" s="476"/>
      <c r="QJ16" s="476"/>
      <c r="QK16" s="476"/>
      <c r="QL16" s="476"/>
      <c r="QM16" s="476"/>
      <c r="QN16" s="476"/>
      <c r="QO16" s="476"/>
      <c r="QP16" s="476"/>
      <c r="QQ16" s="476"/>
      <c r="QR16" s="476"/>
      <c r="QS16" s="476"/>
      <c r="QT16" s="476"/>
      <c r="QU16" s="477"/>
      <c r="QV16" s="477"/>
      <c r="QW16" s="463"/>
      <c r="QX16" s="475"/>
      <c r="QY16" s="476"/>
      <c r="QZ16" s="476"/>
      <c r="RA16" s="476"/>
      <c r="RB16" s="476"/>
      <c r="RC16" s="476"/>
      <c r="RD16" s="476"/>
      <c r="RE16" s="476"/>
      <c r="RF16" s="476"/>
      <c r="RG16" s="476"/>
      <c r="RH16" s="476"/>
      <c r="RI16" s="476"/>
      <c r="RJ16" s="476"/>
      <c r="RK16" s="477"/>
      <c r="RL16" s="477"/>
      <c r="RM16" s="463"/>
      <c r="RN16" s="475"/>
      <c r="RO16" s="476"/>
      <c r="RP16" s="476"/>
      <c r="RQ16" s="476"/>
      <c r="RR16" s="476"/>
      <c r="RS16" s="476"/>
      <c r="RT16" s="476"/>
      <c r="RU16" s="476"/>
      <c r="RV16" s="476"/>
      <c r="RW16" s="476"/>
      <c r="RX16" s="476"/>
      <c r="RY16" s="476"/>
      <c r="RZ16" s="476"/>
      <c r="SA16" s="477"/>
      <c r="SB16" s="477"/>
      <c r="SC16" s="463"/>
      <c r="SD16" s="475"/>
      <c r="SE16" s="476"/>
      <c r="SF16" s="476"/>
      <c r="SG16" s="476"/>
      <c r="SH16" s="476"/>
      <c r="SI16" s="476"/>
      <c r="SJ16" s="476"/>
      <c r="SK16" s="476"/>
      <c r="SL16" s="476"/>
      <c r="SM16" s="476"/>
      <c r="SN16" s="476"/>
      <c r="SO16" s="476"/>
      <c r="SP16" s="476"/>
      <c r="SQ16" s="477"/>
      <c r="SR16" s="477"/>
      <c r="SS16" s="463"/>
      <c r="ST16" s="475"/>
      <c r="SU16" s="476"/>
      <c r="SV16" s="476"/>
      <c r="SW16" s="476"/>
      <c r="SX16" s="476"/>
      <c r="SY16" s="476"/>
      <c r="SZ16" s="476"/>
      <c r="TA16" s="476"/>
      <c r="TB16" s="476"/>
      <c r="TC16" s="476"/>
      <c r="TD16" s="476"/>
      <c r="TE16" s="476"/>
      <c r="TF16" s="476"/>
      <c r="TG16" s="477"/>
      <c r="TH16" s="477"/>
      <c r="TI16" s="463"/>
      <c r="TJ16" s="475"/>
      <c r="TK16" s="476"/>
      <c r="TL16" s="476"/>
      <c r="TM16" s="476"/>
      <c r="TN16" s="476"/>
      <c r="TO16" s="476"/>
      <c r="TP16" s="476"/>
      <c r="TQ16" s="476"/>
      <c r="TR16" s="476"/>
      <c r="TS16" s="476"/>
      <c r="TT16" s="476"/>
      <c r="TU16" s="476"/>
      <c r="TV16" s="476"/>
      <c r="TW16" s="477"/>
      <c r="TX16" s="477"/>
      <c r="TY16" s="463"/>
      <c r="TZ16" s="475"/>
      <c r="UA16" s="476"/>
      <c r="UB16" s="476"/>
      <c r="UC16" s="476"/>
      <c r="UD16" s="476"/>
      <c r="UE16" s="476"/>
      <c r="UF16" s="476"/>
      <c r="UG16" s="476"/>
      <c r="UH16" s="476"/>
      <c r="UI16" s="476"/>
      <c r="UJ16" s="476"/>
      <c r="UK16" s="476"/>
      <c r="UL16" s="476"/>
      <c r="UM16" s="477"/>
      <c r="UN16" s="477"/>
      <c r="UO16" s="463"/>
      <c r="UP16" s="475"/>
      <c r="UQ16" s="476"/>
      <c r="UR16" s="476"/>
      <c r="US16" s="476"/>
      <c r="UT16" s="476"/>
      <c r="UU16" s="476"/>
      <c r="UV16" s="476"/>
      <c r="UW16" s="476"/>
      <c r="UX16" s="476"/>
      <c r="UY16" s="476"/>
      <c r="UZ16" s="476"/>
      <c r="VA16" s="476"/>
      <c r="VB16" s="476"/>
      <c r="VC16" s="477"/>
      <c r="VD16" s="477"/>
      <c r="VE16" s="463"/>
      <c r="VF16" s="475"/>
      <c r="VG16" s="476"/>
      <c r="VH16" s="476"/>
      <c r="VI16" s="476"/>
      <c r="VJ16" s="476"/>
      <c r="VK16" s="476"/>
      <c r="VL16" s="476"/>
      <c r="VM16" s="476"/>
      <c r="VN16" s="476"/>
      <c r="VO16" s="476"/>
      <c r="VP16" s="476"/>
      <c r="VQ16" s="476"/>
      <c r="VR16" s="476"/>
      <c r="VS16" s="477"/>
      <c r="VT16" s="477"/>
      <c r="VU16" s="463"/>
      <c r="VV16" s="475"/>
      <c r="VW16" s="476"/>
      <c r="VX16" s="476"/>
      <c r="VY16" s="476"/>
      <c r="VZ16" s="476"/>
      <c r="WA16" s="476"/>
      <c r="WB16" s="476"/>
      <c r="WC16" s="476"/>
      <c r="WD16" s="476"/>
      <c r="WE16" s="476"/>
      <c r="WF16" s="476"/>
      <c r="WG16" s="476"/>
      <c r="WH16" s="476"/>
      <c r="WI16" s="477"/>
      <c r="WJ16" s="477"/>
      <c r="WK16" s="463"/>
      <c r="WL16" s="475"/>
      <c r="WM16" s="476"/>
      <c r="WN16" s="476"/>
      <c r="WO16" s="476"/>
      <c r="WP16" s="476"/>
      <c r="WQ16" s="476"/>
      <c r="WR16" s="476"/>
      <c r="WS16" s="476"/>
      <c r="WT16" s="476"/>
      <c r="WU16" s="476"/>
      <c r="WV16" s="476"/>
      <c r="WW16" s="476"/>
      <c r="WX16" s="476"/>
      <c r="WY16" s="477"/>
      <c r="WZ16" s="477"/>
      <c r="XA16" s="463"/>
      <c r="XB16" s="475"/>
      <c r="XC16" s="476"/>
      <c r="XD16" s="476"/>
      <c r="XE16" s="476"/>
      <c r="XF16" s="476"/>
      <c r="XG16" s="476"/>
      <c r="XH16" s="476"/>
      <c r="XI16" s="476"/>
      <c r="XJ16" s="476"/>
      <c r="XK16" s="476"/>
      <c r="XL16" s="476"/>
      <c r="XM16" s="476"/>
      <c r="XN16" s="476"/>
      <c r="XO16" s="477"/>
      <c r="XP16" s="477"/>
      <c r="XQ16" s="463"/>
      <c r="XR16" s="475"/>
      <c r="XS16" s="476"/>
      <c r="XT16" s="476"/>
      <c r="XU16" s="476"/>
      <c r="XV16" s="476"/>
      <c r="XW16" s="476"/>
      <c r="XX16" s="476"/>
      <c r="XY16" s="476"/>
      <c r="XZ16" s="476"/>
      <c r="YA16" s="476"/>
      <c r="YB16" s="476"/>
      <c r="YC16" s="476"/>
      <c r="YD16" s="476"/>
      <c r="YE16" s="477"/>
      <c r="YF16" s="477"/>
      <c r="YG16" s="463"/>
      <c r="YH16" s="475"/>
      <c r="YI16" s="476"/>
      <c r="YJ16" s="476"/>
      <c r="YK16" s="476"/>
      <c r="YL16" s="476"/>
      <c r="YM16" s="476"/>
      <c r="YN16" s="476"/>
      <c r="YO16" s="476"/>
      <c r="YP16" s="476"/>
      <c r="YQ16" s="476"/>
      <c r="YR16" s="476"/>
      <c r="YS16" s="476"/>
      <c r="YT16" s="476"/>
      <c r="YU16" s="477"/>
      <c r="YV16" s="477"/>
      <c r="YW16" s="463"/>
      <c r="YX16" s="475"/>
      <c r="YY16" s="476"/>
      <c r="YZ16" s="476"/>
      <c r="ZA16" s="476"/>
      <c r="ZB16" s="476"/>
      <c r="ZC16" s="476"/>
      <c r="ZD16" s="476"/>
      <c r="ZE16" s="476"/>
      <c r="ZF16" s="476"/>
      <c r="ZG16" s="476"/>
      <c r="ZH16" s="476"/>
      <c r="ZI16" s="476"/>
      <c r="ZJ16" s="476"/>
      <c r="ZK16" s="477"/>
      <c r="ZL16" s="477"/>
      <c r="ZM16" s="463"/>
      <c r="ZN16" s="475"/>
      <c r="ZO16" s="476"/>
      <c r="ZP16" s="476"/>
      <c r="ZQ16" s="476"/>
      <c r="ZR16" s="476"/>
      <c r="ZS16" s="476"/>
      <c r="ZT16" s="476"/>
      <c r="ZU16" s="476"/>
      <c r="ZV16" s="476"/>
      <c r="ZW16" s="476"/>
      <c r="ZX16" s="476"/>
      <c r="ZY16" s="476"/>
      <c r="ZZ16" s="476"/>
      <c r="AAA16" s="477"/>
      <c r="AAB16" s="477"/>
      <c r="AAC16" s="463"/>
      <c r="AAD16" s="475"/>
      <c r="AAE16" s="476"/>
      <c r="AAF16" s="476"/>
      <c r="AAG16" s="476"/>
      <c r="AAH16" s="476"/>
      <c r="AAI16" s="476"/>
      <c r="AAJ16" s="476"/>
      <c r="AAK16" s="476"/>
      <c r="AAL16" s="476"/>
      <c r="AAM16" s="476"/>
      <c r="AAN16" s="476"/>
      <c r="AAO16" s="476"/>
      <c r="AAP16" s="476"/>
      <c r="AAQ16" s="477"/>
      <c r="AAR16" s="477"/>
      <c r="AAS16" s="463"/>
      <c r="AAT16" s="475"/>
      <c r="AAU16" s="476"/>
      <c r="AAV16" s="476"/>
      <c r="AAW16" s="476"/>
      <c r="AAX16" s="476"/>
      <c r="AAY16" s="476"/>
      <c r="AAZ16" s="476"/>
      <c r="ABA16" s="476"/>
      <c r="ABB16" s="476"/>
      <c r="ABC16" s="476"/>
      <c r="ABD16" s="476"/>
      <c r="ABE16" s="476"/>
      <c r="ABF16" s="476"/>
      <c r="ABG16" s="477"/>
      <c r="ABH16" s="477"/>
      <c r="ABI16" s="463"/>
      <c r="ABJ16" s="475"/>
      <c r="ABK16" s="476"/>
      <c r="ABL16" s="476"/>
      <c r="ABM16" s="476"/>
      <c r="ABN16" s="476"/>
      <c r="ABO16" s="476"/>
      <c r="ABP16" s="476"/>
      <c r="ABQ16" s="476"/>
      <c r="ABR16" s="476"/>
      <c r="ABS16" s="476"/>
      <c r="ABT16" s="476"/>
      <c r="ABU16" s="476"/>
      <c r="ABV16" s="476"/>
      <c r="ABW16" s="477"/>
      <c r="ABX16" s="477"/>
      <c r="ABY16" s="463"/>
      <c r="ABZ16" s="475"/>
      <c r="ACA16" s="476"/>
      <c r="ACB16" s="476"/>
      <c r="ACC16" s="476"/>
      <c r="ACD16" s="476"/>
      <c r="ACE16" s="476"/>
      <c r="ACF16" s="476"/>
      <c r="ACG16" s="476"/>
      <c r="ACH16" s="476"/>
      <c r="ACI16" s="476"/>
      <c r="ACJ16" s="476"/>
      <c r="ACK16" s="476"/>
      <c r="ACL16" s="476"/>
      <c r="ACM16" s="477"/>
      <c r="ACN16" s="477"/>
      <c r="ACO16" s="463"/>
      <c r="ACP16" s="475"/>
      <c r="ACQ16" s="476"/>
      <c r="ACR16" s="476"/>
      <c r="ACS16" s="476"/>
      <c r="ACT16" s="476"/>
      <c r="ACU16" s="476"/>
      <c r="ACV16" s="476"/>
      <c r="ACW16" s="476"/>
      <c r="ACX16" s="476"/>
      <c r="ACY16" s="476"/>
      <c r="ACZ16" s="476"/>
      <c r="ADA16" s="476"/>
      <c r="ADB16" s="476"/>
      <c r="ADC16" s="477"/>
      <c r="ADD16" s="477"/>
      <c r="ADE16" s="463"/>
      <c r="ADF16" s="475"/>
      <c r="ADG16" s="476"/>
      <c r="ADH16" s="476"/>
      <c r="ADI16" s="476"/>
      <c r="ADJ16" s="476"/>
      <c r="ADK16" s="476"/>
      <c r="ADL16" s="476"/>
      <c r="ADM16" s="476"/>
      <c r="ADN16" s="476"/>
      <c r="ADO16" s="476"/>
      <c r="ADP16" s="476"/>
      <c r="ADQ16" s="476"/>
      <c r="ADR16" s="476"/>
      <c r="ADS16" s="477"/>
      <c r="ADT16" s="477"/>
      <c r="ADU16" s="463"/>
      <c r="ADV16" s="475"/>
      <c r="ADW16" s="476"/>
      <c r="ADX16" s="476"/>
      <c r="ADY16" s="476"/>
      <c r="ADZ16" s="476"/>
      <c r="AEA16" s="476"/>
      <c r="AEB16" s="476"/>
      <c r="AEC16" s="476"/>
      <c r="AED16" s="476"/>
      <c r="AEE16" s="476"/>
      <c r="AEF16" s="476"/>
      <c r="AEG16" s="476"/>
      <c r="AEH16" s="476"/>
      <c r="AEI16" s="477"/>
      <c r="AEJ16" s="477"/>
      <c r="AEK16" s="463"/>
      <c r="AEL16" s="475"/>
      <c r="AEM16" s="476"/>
      <c r="AEN16" s="476"/>
      <c r="AEO16" s="476"/>
      <c r="AEP16" s="476"/>
      <c r="AEQ16" s="476"/>
      <c r="AER16" s="476"/>
      <c r="AES16" s="476"/>
      <c r="AET16" s="476"/>
      <c r="AEU16" s="476"/>
      <c r="AEV16" s="476"/>
      <c r="AEW16" s="476"/>
      <c r="AEX16" s="476"/>
      <c r="AEY16" s="477"/>
      <c r="AEZ16" s="477"/>
      <c r="AFA16" s="463"/>
      <c r="AFB16" s="475"/>
      <c r="AFC16" s="476"/>
      <c r="AFD16" s="476"/>
      <c r="AFE16" s="476"/>
      <c r="AFF16" s="476"/>
      <c r="AFG16" s="476"/>
      <c r="AFH16" s="476"/>
      <c r="AFI16" s="476"/>
      <c r="AFJ16" s="476"/>
      <c r="AFK16" s="476"/>
      <c r="AFL16" s="476"/>
      <c r="AFM16" s="476"/>
      <c r="AFN16" s="476"/>
      <c r="AFO16" s="477"/>
      <c r="AFP16" s="477"/>
      <c r="AFQ16" s="463"/>
      <c r="AFR16" s="475"/>
      <c r="AFS16" s="476"/>
      <c r="AFT16" s="476"/>
      <c r="AFU16" s="476"/>
      <c r="AFV16" s="476"/>
      <c r="AFW16" s="476"/>
      <c r="AFX16" s="476"/>
      <c r="AFY16" s="476"/>
      <c r="AFZ16" s="476"/>
      <c r="AGA16" s="476"/>
      <c r="AGB16" s="476"/>
      <c r="AGC16" s="476"/>
      <c r="AGD16" s="476"/>
      <c r="AGE16" s="477"/>
      <c r="AGF16" s="477"/>
      <c r="AGG16" s="463"/>
      <c r="AGH16" s="475"/>
      <c r="AGI16" s="476"/>
      <c r="AGJ16" s="476"/>
      <c r="AGK16" s="476"/>
      <c r="AGL16" s="476"/>
      <c r="AGM16" s="476"/>
      <c r="AGN16" s="476"/>
      <c r="AGO16" s="476"/>
      <c r="AGP16" s="476"/>
      <c r="AGQ16" s="476"/>
      <c r="AGR16" s="476"/>
      <c r="AGS16" s="476"/>
      <c r="AGT16" s="476"/>
      <c r="AGU16" s="477"/>
      <c r="AGV16" s="477"/>
      <c r="AGW16" s="463"/>
      <c r="AGX16" s="475"/>
      <c r="AGY16" s="476"/>
      <c r="AGZ16" s="476"/>
      <c r="AHA16" s="476"/>
      <c r="AHB16" s="476"/>
      <c r="AHC16" s="476"/>
      <c r="AHD16" s="476"/>
      <c r="AHE16" s="476"/>
      <c r="AHF16" s="476"/>
      <c r="AHG16" s="476"/>
      <c r="AHH16" s="476"/>
      <c r="AHI16" s="476"/>
      <c r="AHJ16" s="476"/>
      <c r="AHK16" s="477"/>
      <c r="AHL16" s="477"/>
      <c r="AHM16" s="463"/>
      <c r="AHN16" s="475"/>
      <c r="AHO16" s="476"/>
      <c r="AHP16" s="476"/>
      <c r="AHQ16" s="476"/>
      <c r="AHR16" s="476"/>
      <c r="AHS16" s="476"/>
      <c r="AHT16" s="476"/>
      <c r="AHU16" s="476"/>
      <c r="AHV16" s="476"/>
      <c r="AHW16" s="476"/>
      <c r="AHX16" s="476"/>
      <c r="AHY16" s="476"/>
      <c r="AHZ16" s="476"/>
      <c r="AIA16" s="477"/>
      <c r="AIB16" s="477"/>
      <c r="AIC16" s="463"/>
      <c r="AID16" s="475"/>
      <c r="AIE16" s="476"/>
      <c r="AIF16" s="476"/>
      <c r="AIG16" s="476"/>
      <c r="AIH16" s="476"/>
      <c r="AII16" s="476"/>
      <c r="AIJ16" s="476"/>
      <c r="AIK16" s="476"/>
      <c r="AIL16" s="476"/>
      <c r="AIM16" s="476"/>
      <c r="AIN16" s="476"/>
      <c r="AIO16" s="476"/>
      <c r="AIP16" s="476"/>
      <c r="AIQ16" s="477"/>
      <c r="AIR16" s="477"/>
      <c r="AIS16" s="463"/>
      <c r="AIT16" s="475"/>
      <c r="AIU16" s="476"/>
      <c r="AIV16" s="476"/>
      <c r="AIW16" s="476"/>
      <c r="AIX16" s="476"/>
      <c r="AIY16" s="476"/>
      <c r="AIZ16" s="476"/>
      <c r="AJA16" s="476"/>
      <c r="AJB16" s="476"/>
      <c r="AJC16" s="476"/>
      <c r="AJD16" s="476"/>
      <c r="AJE16" s="476"/>
      <c r="AJF16" s="476"/>
      <c r="AJG16" s="477"/>
      <c r="AJH16" s="477"/>
      <c r="AJI16" s="463"/>
      <c r="AJJ16" s="475"/>
      <c r="AJK16" s="476"/>
      <c r="AJL16" s="476"/>
      <c r="AJM16" s="476"/>
      <c r="AJN16" s="476"/>
      <c r="AJO16" s="476"/>
      <c r="AJP16" s="476"/>
      <c r="AJQ16" s="476"/>
      <c r="AJR16" s="476"/>
      <c r="AJS16" s="476"/>
      <c r="AJT16" s="476"/>
      <c r="AJU16" s="476"/>
      <c r="AJV16" s="476"/>
      <c r="AJW16" s="477"/>
      <c r="AJX16" s="477"/>
      <c r="AJY16" s="463"/>
      <c r="AJZ16" s="475"/>
      <c r="AKA16" s="476"/>
      <c r="AKB16" s="476"/>
      <c r="AKC16" s="476"/>
      <c r="AKD16" s="476"/>
      <c r="AKE16" s="476"/>
      <c r="AKF16" s="476"/>
      <c r="AKG16" s="476"/>
      <c r="AKH16" s="476"/>
      <c r="AKI16" s="476"/>
      <c r="AKJ16" s="476"/>
      <c r="AKK16" s="476"/>
      <c r="AKL16" s="476"/>
      <c r="AKM16" s="477"/>
      <c r="AKN16" s="477"/>
      <c r="AKO16" s="463"/>
      <c r="AKP16" s="475"/>
      <c r="AKQ16" s="476"/>
      <c r="AKR16" s="476"/>
      <c r="AKS16" s="476"/>
      <c r="AKT16" s="476"/>
      <c r="AKU16" s="476"/>
      <c r="AKV16" s="476"/>
      <c r="AKW16" s="476"/>
      <c r="AKX16" s="476"/>
      <c r="AKY16" s="476"/>
      <c r="AKZ16" s="476"/>
      <c r="ALA16" s="476"/>
      <c r="ALB16" s="476"/>
      <c r="ALC16" s="477"/>
      <c r="ALD16" s="477"/>
      <c r="ALE16" s="463"/>
      <c r="ALF16" s="475"/>
      <c r="ALG16" s="476"/>
      <c r="ALH16" s="476"/>
      <c r="ALI16" s="476"/>
      <c r="ALJ16" s="476"/>
      <c r="ALK16" s="476"/>
      <c r="ALL16" s="476"/>
      <c r="ALM16" s="476"/>
      <c r="ALN16" s="476"/>
      <c r="ALO16" s="476"/>
      <c r="ALP16" s="476"/>
      <c r="ALQ16" s="476"/>
      <c r="ALR16" s="476"/>
      <c r="ALS16" s="477"/>
      <c r="ALT16" s="477"/>
      <c r="ALU16" s="463"/>
      <c r="ALV16" s="475"/>
      <c r="ALW16" s="476"/>
      <c r="ALX16" s="476"/>
      <c r="ALY16" s="476"/>
      <c r="ALZ16" s="476"/>
      <c r="AMA16" s="476"/>
      <c r="AMB16" s="476"/>
      <c r="AMC16" s="476"/>
      <c r="AMD16" s="476"/>
      <c r="AME16" s="476"/>
      <c r="AMF16" s="476"/>
      <c r="AMG16" s="476"/>
      <c r="AMH16" s="476"/>
      <c r="AMI16" s="477"/>
      <c r="AMJ16" s="477"/>
      <c r="AMK16" s="463"/>
      <c r="AML16" s="475"/>
      <c r="AMM16" s="476"/>
      <c r="AMN16" s="476"/>
      <c r="AMO16" s="476"/>
      <c r="AMP16" s="476"/>
      <c r="AMQ16" s="476"/>
      <c r="AMR16" s="476"/>
      <c r="AMS16" s="476"/>
      <c r="AMT16" s="476"/>
      <c r="AMU16" s="476"/>
      <c r="AMV16" s="476"/>
      <c r="AMW16" s="476"/>
      <c r="AMX16" s="476"/>
      <c r="AMY16" s="477"/>
      <c r="AMZ16" s="477"/>
      <c r="ANA16" s="463"/>
      <c r="ANB16" s="475"/>
      <c r="ANC16" s="476"/>
      <c r="AND16" s="476"/>
      <c r="ANE16" s="476"/>
      <c r="ANF16" s="476"/>
      <c r="ANG16" s="476"/>
      <c r="ANH16" s="476"/>
      <c r="ANI16" s="476"/>
      <c r="ANJ16" s="476"/>
      <c r="ANK16" s="476"/>
      <c r="ANL16" s="476"/>
      <c r="ANM16" s="476"/>
      <c r="ANN16" s="476"/>
      <c r="ANO16" s="477"/>
      <c r="ANP16" s="477"/>
      <c r="ANQ16" s="463"/>
      <c r="ANR16" s="475"/>
      <c r="ANS16" s="476"/>
      <c r="ANT16" s="476"/>
      <c r="ANU16" s="476"/>
      <c r="ANV16" s="476"/>
      <c r="ANW16" s="476"/>
      <c r="ANX16" s="476"/>
      <c r="ANY16" s="476"/>
      <c r="ANZ16" s="476"/>
      <c r="AOA16" s="476"/>
      <c r="AOB16" s="476"/>
      <c r="AOC16" s="476"/>
      <c r="AOD16" s="476"/>
      <c r="AOE16" s="477"/>
      <c r="AOF16" s="477"/>
      <c r="AOG16" s="463"/>
      <c r="AOH16" s="475"/>
      <c r="AOI16" s="476"/>
      <c r="AOJ16" s="476"/>
      <c r="AOK16" s="476"/>
      <c r="AOL16" s="476"/>
      <c r="AOM16" s="476"/>
      <c r="AON16" s="476"/>
      <c r="AOO16" s="476"/>
      <c r="AOP16" s="476"/>
      <c r="AOQ16" s="476"/>
      <c r="AOR16" s="476"/>
      <c r="AOS16" s="476"/>
      <c r="AOT16" s="476"/>
      <c r="AOU16" s="477"/>
      <c r="AOV16" s="477"/>
      <c r="AOW16" s="463"/>
      <c r="AOX16" s="475"/>
      <c r="AOY16" s="476"/>
      <c r="AOZ16" s="476"/>
      <c r="APA16" s="476"/>
      <c r="APB16" s="476"/>
      <c r="APC16" s="476"/>
      <c r="APD16" s="476"/>
      <c r="APE16" s="476"/>
      <c r="APF16" s="476"/>
      <c r="APG16" s="476"/>
      <c r="APH16" s="476"/>
      <c r="API16" s="476"/>
      <c r="APJ16" s="476"/>
      <c r="APK16" s="477"/>
      <c r="APL16" s="477"/>
      <c r="APM16" s="463"/>
      <c r="APN16" s="475"/>
      <c r="APO16" s="476"/>
      <c r="APP16" s="476"/>
      <c r="APQ16" s="476"/>
      <c r="APR16" s="476"/>
      <c r="APS16" s="476"/>
      <c r="APT16" s="476"/>
      <c r="APU16" s="476"/>
      <c r="APV16" s="476"/>
      <c r="APW16" s="476"/>
      <c r="APX16" s="476"/>
      <c r="APY16" s="476"/>
      <c r="APZ16" s="476"/>
      <c r="AQA16" s="477"/>
      <c r="AQB16" s="477"/>
      <c r="AQC16" s="463"/>
      <c r="AQD16" s="475"/>
      <c r="AQE16" s="476"/>
      <c r="AQF16" s="476"/>
      <c r="AQG16" s="476"/>
      <c r="AQH16" s="476"/>
      <c r="AQI16" s="476"/>
      <c r="AQJ16" s="476"/>
      <c r="AQK16" s="476"/>
      <c r="AQL16" s="476"/>
      <c r="AQM16" s="476"/>
      <c r="AQN16" s="476"/>
      <c r="AQO16" s="476"/>
      <c r="AQP16" s="476"/>
      <c r="AQQ16" s="477"/>
      <c r="AQR16" s="477"/>
      <c r="AQS16" s="463"/>
      <c r="AQT16" s="475"/>
      <c r="AQU16" s="476"/>
      <c r="AQV16" s="476"/>
      <c r="AQW16" s="476"/>
      <c r="AQX16" s="476"/>
      <c r="AQY16" s="476"/>
      <c r="AQZ16" s="476"/>
      <c r="ARA16" s="476"/>
      <c r="ARB16" s="476"/>
      <c r="ARC16" s="476"/>
      <c r="ARD16" s="476"/>
      <c r="ARE16" s="476"/>
      <c r="ARF16" s="476"/>
      <c r="ARG16" s="477"/>
      <c r="ARH16" s="477"/>
      <c r="ARI16" s="463"/>
      <c r="ARJ16" s="475"/>
      <c r="ARK16" s="476"/>
      <c r="ARL16" s="476"/>
      <c r="ARM16" s="476"/>
      <c r="ARN16" s="476"/>
      <c r="ARO16" s="476"/>
      <c r="ARP16" s="476"/>
      <c r="ARQ16" s="476"/>
      <c r="ARR16" s="476"/>
      <c r="ARS16" s="476"/>
      <c r="ART16" s="476"/>
      <c r="ARU16" s="476"/>
      <c r="ARV16" s="476"/>
      <c r="ARW16" s="477"/>
      <c r="ARX16" s="477"/>
      <c r="ARY16" s="463"/>
      <c r="ARZ16" s="475"/>
      <c r="ASA16" s="476"/>
      <c r="ASB16" s="476"/>
      <c r="ASC16" s="476"/>
      <c r="ASD16" s="476"/>
      <c r="ASE16" s="476"/>
      <c r="ASF16" s="476"/>
      <c r="ASG16" s="476"/>
      <c r="ASH16" s="476"/>
      <c r="ASI16" s="476"/>
      <c r="ASJ16" s="476"/>
      <c r="ASK16" s="476"/>
      <c r="ASL16" s="476"/>
      <c r="ASM16" s="477"/>
      <c r="ASN16" s="477"/>
      <c r="ASO16" s="463"/>
      <c r="ASP16" s="475"/>
      <c r="ASQ16" s="476"/>
      <c r="ASR16" s="476"/>
      <c r="ASS16" s="476"/>
      <c r="AST16" s="476"/>
      <c r="ASU16" s="476"/>
      <c r="ASV16" s="476"/>
      <c r="ASW16" s="476"/>
      <c r="ASX16" s="476"/>
      <c r="ASY16" s="476"/>
      <c r="ASZ16" s="476"/>
      <c r="ATA16" s="476"/>
      <c r="ATB16" s="476"/>
      <c r="ATC16" s="477"/>
      <c r="ATD16" s="477"/>
      <c r="ATE16" s="463"/>
      <c r="ATF16" s="475"/>
      <c r="ATG16" s="476"/>
      <c r="ATH16" s="476"/>
      <c r="ATI16" s="476"/>
      <c r="ATJ16" s="476"/>
      <c r="ATK16" s="476"/>
      <c r="ATL16" s="476"/>
      <c r="ATM16" s="476"/>
      <c r="ATN16" s="476"/>
      <c r="ATO16" s="476"/>
      <c r="ATP16" s="476"/>
      <c r="ATQ16" s="476"/>
      <c r="ATR16" s="476"/>
      <c r="ATS16" s="477"/>
      <c r="ATT16" s="477"/>
      <c r="ATU16" s="463"/>
      <c r="ATV16" s="475"/>
      <c r="ATW16" s="476"/>
      <c r="ATX16" s="476"/>
      <c r="ATY16" s="476"/>
      <c r="ATZ16" s="476"/>
      <c r="AUA16" s="476"/>
      <c r="AUB16" s="476"/>
      <c r="AUC16" s="476"/>
      <c r="AUD16" s="476"/>
      <c r="AUE16" s="476"/>
      <c r="AUF16" s="476"/>
      <c r="AUG16" s="476"/>
      <c r="AUH16" s="476"/>
      <c r="AUI16" s="477"/>
      <c r="AUJ16" s="477"/>
      <c r="AUK16" s="463"/>
      <c r="AUL16" s="475"/>
      <c r="AUM16" s="476"/>
      <c r="AUN16" s="476"/>
      <c r="AUO16" s="476"/>
      <c r="AUP16" s="476"/>
      <c r="AUQ16" s="476"/>
      <c r="AUR16" s="476"/>
      <c r="AUS16" s="476"/>
      <c r="AUT16" s="476"/>
      <c r="AUU16" s="476"/>
      <c r="AUV16" s="476"/>
      <c r="AUW16" s="476"/>
      <c r="AUX16" s="476"/>
      <c r="AUY16" s="477"/>
      <c r="AUZ16" s="477"/>
      <c r="AVA16" s="463"/>
      <c r="AVB16" s="475"/>
      <c r="AVC16" s="476"/>
      <c r="AVD16" s="476"/>
      <c r="AVE16" s="476"/>
      <c r="AVF16" s="476"/>
      <c r="AVG16" s="476"/>
      <c r="AVH16" s="476"/>
      <c r="AVI16" s="476"/>
      <c r="AVJ16" s="476"/>
      <c r="AVK16" s="476"/>
      <c r="AVL16" s="476"/>
      <c r="AVM16" s="476"/>
      <c r="AVN16" s="476"/>
      <c r="AVO16" s="477"/>
      <c r="AVP16" s="477"/>
      <c r="AVQ16" s="463"/>
      <c r="AVR16" s="475"/>
      <c r="AVS16" s="476"/>
      <c r="AVT16" s="476"/>
      <c r="AVU16" s="476"/>
      <c r="AVV16" s="476"/>
      <c r="AVW16" s="476"/>
      <c r="AVX16" s="476"/>
      <c r="AVY16" s="476"/>
      <c r="AVZ16" s="476"/>
      <c r="AWA16" s="476"/>
      <c r="AWB16" s="476"/>
      <c r="AWC16" s="476"/>
      <c r="AWD16" s="476"/>
      <c r="AWE16" s="477"/>
      <c r="AWF16" s="477"/>
      <c r="AWG16" s="463"/>
      <c r="AWH16" s="475"/>
      <c r="AWI16" s="476"/>
      <c r="AWJ16" s="476"/>
      <c r="AWK16" s="476"/>
      <c r="AWL16" s="476"/>
      <c r="AWM16" s="476"/>
      <c r="AWN16" s="476"/>
      <c r="AWO16" s="476"/>
      <c r="AWP16" s="476"/>
      <c r="AWQ16" s="476"/>
      <c r="AWR16" s="476"/>
      <c r="AWS16" s="476"/>
      <c r="AWT16" s="476"/>
      <c r="AWU16" s="477"/>
      <c r="AWV16" s="477"/>
      <c r="AWW16" s="463"/>
      <c r="AWX16" s="475"/>
      <c r="AWY16" s="476"/>
      <c r="AWZ16" s="476"/>
      <c r="AXA16" s="476"/>
      <c r="AXB16" s="476"/>
      <c r="AXC16" s="476"/>
      <c r="AXD16" s="476"/>
      <c r="AXE16" s="476"/>
      <c r="AXF16" s="476"/>
      <c r="AXG16" s="476"/>
      <c r="AXH16" s="476"/>
      <c r="AXI16" s="476"/>
      <c r="AXJ16" s="476"/>
      <c r="AXK16" s="477"/>
      <c r="AXL16" s="477"/>
      <c r="AXM16" s="463"/>
      <c r="AXN16" s="475"/>
      <c r="AXO16" s="476"/>
      <c r="AXP16" s="476"/>
      <c r="AXQ16" s="476"/>
      <c r="AXR16" s="476"/>
      <c r="AXS16" s="476"/>
      <c r="AXT16" s="476"/>
      <c r="AXU16" s="476"/>
      <c r="AXV16" s="476"/>
      <c r="AXW16" s="476"/>
      <c r="AXX16" s="476"/>
      <c r="AXY16" s="476"/>
      <c r="AXZ16" s="476"/>
      <c r="AYA16" s="477"/>
      <c r="AYB16" s="477"/>
      <c r="AYC16" s="463"/>
      <c r="AYD16" s="475"/>
      <c r="AYE16" s="476"/>
      <c r="AYF16" s="476"/>
      <c r="AYG16" s="476"/>
      <c r="AYH16" s="476"/>
      <c r="AYI16" s="476"/>
      <c r="AYJ16" s="476"/>
      <c r="AYK16" s="476"/>
      <c r="AYL16" s="476"/>
      <c r="AYM16" s="476"/>
      <c r="AYN16" s="476"/>
      <c r="AYO16" s="476"/>
      <c r="AYP16" s="476"/>
      <c r="AYQ16" s="477"/>
      <c r="AYR16" s="477"/>
      <c r="AYS16" s="463"/>
      <c r="AYT16" s="475"/>
      <c r="AYU16" s="476"/>
      <c r="AYV16" s="476"/>
      <c r="AYW16" s="476"/>
      <c r="AYX16" s="476"/>
      <c r="AYY16" s="476"/>
      <c r="AYZ16" s="476"/>
      <c r="AZA16" s="476"/>
      <c r="AZB16" s="476"/>
      <c r="AZC16" s="476"/>
      <c r="AZD16" s="476"/>
      <c r="AZE16" s="476"/>
      <c r="AZF16" s="476"/>
      <c r="AZG16" s="477"/>
      <c r="AZH16" s="477"/>
      <c r="AZI16" s="463"/>
      <c r="AZJ16" s="475"/>
      <c r="AZK16" s="476"/>
      <c r="AZL16" s="476"/>
      <c r="AZM16" s="476"/>
      <c r="AZN16" s="476"/>
      <c r="AZO16" s="476"/>
      <c r="AZP16" s="476"/>
      <c r="AZQ16" s="476"/>
      <c r="AZR16" s="476"/>
      <c r="AZS16" s="476"/>
      <c r="AZT16" s="476"/>
      <c r="AZU16" s="476"/>
      <c r="AZV16" s="476"/>
      <c r="AZW16" s="477"/>
      <c r="AZX16" s="477"/>
      <c r="AZY16" s="463"/>
      <c r="AZZ16" s="475"/>
      <c r="BAA16" s="476"/>
      <c r="BAB16" s="476"/>
      <c r="BAC16" s="476"/>
      <c r="BAD16" s="476"/>
      <c r="BAE16" s="476"/>
      <c r="BAF16" s="476"/>
      <c r="BAG16" s="476"/>
      <c r="BAH16" s="476"/>
      <c r="BAI16" s="476"/>
      <c r="BAJ16" s="476"/>
      <c r="BAK16" s="476"/>
      <c r="BAL16" s="476"/>
      <c r="BAM16" s="477"/>
      <c r="BAN16" s="477"/>
      <c r="BAO16" s="463"/>
      <c r="BAP16" s="475"/>
      <c r="BAQ16" s="476"/>
      <c r="BAR16" s="476"/>
      <c r="BAS16" s="476"/>
      <c r="BAT16" s="476"/>
      <c r="BAU16" s="476"/>
      <c r="BAV16" s="476"/>
      <c r="BAW16" s="476"/>
      <c r="BAX16" s="476"/>
      <c r="BAY16" s="476"/>
      <c r="BAZ16" s="476"/>
      <c r="BBA16" s="476"/>
      <c r="BBB16" s="476"/>
      <c r="BBC16" s="477"/>
      <c r="BBD16" s="477"/>
      <c r="BBE16" s="463"/>
      <c r="BBF16" s="475"/>
      <c r="BBG16" s="476"/>
      <c r="BBH16" s="476"/>
      <c r="BBI16" s="476"/>
      <c r="BBJ16" s="476"/>
      <c r="BBK16" s="476"/>
      <c r="BBL16" s="476"/>
      <c r="BBM16" s="476"/>
      <c r="BBN16" s="476"/>
      <c r="BBO16" s="476"/>
      <c r="BBP16" s="476"/>
      <c r="BBQ16" s="476"/>
      <c r="BBR16" s="476"/>
      <c r="BBS16" s="477"/>
      <c r="BBT16" s="477"/>
      <c r="BBU16" s="463"/>
      <c r="BBV16" s="475"/>
      <c r="BBW16" s="476"/>
      <c r="BBX16" s="476"/>
      <c r="BBY16" s="476"/>
      <c r="BBZ16" s="476"/>
      <c r="BCA16" s="476"/>
      <c r="BCB16" s="476"/>
      <c r="BCC16" s="476"/>
      <c r="BCD16" s="476"/>
      <c r="BCE16" s="476"/>
      <c r="BCF16" s="476"/>
      <c r="BCG16" s="476"/>
      <c r="BCH16" s="476"/>
      <c r="BCI16" s="477"/>
      <c r="BCJ16" s="477"/>
      <c r="BCK16" s="463"/>
      <c r="BCL16" s="475"/>
      <c r="BCM16" s="476"/>
      <c r="BCN16" s="476"/>
      <c r="BCO16" s="476"/>
      <c r="BCP16" s="476"/>
      <c r="BCQ16" s="476"/>
      <c r="BCR16" s="476"/>
      <c r="BCS16" s="476"/>
      <c r="BCT16" s="476"/>
      <c r="BCU16" s="476"/>
      <c r="BCV16" s="476"/>
      <c r="BCW16" s="476"/>
      <c r="BCX16" s="476"/>
      <c r="BCY16" s="477"/>
      <c r="BCZ16" s="477"/>
      <c r="BDA16" s="463"/>
      <c r="BDB16" s="475"/>
      <c r="BDC16" s="476"/>
      <c r="BDD16" s="476"/>
      <c r="BDE16" s="476"/>
      <c r="BDF16" s="476"/>
      <c r="BDG16" s="476"/>
      <c r="BDH16" s="476"/>
      <c r="BDI16" s="476"/>
      <c r="BDJ16" s="476"/>
      <c r="BDK16" s="476"/>
      <c r="BDL16" s="476"/>
      <c r="BDM16" s="476"/>
      <c r="BDN16" s="476"/>
      <c r="BDO16" s="477"/>
      <c r="BDP16" s="477"/>
      <c r="BDQ16" s="463"/>
      <c r="BDR16" s="475"/>
      <c r="BDS16" s="476"/>
      <c r="BDT16" s="476"/>
      <c r="BDU16" s="476"/>
      <c r="BDV16" s="476"/>
      <c r="BDW16" s="476"/>
      <c r="BDX16" s="476"/>
      <c r="BDY16" s="476"/>
      <c r="BDZ16" s="476"/>
      <c r="BEA16" s="476"/>
      <c r="BEB16" s="476"/>
      <c r="BEC16" s="476"/>
      <c r="BED16" s="476"/>
      <c r="BEE16" s="477"/>
      <c r="BEF16" s="477"/>
      <c r="BEG16" s="463"/>
      <c r="BEH16" s="475"/>
      <c r="BEI16" s="476"/>
      <c r="BEJ16" s="476"/>
      <c r="BEK16" s="476"/>
      <c r="BEL16" s="476"/>
      <c r="BEM16" s="476"/>
      <c r="BEN16" s="476"/>
      <c r="BEO16" s="476"/>
      <c r="BEP16" s="476"/>
      <c r="BEQ16" s="476"/>
      <c r="BER16" s="476"/>
      <c r="BES16" s="476"/>
      <c r="BET16" s="476"/>
      <c r="BEU16" s="477"/>
      <c r="BEV16" s="477"/>
      <c r="BEW16" s="463"/>
      <c r="BEX16" s="475"/>
      <c r="BEY16" s="476"/>
      <c r="BEZ16" s="476"/>
      <c r="BFA16" s="476"/>
      <c r="BFB16" s="476"/>
      <c r="BFC16" s="476"/>
      <c r="BFD16" s="476"/>
      <c r="BFE16" s="476"/>
      <c r="BFF16" s="476"/>
      <c r="BFG16" s="476"/>
      <c r="BFH16" s="476"/>
      <c r="BFI16" s="476"/>
      <c r="BFJ16" s="476"/>
      <c r="BFK16" s="477"/>
      <c r="BFL16" s="477"/>
      <c r="BFM16" s="463"/>
      <c r="BFN16" s="475"/>
      <c r="BFO16" s="476"/>
      <c r="BFP16" s="476"/>
      <c r="BFQ16" s="476"/>
      <c r="BFR16" s="476"/>
      <c r="BFS16" s="476"/>
      <c r="BFT16" s="476"/>
      <c r="BFU16" s="476"/>
      <c r="BFV16" s="476"/>
      <c r="BFW16" s="476"/>
      <c r="BFX16" s="476"/>
      <c r="BFY16" s="476"/>
      <c r="BFZ16" s="476"/>
      <c r="BGA16" s="477"/>
      <c r="BGB16" s="477"/>
      <c r="BGC16" s="463"/>
      <c r="BGD16" s="475"/>
      <c r="BGE16" s="476"/>
      <c r="BGF16" s="476"/>
      <c r="BGG16" s="476"/>
      <c r="BGH16" s="476"/>
      <c r="BGI16" s="476"/>
      <c r="BGJ16" s="476"/>
      <c r="BGK16" s="476"/>
      <c r="BGL16" s="476"/>
      <c r="BGM16" s="476"/>
      <c r="BGN16" s="476"/>
      <c r="BGO16" s="476"/>
      <c r="BGP16" s="476"/>
      <c r="BGQ16" s="477"/>
      <c r="BGR16" s="477"/>
      <c r="BGS16" s="463"/>
      <c r="BGT16" s="475"/>
      <c r="BGU16" s="476"/>
      <c r="BGV16" s="476"/>
      <c r="BGW16" s="476"/>
      <c r="BGX16" s="476"/>
      <c r="BGY16" s="476"/>
      <c r="BGZ16" s="476"/>
      <c r="BHA16" s="476"/>
      <c r="BHB16" s="476"/>
      <c r="BHC16" s="476"/>
      <c r="BHD16" s="476"/>
      <c r="BHE16" s="476"/>
      <c r="BHF16" s="476"/>
      <c r="BHG16" s="477"/>
      <c r="BHH16" s="477"/>
      <c r="BHI16" s="463"/>
      <c r="BHJ16" s="475"/>
      <c r="BHK16" s="476"/>
      <c r="BHL16" s="476"/>
      <c r="BHM16" s="476"/>
      <c r="BHN16" s="476"/>
      <c r="BHO16" s="476"/>
      <c r="BHP16" s="476"/>
      <c r="BHQ16" s="476"/>
      <c r="BHR16" s="476"/>
      <c r="BHS16" s="476"/>
      <c r="BHT16" s="476"/>
      <c r="BHU16" s="476"/>
      <c r="BHV16" s="476"/>
      <c r="BHW16" s="477"/>
      <c r="BHX16" s="477"/>
      <c r="BHY16" s="463"/>
      <c r="BHZ16" s="475"/>
      <c r="BIA16" s="476"/>
      <c r="BIB16" s="476"/>
      <c r="BIC16" s="476"/>
      <c r="BID16" s="476"/>
      <c r="BIE16" s="476"/>
      <c r="BIF16" s="476"/>
      <c r="BIG16" s="476"/>
      <c r="BIH16" s="476"/>
      <c r="BII16" s="476"/>
      <c r="BIJ16" s="476"/>
      <c r="BIK16" s="476"/>
      <c r="BIL16" s="476"/>
      <c r="BIM16" s="477"/>
      <c r="BIN16" s="477"/>
      <c r="BIO16" s="463"/>
      <c r="BIP16" s="475"/>
      <c r="BIQ16" s="476"/>
      <c r="BIR16" s="476"/>
      <c r="BIS16" s="476"/>
      <c r="BIT16" s="476"/>
      <c r="BIU16" s="476"/>
      <c r="BIV16" s="476"/>
      <c r="BIW16" s="476"/>
      <c r="BIX16" s="476"/>
      <c r="BIY16" s="476"/>
      <c r="BIZ16" s="476"/>
      <c r="BJA16" s="476"/>
      <c r="BJB16" s="476"/>
      <c r="BJC16" s="477"/>
      <c r="BJD16" s="477"/>
      <c r="BJE16" s="463"/>
      <c r="BJF16" s="475"/>
      <c r="BJG16" s="476"/>
      <c r="BJH16" s="476"/>
      <c r="BJI16" s="476"/>
      <c r="BJJ16" s="476"/>
      <c r="BJK16" s="476"/>
      <c r="BJL16" s="476"/>
      <c r="BJM16" s="476"/>
      <c r="BJN16" s="476"/>
      <c r="BJO16" s="476"/>
      <c r="BJP16" s="476"/>
      <c r="BJQ16" s="476"/>
      <c r="BJR16" s="476"/>
      <c r="BJS16" s="477"/>
      <c r="BJT16" s="477"/>
      <c r="BJU16" s="463"/>
      <c r="BJV16" s="475"/>
      <c r="BJW16" s="476"/>
      <c r="BJX16" s="476"/>
      <c r="BJY16" s="476"/>
      <c r="BJZ16" s="476"/>
      <c r="BKA16" s="476"/>
      <c r="BKB16" s="476"/>
      <c r="BKC16" s="476"/>
      <c r="BKD16" s="476"/>
      <c r="BKE16" s="476"/>
      <c r="BKF16" s="476"/>
      <c r="BKG16" s="476"/>
      <c r="BKH16" s="476"/>
      <c r="BKI16" s="477"/>
      <c r="BKJ16" s="477"/>
      <c r="BKK16" s="463"/>
      <c r="BKL16" s="475"/>
      <c r="BKM16" s="476"/>
      <c r="BKN16" s="476"/>
      <c r="BKO16" s="476"/>
      <c r="BKP16" s="476"/>
      <c r="BKQ16" s="476"/>
      <c r="BKR16" s="476"/>
      <c r="BKS16" s="476"/>
      <c r="BKT16" s="476"/>
      <c r="BKU16" s="476"/>
      <c r="BKV16" s="476"/>
      <c r="BKW16" s="476"/>
      <c r="BKX16" s="476"/>
      <c r="BKY16" s="477"/>
      <c r="BKZ16" s="477"/>
      <c r="BLA16" s="463"/>
      <c r="BLB16" s="475"/>
      <c r="BLC16" s="476"/>
      <c r="BLD16" s="476"/>
      <c r="BLE16" s="476"/>
      <c r="BLF16" s="476"/>
      <c r="BLG16" s="476"/>
      <c r="BLH16" s="476"/>
      <c r="BLI16" s="476"/>
      <c r="BLJ16" s="476"/>
      <c r="BLK16" s="476"/>
      <c r="BLL16" s="476"/>
      <c r="BLM16" s="476"/>
      <c r="BLN16" s="476"/>
      <c r="BLO16" s="477"/>
      <c r="BLP16" s="477"/>
      <c r="BLQ16" s="463"/>
      <c r="BLR16" s="475"/>
      <c r="BLS16" s="476"/>
      <c r="BLT16" s="476"/>
      <c r="BLU16" s="476"/>
      <c r="BLV16" s="476"/>
      <c r="BLW16" s="476"/>
      <c r="BLX16" s="476"/>
      <c r="BLY16" s="476"/>
      <c r="BLZ16" s="476"/>
      <c r="BMA16" s="476"/>
      <c r="BMB16" s="476"/>
      <c r="BMC16" s="476"/>
      <c r="BMD16" s="476"/>
      <c r="BME16" s="477"/>
      <c r="BMF16" s="477"/>
      <c r="BMG16" s="463"/>
      <c r="BMH16" s="475"/>
      <c r="BMI16" s="476"/>
      <c r="BMJ16" s="476"/>
      <c r="BMK16" s="476"/>
      <c r="BML16" s="476"/>
      <c r="BMM16" s="476"/>
      <c r="BMN16" s="476"/>
      <c r="BMO16" s="476"/>
      <c r="BMP16" s="476"/>
      <c r="BMQ16" s="476"/>
      <c r="BMR16" s="476"/>
      <c r="BMS16" s="476"/>
      <c r="BMT16" s="476"/>
      <c r="BMU16" s="477"/>
      <c r="BMV16" s="477"/>
      <c r="BMW16" s="463"/>
      <c r="BMX16" s="475"/>
      <c r="BMY16" s="476"/>
      <c r="BMZ16" s="476"/>
      <c r="BNA16" s="476"/>
      <c r="BNB16" s="476"/>
      <c r="BNC16" s="476"/>
      <c r="BND16" s="476"/>
      <c r="BNE16" s="476"/>
      <c r="BNF16" s="476"/>
      <c r="BNG16" s="476"/>
      <c r="BNH16" s="476"/>
      <c r="BNI16" s="476"/>
      <c r="BNJ16" s="476"/>
      <c r="BNK16" s="477"/>
      <c r="BNL16" s="477"/>
      <c r="BNM16" s="463"/>
      <c r="BNN16" s="475"/>
      <c r="BNO16" s="476"/>
      <c r="BNP16" s="476"/>
      <c r="BNQ16" s="476"/>
      <c r="BNR16" s="476"/>
      <c r="BNS16" s="476"/>
      <c r="BNT16" s="476"/>
      <c r="BNU16" s="476"/>
      <c r="BNV16" s="476"/>
      <c r="BNW16" s="476"/>
      <c r="BNX16" s="476"/>
      <c r="BNY16" s="476"/>
      <c r="BNZ16" s="476"/>
      <c r="BOA16" s="477"/>
      <c r="BOB16" s="477"/>
      <c r="BOC16" s="463"/>
      <c r="BOD16" s="475"/>
      <c r="BOE16" s="476"/>
      <c r="BOF16" s="476"/>
      <c r="BOG16" s="476"/>
      <c r="BOH16" s="476"/>
      <c r="BOI16" s="476"/>
      <c r="BOJ16" s="476"/>
      <c r="BOK16" s="476"/>
      <c r="BOL16" s="476"/>
      <c r="BOM16" s="476"/>
      <c r="BON16" s="476"/>
      <c r="BOO16" s="476"/>
      <c r="BOP16" s="476"/>
      <c r="BOQ16" s="477"/>
      <c r="BOR16" s="477"/>
      <c r="BOS16" s="463"/>
      <c r="BOT16" s="475"/>
      <c r="BOU16" s="476"/>
      <c r="BOV16" s="476"/>
      <c r="BOW16" s="476"/>
      <c r="BOX16" s="476"/>
      <c r="BOY16" s="476"/>
      <c r="BOZ16" s="476"/>
      <c r="BPA16" s="476"/>
      <c r="BPB16" s="476"/>
      <c r="BPC16" s="476"/>
      <c r="BPD16" s="476"/>
      <c r="BPE16" s="476"/>
      <c r="BPF16" s="476"/>
      <c r="BPG16" s="477"/>
      <c r="BPH16" s="477"/>
      <c r="BPI16" s="463"/>
      <c r="BPJ16" s="475"/>
      <c r="BPK16" s="476"/>
      <c r="BPL16" s="476"/>
      <c r="BPM16" s="476"/>
      <c r="BPN16" s="476"/>
      <c r="BPO16" s="476"/>
      <c r="BPP16" s="476"/>
      <c r="BPQ16" s="476"/>
      <c r="BPR16" s="476"/>
      <c r="BPS16" s="476"/>
      <c r="BPT16" s="476"/>
      <c r="BPU16" s="476"/>
      <c r="BPV16" s="476"/>
      <c r="BPW16" s="477"/>
      <c r="BPX16" s="477"/>
      <c r="BPY16" s="463"/>
      <c r="BPZ16" s="475"/>
      <c r="BQA16" s="476"/>
      <c r="BQB16" s="476"/>
      <c r="BQC16" s="476"/>
      <c r="BQD16" s="476"/>
      <c r="BQE16" s="476"/>
      <c r="BQF16" s="476"/>
      <c r="BQG16" s="476"/>
      <c r="BQH16" s="476"/>
      <c r="BQI16" s="476"/>
      <c r="BQJ16" s="476"/>
      <c r="BQK16" s="476"/>
      <c r="BQL16" s="476"/>
      <c r="BQM16" s="477"/>
      <c r="BQN16" s="477"/>
      <c r="BQO16" s="463"/>
      <c r="BQP16" s="475"/>
      <c r="BQQ16" s="476"/>
      <c r="BQR16" s="476"/>
      <c r="BQS16" s="476"/>
      <c r="BQT16" s="476"/>
      <c r="BQU16" s="476"/>
      <c r="BQV16" s="476"/>
      <c r="BQW16" s="476"/>
      <c r="BQX16" s="476"/>
      <c r="BQY16" s="476"/>
      <c r="BQZ16" s="476"/>
      <c r="BRA16" s="476"/>
      <c r="BRB16" s="476"/>
      <c r="BRC16" s="477"/>
      <c r="BRD16" s="477"/>
      <c r="BRE16" s="463"/>
      <c r="BRF16" s="475"/>
      <c r="BRG16" s="476"/>
      <c r="BRH16" s="476"/>
      <c r="BRI16" s="476"/>
      <c r="BRJ16" s="476"/>
      <c r="BRK16" s="476"/>
      <c r="BRL16" s="476"/>
      <c r="BRM16" s="476"/>
      <c r="BRN16" s="476"/>
      <c r="BRO16" s="476"/>
      <c r="BRP16" s="476"/>
      <c r="BRQ16" s="476"/>
      <c r="BRR16" s="476"/>
      <c r="BRS16" s="477"/>
      <c r="BRT16" s="477"/>
      <c r="BRU16" s="463"/>
      <c r="BRV16" s="475"/>
      <c r="BRW16" s="476"/>
      <c r="BRX16" s="476"/>
      <c r="BRY16" s="476"/>
      <c r="BRZ16" s="476"/>
      <c r="BSA16" s="476"/>
      <c r="BSB16" s="476"/>
      <c r="BSC16" s="476"/>
      <c r="BSD16" s="476"/>
      <c r="BSE16" s="476"/>
      <c r="BSF16" s="476"/>
      <c r="BSG16" s="476"/>
      <c r="BSH16" s="476"/>
      <c r="BSI16" s="477"/>
      <c r="BSJ16" s="477"/>
      <c r="BSK16" s="463"/>
      <c r="BSL16" s="475"/>
      <c r="BSM16" s="476"/>
      <c r="BSN16" s="476"/>
      <c r="BSO16" s="476"/>
      <c r="BSP16" s="476"/>
      <c r="BSQ16" s="476"/>
      <c r="BSR16" s="476"/>
      <c r="BSS16" s="476"/>
      <c r="BST16" s="476"/>
      <c r="BSU16" s="476"/>
      <c r="BSV16" s="476"/>
      <c r="BSW16" s="476"/>
      <c r="BSX16" s="476"/>
      <c r="BSY16" s="477"/>
      <c r="BSZ16" s="477"/>
      <c r="BTA16" s="463"/>
      <c r="BTB16" s="475"/>
      <c r="BTC16" s="476"/>
      <c r="BTD16" s="476"/>
      <c r="BTE16" s="476"/>
      <c r="BTF16" s="476"/>
      <c r="BTG16" s="476"/>
      <c r="BTH16" s="476"/>
      <c r="BTI16" s="476"/>
      <c r="BTJ16" s="476"/>
      <c r="BTK16" s="476"/>
      <c r="BTL16" s="476"/>
      <c r="BTM16" s="476"/>
      <c r="BTN16" s="476"/>
      <c r="BTO16" s="477"/>
      <c r="BTP16" s="477"/>
      <c r="BTQ16" s="463"/>
      <c r="BTR16" s="475"/>
      <c r="BTS16" s="476"/>
      <c r="BTT16" s="476"/>
      <c r="BTU16" s="476"/>
      <c r="BTV16" s="476"/>
      <c r="BTW16" s="476"/>
      <c r="BTX16" s="476"/>
      <c r="BTY16" s="476"/>
      <c r="BTZ16" s="476"/>
      <c r="BUA16" s="476"/>
      <c r="BUB16" s="476"/>
      <c r="BUC16" s="476"/>
      <c r="BUD16" s="476"/>
      <c r="BUE16" s="477"/>
      <c r="BUF16" s="477"/>
      <c r="BUG16" s="463"/>
      <c r="BUH16" s="475"/>
      <c r="BUI16" s="476"/>
      <c r="BUJ16" s="476"/>
      <c r="BUK16" s="476"/>
      <c r="BUL16" s="476"/>
      <c r="BUM16" s="476"/>
      <c r="BUN16" s="476"/>
      <c r="BUO16" s="476"/>
      <c r="BUP16" s="476"/>
      <c r="BUQ16" s="476"/>
      <c r="BUR16" s="476"/>
      <c r="BUS16" s="476"/>
      <c r="BUT16" s="476"/>
      <c r="BUU16" s="477"/>
      <c r="BUV16" s="477"/>
      <c r="BUW16" s="463"/>
      <c r="BUX16" s="475"/>
      <c r="BUY16" s="476"/>
      <c r="BUZ16" s="476"/>
      <c r="BVA16" s="476"/>
      <c r="BVB16" s="476"/>
      <c r="BVC16" s="476"/>
      <c r="BVD16" s="476"/>
      <c r="BVE16" s="476"/>
      <c r="BVF16" s="476"/>
      <c r="BVG16" s="476"/>
      <c r="BVH16" s="476"/>
      <c r="BVI16" s="476"/>
      <c r="BVJ16" s="476"/>
      <c r="BVK16" s="477"/>
      <c r="BVL16" s="477"/>
      <c r="BVM16" s="463"/>
      <c r="BVN16" s="475"/>
      <c r="BVO16" s="476"/>
      <c r="BVP16" s="476"/>
      <c r="BVQ16" s="476"/>
      <c r="BVR16" s="476"/>
      <c r="BVS16" s="476"/>
      <c r="BVT16" s="476"/>
      <c r="BVU16" s="476"/>
      <c r="BVV16" s="476"/>
      <c r="BVW16" s="476"/>
      <c r="BVX16" s="476"/>
      <c r="BVY16" s="476"/>
      <c r="BVZ16" s="476"/>
      <c r="BWA16" s="477"/>
      <c r="BWB16" s="477"/>
      <c r="BWC16" s="463"/>
      <c r="BWD16" s="475"/>
      <c r="BWE16" s="476"/>
      <c r="BWF16" s="476"/>
      <c r="BWG16" s="476"/>
      <c r="BWH16" s="476"/>
      <c r="BWI16" s="476"/>
      <c r="BWJ16" s="476"/>
      <c r="BWK16" s="476"/>
      <c r="BWL16" s="476"/>
      <c r="BWM16" s="476"/>
      <c r="BWN16" s="476"/>
      <c r="BWO16" s="476"/>
      <c r="BWP16" s="476"/>
      <c r="BWQ16" s="477"/>
      <c r="BWR16" s="477"/>
      <c r="BWS16" s="463"/>
      <c r="BWT16" s="475"/>
      <c r="BWU16" s="476"/>
      <c r="BWV16" s="476"/>
      <c r="BWW16" s="476"/>
      <c r="BWX16" s="476"/>
      <c r="BWY16" s="476"/>
      <c r="BWZ16" s="476"/>
      <c r="BXA16" s="476"/>
      <c r="BXB16" s="476"/>
      <c r="BXC16" s="476"/>
      <c r="BXD16" s="476"/>
      <c r="BXE16" s="476"/>
      <c r="BXF16" s="476"/>
      <c r="BXG16" s="477"/>
      <c r="BXH16" s="477"/>
      <c r="BXI16" s="463"/>
      <c r="BXJ16" s="475"/>
      <c r="BXK16" s="476"/>
      <c r="BXL16" s="476"/>
      <c r="BXM16" s="476"/>
      <c r="BXN16" s="476"/>
      <c r="BXO16" s="476"/>
      <c r="BXP16" s="476"/>
      <c r="BXQ16" s="476"/>
      <c r="BXR16" s="476"/>
      <c r="BXS16" s="476"/>
      <c r="BXT16" s="476"/>
      <c r="BXU16" s="476"/>
      <c r="BXV16" s="476"/>
      <c r="BXW16" s="477"/>
      <c r="BXX16" s="477"/>
      <c r="BXY16" s="463"/>
      <c r="BXZ16" s="475"/>
      <c r="BYA16" s="476"/>
      <c r="BYB16" s="476"/>
      <c r="BYC16" s="476"/>
      <c r="BYD16" s="476"/>
      <c r="BYE16" s="476"/>
      <c r="BYF16" s="476"/>
      <c r="BYG16" s="476"/>
      <c r="BYH16" s="476"/>
      <c r="BYI16" s="476"/>
      <c r="BYJ16" s="476"/>
      <c r="BYK16" s="476"/>
      <c r="BYL16" s="476"/>
      <c r="BYM16" s="477"/>
      <c r="BYN16" s="477"/>
      <c r="BYO16" s="463"/>
      <c r="BYP16" s="475"/>
      <c r="BYQ16" s="476"/>
      <c r="BYR16" s="476"/>
      <c r="BYS16" s="476"/>
      <c r="BYT16" s="476"/>
      <c r="BYU16" s="476"/>
      <c r="BYV16" s="476"/>
      <c r="BYW16" s="476"/>
      <c r="BYX16" s="476"/>
      <c r="BYY16" s="476"/>
      <c r="BYZ16" s="476"/>
      <c r="BZA16" s="476"/>
      <c r="BZB16" s="476"/>
      <c r="BZC16" s="477"/>
      <c r="BZD16" s="477"/>
      <c r="BZE16" s="463"/>
      <c r="BZF16" s="475"/>
      <c r="BZG16" s="476"/>
      <c r="BZH16" s="476"/>
      <c r="BZI16" s="476"/>
      <c r="BZJ16" s="476"/>
      <c r="BZK16" s="476"/>
      <c r="BZL16" s="476"/>
      <c r="BZM16" s="476"/>
      <c r="BZN16" s="476"/>
      <c r="BZO16" s="476"/>
      <c r="BZP16" s="476"/>
      <c r="BZQ16" s="476"/>
      <c r="BZR16" s="476"/>
      <c r="BZS16" s="477"/>
      <c r="BZT16" s="477"/>
      <c r="BZU16" s="463"/>
      <c r="BZV16" s="475"/>
      <c r="BZW16" s="476"/>
      <c r="BZX16" s="476"/>
      <c r="BZY16" s="476"/>
      <c r="BZZ16" s="476"/>
      <c r="CAA16" s="476"/>
      <c r="CAB16" s="476"/>
      <c r="CAC16" s="476"/>
      <c r="CAD16" s="476"/>
      <c r="CAE16" s="476"/>
      <c r="CAF16" s="476"/>
      <c r="CAG16" s="476"/>
      <c r="CAH16" s="476"/>
      <c r="CAI16" s="477"/>
      <c r="CAJ16" s="477"/>
      <c r="CAK16" s="463"/>
      <c r="CAL16" s="475"/>
      <c r="CAM16" s="476"/>
      <c r="CAN16" s="476"/>
      <c r="CAO16" s="476"/>
      <c r="CAP16" s="476"/>
      <c r="CAQ16" s="476"/>
      <c r="CAR16" s="476"/>
      <c r="CAS16" s="476"/>
      <c r="CAT16" s="476"/>
      <c r="CAU16" s="476"/>
      <c r="CAV16" s="476"/>
      <c r="CAW16" s="476"/>
      <c r="CAX16" s="476"/>
      <c r="CAY16" s="477"/>
      <c r="CAZ16" s="477"/>
      <c r="CBA16" s="463"/>
      <c r="CBB16" s="475"/>
      <c r="CBC16" s="476"/>
      <c r="CBD16" s="476"/>
      <c r="CBE16" s="476"/>
      <c r="CBF16" s="476"/>
      <c r="CBG16" s="476"/>
      <c r="CBH16" s="476"/>
      <c r="CBI16" s="476"/>
      <c r="CBJ16" s="476"/>
      <c r="CBK16" s="476"/>
      <c r="CBL16" s="476"/>
      <c r="CBM16" s="476"/>
      <c r="CBN16" s="476"/>
      <c r="CBO16" s="477"/>
      <c r="CBP16" s="477"/>
      <c r="CBQ16" s="463"/>
      <c r="CBR16" s="475"/>
      <c r="CBS16" s="476"/>
      <c r="CBT16" s="476"/>
      <c r="CBU16" s="476"/>
      <c r="CBV16" s="476"/>
      <c r="CBW16" s="476"/>
      <c r="CBX16" s="476"/>
      <c r="CBY16" s="476"/>
      <c r="CBZ16" s="476"/>
      <c r="CCA16" s="476"/>
      <c r="CCB16" s="476"/>
      <c r="CCC16" s="476"/>
      <c r="CCD16" s="476"/>
      <c r="CCE16" s="477"/>
      <c r="CCF16" s="477"/>
      <c r="CCG16" s="463"/>
      <c r="CCH16" s="475"/>
      <c r="CCI16" s="476"/>
      <c r="CCJ16" s="476"/>
      <c r="CCK16" s="476"/>
      <c r="CCL16" s="476"/>
      <c r="CCM16" s="476"/>
      <c r="CCN16" s="476"/>
      <c r="CCO16" s="476"/>
      <c r="CCP16" s="476"/>
      <c r="CCQ16" s="476"/>
      <c r="CCR16" s="476"/>
      <c r="CCS16" s="476"/>
      <c r="CCT16" s="476"/>
      <c r="CCU16" s="477"/>
      <c r="CCV16" s="477"/>
      <c r="CCW16" s="463"/>
      <c r="CCX16" s="475"/>
      <c r="CCY16" s="476"/>
      <c r="CCZ16" s="476"/>
      <c r="CDA16" s="476"/>
      <c r="CDB16" s="476"/>
      <c r="CDC16" s="476"/>
      <c r="CDD16" s="476"/>
      <c r="CDE16" s="476"/>
      <c r="CDF16" s="476"/>
      <c r="CDG16" s="476"/>
      <c r="CDH16" s="476"/>
      <c r="CDI16" s="476"/>
      <c r="CDJ16" s="476"/>
      <c r="CDK16" s="477"/>
      <c r="CDL16" s="477"/>
      <c r="CDM16" s="463"/>
      <c r="CDN16" s="475"/>
      <c r="CDO16" s="476"/>
      <c r="CDP16" s="476"/>
      <c r="CDQ16" s="476"/>
      <c r="CDR16" s="476"/>
      <c r="CDS16" s="476"/>
      <c r="CDT16" s="476"/>
      <c r="CDU16" s="476"/>
      <c r="CDV16" s="476"/>
      <c r="CDW16" s="476"/>
      <c r="CDX16" s="476"/>
      <c r="CDY16" s="476"/>
      <c r="CDZ16" s="476"/>
      <c r="CEA16" s="477"/>
      <c r="CEB16" s="477"/>
      <c r="CEC16" s="463"/>
      <c r="CED16" s="475"/>
      <c r="CEE16" s="476"/>
      <c r="CEF16" s="476"/>
      <c r="CEG16" s="476"/>
      <c r="CEH16" s="476"/>
      <c r="CEI16" s="476"/>
      <c r="CEJ16" s="476"/>
      <c r="CEK16" s="476"/>
      <c r="CEL16" s="476"/>
      <c r="CEM16" s="476"/>
      <c r="CEN16" s="476"/>
      <c r="CEO16" s="476"/>
      <c r="CEP16" s="476"/>
      <c r="CEQ16" s="477"/>
      <c r="CER16" s="477"/>
      <c r="CES16" s="463"/>
      <c r="CET16" s="475"/>
      <c r="CEU16" s="476"/>
      <c r="CEV16" s="476"/>
      <c r="CEW16" s="476"/>
      <c r="CEX16" s="476"/>
      <c r="CEY16" s="476"/>
      <c r="CEZ16" s="476"/>
      <c r="CFA16" s="476"/>
      <c r="CFB16" s="476"/>
      <c r="CFC16" s="476"/>
      <c r="CFD16" s="476"/>
      <c r="CFE16" s="476"/>
      <c r="CFF16" s="476"/>
      <c r="CFG16" s="477"/>
      <c r="CFH16" s="477"/>
      <c r="CFI16" s="463"/>
      <c r="CFJ16" s="475"/>
      <c r="CFK16" s="476"/>
      <c r="CFL16" s="476"/>
      <c r="CFM16" s="476"/>
      <c r="CFN16" s="476"/>
      <c r="CFO16" s="476"/>
      <c r="CFP16" s="476"/>
      <c r="CFQ16" s="476"/>
      <c r="CFR16" s="476"/>
      <c r="CFS16" s="476"/>
      <c r="CFT16" s="476"/>
      <c r="CFU16" s="476"/>
      <c r="CFV16" s="476"/>
      <c r="CFW16" s="477"/>
      <c r="CFX16" s="477"/>
      <c r="CFY16" s="463"/>
      <c r="CFZ16" s="475"/>
      <c r="CGA16" s="476"/>
      <c r="CGB16" s="476"/>
      <c r="CGC16" s="476"/>
      <c r="CGD16" s="476"/>
      <c r="CGE16" s="476"/>
      <c r="CGF16" s="476"/>
      <c r="CGG16" s="476"/>
      <c r="CGH16" s="476"/>
      <c r="CGI16" s="476"/>
      <c r="CGJ16" s="476"/>
      <c r="CGK16" s="476"/>
      <c r="CGL16" s="476"/>
      <c r="CGM16" s="477"/>
      <c r="CGN16" s="477"/>
      <c r="CGO16" s="463"/>
      <c r="CGP16" s="475"/>
      <c r="CGQ16" s="476"/>
      <c r="CGR16" s="476"/>
      <c r="CGS16" s="476"/>
      <c r="CGT16" s="476"/>
      <c r="CGU16" s="476"/>
      <c r="CGV16" s="476"/>
      <c r="CGW16" s="476"/>
      <c r="CGX16" s="476"/>
      <c r="CGY16" s="476"/>
      <c r="CGZ16" s="476"/>
      <c r="CHA16" s="476"/>
      <c r="CHB16" s="476"/>
      <c r="CHC16" s="477"/>
      <c r="CHD16" s="477"/>
      <c r="CHE16" s="463"/>
      <c r="CHF16" s="475"/>
      <c r="CHG16" s="476"/>
      <c r="CHH16" s="476"/>
      <c r="CHI16" s="476"/>
      <c r="CHJ16" s="476"/>
      <c r="CHK16" s="476"/>
      <c r="CHL16" s="476"/>
      <c r="CHM16" s="476"/>
      <c r="CHN16" s="476"/>
      <c r="CHO16" s="476"/>
      <c r="CHP16" s="476"/>
      <c r="CHQ16" s="476"/>
      <c r="CHR16" s="476"/>
      <c r="CHS16" s="477"/>
      <c r="CHT16" s="477"/>
      <c r="CHU16" s="463"/>
      <c r="CHV16" s="475"/>
      <c r="CHW16" s="476"/>
      <c r="CHX16" s="476"/>
      <c r="CHY16" s="476"/>
      <c r="CHZ16" s="476"/>
      <c r="CIA16" s="476"/>
      <c r="CIB16" s="476"/>
      <c r="CIC16" s="476"/>
      <c r="CID16" s="476"/>
      <c r="CIE16" s="476"/>
      <c r="CIF16" s="476"/>
      <c r="CIG16" s="476"/>
      <c r="CIH16" s="476"/>
      <c r="CII16" s="477"/>
      <c r="CIJ16" s="477"/>
      <c r="CIK16" s="463"/>
      <c r="CIL16" s="475"/>
      <c r="CIM16" s="476"/>
      <c r="CIN16" s="476"/>
      <c r="CIO16" s="476"/>
      <c r="CIP16" s="476"/>
      <c r="CIQ16" s="476"/>
      <c r="CIR16" s="476"/>
      <c r="CIS16" s="476"/>
      <c r="CIT16" s="476"/>
      <c r="CIU16" s="476"/>
      <c r="CIV16" s="476"/>
      <c r="CIW16" s="476"/>
      <c r="CIX16" s="476"/>
      <c r="CIY16" s="477"/>
      <c r="CIZ16" s="477"/>
      <c r="CJA16" s="463"/>
      <c r="CJB16" s="475"/>
      <c r="CJC16" s="476"/>
      <c r="CJD16" s="476"/>
      <c r="CJE16" s="476"/>
      <c r="CJF16" s="476"/>
      <c r="CJG16" s="476"/>
      <c r="CJH16" s="476"/>
      <c r="CJI16" s="476"/>
      <c r="CJJ16" s="476"/>
      <c r="CJK16" s="476"/>
      <c r="CJL16" s="476"/>
      <c r="CJM16" s="476"/>
      <c r="CJN16" s="476"/>
      <c r="CJO16" s="477"/>
      <c r="CJP16" s="477"/>
      <c r="CJQ16" s="463"/>
      <c r="CJR16" s="475"/>
      <c r="CJS16" s="476"/>
      <c r="CJT16" s="476"/>
      <c r="CJU16" s="476"/>
      <c r="CJV16" s="476"/>
      <c r="CJW16" s="476"/>
      <c r="CJX16" s="476"/>
      <c r="CJY16" s="476"/>
      <c r="CJZ16" s="476"/>
      <c r="CKA16" s="476"/>
      <c r="CKB16" s="476"/>
      <c r="CKC16" s="476"/>
      <c r="CKD16" s="476"/>
      <c r="CKE16" s="477"/>
      <c r="CKF16" s="477"/>
      <c r="CKG16" s="463"/>
      <c r="CKH16" s="475"/>
      <c r="CKI16" s="476"/>
      <c r="CKJ16" s="476"/>
      <c r="CKK16" s="476"/>
      <c r="CKL16" s="476"/>
      <c r="CKM16" s="476"/>
      <c r="CKN16" s="476"/>
      <c r="CKO16" s="476"/>
      <c r="CKP16" s="476"/>
      <c r="CKQ16" s="476"/>
      <c r="CKR16" s="476"/>
      <c r="CKS16" s="476"/>
      <c r="CKT16" s="476"/>
      <c r="CKU16" s="477"/>
      <c r="CKV16" s="477"/>
      <c r="CKW16" s="463"/>
      <c r="CKX16" s="475"/>
      <c r="CKY16" s="476"/>
      <c r="CKZ16" s="476"/>
      <c r="CLA16" s="476"/>
      <c r="CLB16" s="476"/>
      <c r="CLC16" s="476"/>
      <c r="CLD16" s="476"/>
      <c r="CLE16" s="476"/>
      <c r="CLF16" s="476"/>
      <c r="CLG16" s="476"/>
      <c r="CLH16" s="476"/>
      <c r="CLI16" s="476"/>
      <c r="CLJ16" s="476"/>
      <c r="CLK16" s="477"/>
      <c r="CLL16" s="477"/>
      <c r="CLM16" s="463"/>
      <c r="CLN16" s="475"/>
      <c r="CLO16" s="476"/>
      <c r="CLP16" s="476"/>
      <c r="CLQ16" s="476"/>
      <c r="CLR16" s="476"/>
      <c r="CLS16" s="476"/>
      <c r="CLT16" s="476"/>
      <c r="CLU16" s="476"/>
      <c r="CLV16" s="476"/>
      <c r="CLW16" s="476"/>
      <c r="CLX16" s="476"/>
      <c r="CLY16" s="476"/>
      <c r="CLZ16" s="476"/>
      <c r="CMA16" s="477"/>
      <c r="CMB16" s="477"/>
      <c r="CMC16" s="463"/>
      <c r="CMD16" s="475"/>
      <c r="CME16" s="476"/>
      <c r="CMF16" s="476"/>
      <c r="CMG16" s="476"/>
      <c r="CMH16" s="476"/>
      <c r="CMI16" s="476"/>
      <c r="CMJ16" s="476"/>
      <c r="CMK16" s="476"/>
      <c r="CML16" s="476"/>
      <c r="CMM16" s="476"/>
      <c r="CMN16" s="476"/>
      <c r="CMO16" s="476"/>
      <c r="CMP16" s="476"/>
      <c r="CMQ16" s="477"/>
      <c r="CMR16" s="477"/>
      <c r="CMS16" s="463"/>
      <c r="CMT16" s="475"/>
      <c r="CMU16" s="476"/>
      <c r="CMV16" s="476"/>
      <c r="CMW16" s="476"/>
      <c r="CMX16" s="476"/>
      <c r="CMY16" s="476"/>
      <c r="CMZ16" s="476"/>
      <c r="CNA16" s="476"/>
      <c r="CNB16" s="476"/>
      <c r="CNC16" s="476"/>
      <c r="CND16" s="476"/>
      <c r="CNE16" s="476"/>
      <c r="CNF16" s="476"/>
      <c r="CNG16" s="477"/>
      <c r="CNH16" s="477"/>
      <c r="CNI16" s="463"/>
      <c r="CNJ16" s="475"/>
      <c r="CNK16" s="476"/>
      <c r="CNL16" s="476"/>
      <c r="CNM16" s="476"/>
      <c r="CNN16" s="476"/>
      <c r="CNO16" s="476"/>
      <c r="CNP16" s="476"/>
      <c r="CNQ16" s="476"/>
      <c r="CNR16" s="476"/>
      <c r="CNS16" s="476"/>
      <c r="CNT16" s="476"/>
      <c r="CNU16" s="476"/>
      <c r="CNV16" s="476"/>
      <c r="CNW16" s="477"/>
      <c r="CNX16" s="477"/>
      <c r="CNY16" s="463"/>
      <c r="CNZ16" s="475"/>
      <c r="COA16" s="476"/>
      <c r="COB16" s="476"/>
      <c r="COC16" s="476"/>
      <c r="COD16" s="476"/>
      <c r="COE16" s="476"/>
      <c r="COF16" s="476"/>
      <c r="COG16" s="476"/>
      <c r="COH16" s="476"/>
      <c r="COI16" s="476"/>
      <c r="COJ16" s="476"/>
      <c r="COK16" s="476"/>
      <c r="COL16" s="476"/>
      <c r="COM16" s="477"/>
      <c r="CON16" s="477"/>
      <c r="COO16" s="463"/>
      <c r="COP16" s="475"/>
      <c r="COQ16" s="476"/>
      <c r="COR16" s="476"/>
      <c r="COS16" s="476"/>
      <c r="COT16" s="476"/>
      <c r="COU16" s="476"/>
      <c r="COV16" s="476"/>
      <c r="COW16" s="476"/>
      <c r="COX16" s="476"/>
      <c r="COY16" s="476"/>
      <c r="COZ16" s="476"/>
      <c r="CPA16" s="476"/>
      <c r="CPB16" s="476"/>
      <c r="CPC16" s="477"/>
      <c r="CPD16" s="477"/>
      <c r="CPE16" s="463"/>
      <c r="CPF16" s="475"/>
      <c r="CPG16" s="476"/>
      <c r="CPH16" s="476"/>
      <c r="CPI16" s="476"/>
      <c r="CPJ16" s="476"/>
      <c r="CPK16" s="476"/>
      <c r="CPL16" s="476"/>
      <c r="CPM16" s="476"/>
      <c r="CPN16" s="476"/>
      <c r="CPO16" s="476"/>
      <c r="CPP16" s="476"/>
      <c r="CPQ16" s="476"/>
      <c r="CPR16" s="476"/>
      <c r="CPS16" s="477"/>
      <c r="CPT16" s="477"/>
      <c r="CPU16" s="463"/>
      <c r="CPV16" s="475"/>
      <c r="CPW16" s="476"/>
      <c r="CPX16" s="476"/>
      <c r="CPY16" s="476"/>
      <c r="CPZ16" s="476"/>
      <c r="CQA16" s="476"/>
      <c r="CQB16" s="476"/>
      <c r="CQC16" s="476"/>
      <c r="CQD16" s="476"/>
      <c r="CQE16" s="476"/>
      <c r="CQF16" s="476"/>
      <c r="CQG16" s="476"/>
      <c r="CQH16" s="476"/>
      <c r="CQI16" s="477"/>
      <c r="CQJ16" s="477"/>
      <c r="CQK16" s="463"/>
      <c r="CQL16" s="475"/>
      <c r="CQM16" s="476"/>
      <c r="CQN16" s="476"/>
      <c r="CQO16" s="476"/>
      <c r="CQP16" s="476"/>
      <c r="CQQ16" s="476"/>
      <c r="CQR16" s="476"/>
      <c r="CQS16" s="476"/>
      <c r="CQT16" s="476"/>
      <c r="CQU16" s="476"/>
      <c r="CQV16" s="476"/>
      <c r="CQW16" s="476"/>
      <c r="CQX16" s="476"/>
      <c r="CQY16" s="477"/>
      <c r="CQZ16" s="477"/>
      <c r="CRA16" s="463"/>
      <c r="CRB16" s="475"/>
      <c r="CRC16" s="476"/>
      <c r="CRD16" s="476"/>
      <c r="CRE16" s="476"/>
      <c r="CRF16" s="476"/>
      <c r="CRG16" s="476"/>
      <c r="CRH16" s="476"/>
      <c r="CRI16" s="476"/>
      <c r="CRJ16" s="476"/>
      <c r="CRK16" s="476"/>
      <c r="CRL16" s="476"/>
      <c r="CRM16" s="476"/>
      <c r="CRN16" s="476"/>
      <c r="CRO16" s="477"/>
      <c r="CRP16" s="477"/>
      <c r="CRQ16" s="463"/>
      <c r="CRR16" s="475"/>
      <c r="CRS16" s="476"/>
      <c r="CRT16" s="476"/>
      <c r="CRU16" s="476"/>
      <c r="CRV16" s="476"/>
      <c r="CRW16" s="476"/>
      <c r="CRX16" s="476"/>
      <c r="CRY16" s="476"/>
      <c r="CRZ16" s="476"/>
      <c r="CSA16" s="476"/>
      <c r="CSB16" s="476"/>
      <c r="CSC16" s="476"/>
      <c r="CSD16" s="476"/>
      <c r="CSE16" s="477"/>
      <c r="CSF16" s="477"/>
      <c r="CSG16" s="463"/>
      <c r="CSH16" s="475"/>
      <c r="CSI16" s="476"/>
      <c r="CSJ16" s="476"/>
      <c r="CSK16" s="476"/>
      <c r="CSL16" s="476"/>
      <c r="CSM16" s="476"/>
      <c r="CSN16" s="476"/>
      <c r="CSO16" s="476"/>
      <c r="CSP16" s="476"/>
      <c r="CSQ16" s="476"/>
      <c r="CSR16" s="476"/>
      <c r="CSS16" s="476"/>
      <c r="CST16" s="476"/>
      <c r="CSU16" s="477"/>
      <c r="CSV16" s="477"/>
      <c r="CSW16" s="463"/>
      <c r="CSX16" s="475"/>
      <c r="CSY16" s="476"/>
      <c r="CSZ16" s="476"/>
      <c r="CTA16" s="476"/>
      <c r="CTB16" s="476"/>
      <c r="CTC16" s="476"/>
      <c r="CTD16" s="476"/>
      <c r="CTE16" s="476"/>
      <c r="CTF16" s="476"/>
      <c r="CTG16" s="476"/>
      <c r="CTH16" s="476"/>
      <c r="CTI16" s="476"/>
      <c r="CTJ16" s="476"/>
      <c r="CTK16" s="477"/>
      <c r="CTL16" s="477"/>
      <c r="CTM16" s="463"/>
      <c r="CTN16" s="475"/>
      <c r="CTO16" s="476"/>
      <c r="CTP16" s="476"/>
      <c r="CTQ16" s="476"/>
      <c r="CTR16" s="476"/>
      <c r="CTS16" s="476"/>
      <c r="CTT16" s="476"/>
      <c r="CTU16" s="476"/>
      <c r="CTV16" s="476"/>
      <c r="CTW16" s="476"/>
      <c r="CTX16" s="476"/>
      <c r="CTY16" s="476"/>
      <c r="CTZ16" s="476"/>
      <c r="CUA16" s="477"/>
      <c r="CUB16" s="477"/>
      <c r="CUC16" s="463"/>
      <c r="CUD16" s="475"/>
      <c r="CUE16" s="476"/>
      <c r="CUF16" s="476"/>
      <c r="CUG16" s="476"/>
      <c r="CUH16" s="476"/>
      <c r="CUI16" s="476"/>
      <c r="CUJ16" s="476"/>
      <c r="CUK16" s="476"/>
      <c r="CUL16" s="476"/>
      <c r="CUM16" s="476"/>
      <c r="CUN16" s="476"/>
      <c r="CUO16" s="476"/>
      <c r="CUP16" s="476"/>
      <c r="CUQ16" s="477"/>
      <c r="CUR16" s="477"/>
      <c r="CUS16" s="463"/>
      <c r="CUT16" s="475"/>
      <c r="CUU16" s="476"/>
      <c r="CUV16" s="476"/>
      <c r="CUW16" s="476"/>
      <c r="CUX16" s="476"/>
      <c r="CUY16" s="476"/>
      <c r="CUZ16" s="476"/>
      <c r="CVA16" s="476"/>
      <c r="CVB16" s="476"/>
      <c r="CVC16" s="476"/>
      <c r="CVD16" s="476"/>
      <c r="CVE16" s="476"/>
      <c r="CVF16" s="476"/>
      <c r="CVG16" s="477"/>
      <c r="CVH16" s="477"/>
      <c r="CVI16" s="463"/>
      <c r="CVJ16" s="475"/>
      <c r="CVK16" s="476"/>
      <c r="CVL16" s="476"/>
      <c r="CVM16" s="476"/>
      <c r="CVN16" s="476"/>
      <c r="CVO16" s="476"/>
      <c r="CVP16" s="476"/>
      <c r="CVQ16" s="476"/>
      <c r="CVR16" s="476"/>
      <c r="CVS16" s="476"/>
      <c r="CVT16" s="476"/>
      <c r="CVU16" s="476"/>
      <c r="CVV16" s="476"/>
      <c r="CVW16" s="477"/>
      <c r="CVX16" s="477"/>
      <c r="CVY16" s="463"/>
      <c r="CVZ16" s="475"/>
      <c r="CWA16" s="476"/>
      <c r="CWB16" s="476"/>
      <c r="CWC16" s="476"/>
      <c r="CWD16" s="476"/>
      <c r="CWE16" s="476"/>
      <c r="CWF16" s="476"/>
      <c r="CWG16" s="476"/>
      <c r="CWH16" s="476"/>
      <c r="CWI16" s="476"/>
      <c r="CWJ16" s="476"/>
      <c r="CWK16" s="476"/>
      <c r="CWL16" s="476"/>
      <c r="CWM16" s="477"/>
      <c r="CWN16" s="477"/>
      <c r="CWO16" s="463"/>
      <c r="CWP16" s="475"/>
      <c r="CWQ16" s="476"/>
      <c r="CWR16" s="476"/>
      <c r="CWS16" s="476"/>
      <c r="CWT16" s="476"/>
      <c r="CWU16" s="476"/>
      <c r="CWV16" s="476"/>
      <c r="CWW16" s="476"/>
      <c r="CWX16" s="476"/>
      <c r="CWY16" s="476"/>
      <c r="CWZ16" s="476"/>
      <c r="CXA16" s="476"/>
      <c r="CXB16" s="476"/>
      <c r="CXC16" s="477"/>
      <c r="CXD16" s="477"/>
      <c r="CXE16" s="463"/>
      <c r="CXF16" s="475"/>
      <c r="CXG16" s="476"/>
      <c r="CXH16" s="476"/>
      <c r="CXI16" s="476"/>
      <c r="CXJ16" s="476"/>
      <c r="CXK16" s="476"/>
      <c r="CXL16" s="476"/>
      <c r="CXM16" s="476"/>
      <c r="CXN16" s="476"/>
      <c r="CXO16" s="476"/>
      <c r="CXP16" s="476"/>
      <c r="CXQ16" s="476"/>
      <c r="CXR16" s="476"/>
      <c r="CXS16" s="477"/>
      <c r="CXT16" s="477"/>
      <c r="CXU16" s="463"/>
      <c r="CXV16" s="475"/>
      <c r="CXW16" s="476"/>
      <c r="CXX16" s="476"/>
      <c r="CXY16" s="476"/>
      <c r="CXZ16" s="476"/>
      <c r="CYA16" s="476"/>
      <c r="CYB16" s="476"/>
      <c r="CYC16" s="476"/>
      <c r="CYD16" s="476"/>
      <c r="CYE16" s="476"/>
      <c r="CYF16" s="476"/>
      <c r="CYG16" s="476"/>
      <c r="CYH16" s="476"/>
      <c r="CYI16" s="477"/>
      <c r="CYJ16" s="477"/>
      <c r="CYK16" s="463"/>
      <c r="CYL16" s="475"/>
      <c r="CYM16" s="476"/>
      <c r="CYN16" s="476"/>
      <c r="CYO16" s="476"/>
      <c r="CYP16" s="476"/>
      <c r="CYQ16" s="476"/>
      <c r="CYR16" s="476"/>
      <c r="CYS16" s="476"/>
      <c r="CYT16" s="476"/>
      <c r="CYU16" s="476"/>
      <c r="CYV16" s="476"/>
      <c r="CYW16" s="476"/>
      <c r="CYX16" s="476"/>
      <c r="CYY16" s="477"/>
      <c r="CYZ16" s="477"/>
      <c r="CZA16" s="463"/>
      <c r="CZB16" s="475"/>
      <c r="CZC16" s="476"/>
      <c r="CZD16" s="476"/>
      <c r="CZE16" s="476"/>
      <c r="CZF16" s="476"/>
      <c r="CZG16" s="476"/>
      <c r="CZH16" s="476"/>
      <c r="CZI16" s="476"/>
      <c r="CZJ16" s="476"/>
      <c r="CZK16" s="476"/>
      <c r="CZL16" s="476"/>
      <c r="CZM16" s="476"/>
      <c r="CZN16" s="476"/>
      <c r="CZO16" s="477"/>
      <c r="CZP16" s="477"/>
      <c r="CZQ16" s="463"/>
      <c r="CZR16" s="475"/>
      <c r="CZS16" s="476"/>
      <c r="CZT16" s="476"/>
      <c r="CZU16" s="476"/>
      <c r="CZV16" s="476"/>
      <c r="CZW16" s="476"/>
      <c r="CZX16" s="476"/>
      <c r="CZY16" s="476"/>
      <c r="CZZ16" s="476"/>
      <c r="DAA16" s="476"/>
      <c r="DAB16" s="476"/>
      <c r="DAC16" s="476"/>
      <c r="DAD16" s="476"/>
      <c r="DAE16" s="477"/>
      <c r="DAF16" s="477"/>
      <c r="DAG16" s="463"/>
      <c r="DAH16" s="475"/>
      <c r="DAI16" s="476"/>
      <c r="DAJ16" s="476"/>
      <c r="DAK16" s="476"/>
      <c r="DAL16" s="476"/>
      <c r="DAM16" s="476"/>
      <c r="DAN16" s="476"/>
      <c r="DAO16" s="476"/>
      <c r="DAP16" s="476"/>
      <c r="DAQ16" s="476"/>
      <c r="DAR16" s="476"/>
      <c r="DAS16" s="476"/>
      <c r="DAT16" s="476"/>
      <c r="DAU16" s="477"/>
      <c r="DAV16" s="477"/>
      <c r="DAW16" s="463"/>
      <c r="DAX16" s="475"/>
      <c r="DAY16" s="476"/>
      <c r="DAZ16" s="476"/>
      <c r="DBA16" s="476"/>
      <c r="DBB16" s="476"/>
      <c r="DBC16" s="476"/>
      <c r="DBD16" s="476"/>
      <c r="DBE16" s="476"/>
      <c r="DBF16" s="476"/>
      <c r="DBG16" s="476"/>
      <c r="DBH16" s="476"/>
      <c r="DBI16" s="476"/>
      <c r="DBJ16" s="476"/>
      <c r="DBK16" s="477"/>
      <c r="DBL16" s="477"/>
      <c r="DBM16" s="463"/>
      <c r="DBN16" s="475"/>
      <c r="DBO16" s="476"/>
      <c r="DBP16" s="476"/>
      <c r="DBQ16" s="476"/>
      <c r="DBR16" s="476"/>
      <c r="DBS16" s="476"/>
      <c r="DBT16" s="476"/>
      <c r="DBU16" s="476"/>
      <c r="DBV16" s="476"/>
      <c r="DBW16" s="476"/>
      <c r="DBX16" s="476"/>
      <c r="DBY16" s="476"/>
      <c r="DBZ16" s="476"/>
      <c r="DCA16" s="477"/>
      <c r="DCB16" s="477"/>
      <c r="DCC16" s="463"/>
      <c r="DCD16" s="475"/>
      <c r="DCE16" s="476"/>
      <c r="DCF16" s="476"/>
      <c r="DCG16" s="476"/>
      <c r="DCH16" s="476"/>
      <c r="DCI16" s="476"/>
      <c r="DCJ16" s="476"/>
      <c r="DCK16" s="476"/>
      <c r="DCL16" s="476"/>
      <c r="DCM16" s="476"/>
      <c r="DCN16" s="476"/>
      <c r="DCO16" s="476"/>
      <c r="DCP16" s="476"/>
      <c r="DCQ16" s="477"/>
      <c r="DCR16" s="477"/>
      <c r="DCS16" s="463"/>
      <c r="DCT16" s="475"/>
      <c r="DCU16" s="476"/>
      <c r="DCV16" s="476"/>
      <c r="DCW16" s="476"/>
      <c r="DCX16" s="476"/>
      <c r="DCY16" s="476"/>
      <c r="DCZ16" s="476"/>
      <c r="DDA16" s="476"/>
      <c r="DDB16" s="476"/>
      <c r="DDC16" s="476"/>
      <c r="DDD16" s="476"/>
      <c r="DDE16" s="476"/>
      <c r="DDF16" s="476"/>
      <c r="DDG16" s="477"/>
      <c r="DDH16" s="477"/>
      <c r="DDI16" s="463"/>
      <c r="DDJ16" s="475"/>
      <c r="DDK16" s="476"/>
      <c r="DDL16" s="476"/>
      <c r="DDM16" s="476"/>
      <c r="DDN16" s="476"/>
      <c r="DDO16" s="476"/>
      <c r="DDP16" s="476"/>
      <c r="DDQ16" s="476"/>
      <c r="DDR16" s="476"/>
      <c r="DDS16" s="476"/>
      <c r="DDT16" s="476"/>
      <c r="DDU16" s="476"/>
      <c r="DDV16" s="476"/>
      <c r="DDW16" s="477"/>
      <c r="DDX16" s="477"/>
      <c r="DDY16" s="463"/>
      <c r="DDZ16" s="475"/>
      <c r="DEA16" s="476"/>
      <c r="DEB16" s="476"/>
      <c r="DEC16" s="476"/>
      <c r="DED16" s="476"/>
      <c r="DEE16" s="476"/>
      <c r="DEF16" s="476"/>
      <c r="DEG16" s="476"/>
      <c r="DEH16" s="476"/>
      <c r="DEI16" s="476"/>
      <c r="DEJ16" s="476"/>
      <c r="DEK16" s="476"/>
      <c r="DEL16" s="476"/>
      <c r="DEM16" s="477"/>
      <c r="DEN16" s="477"/>
      <c r="DEO16" s="463"/>
      <c r="DEP16" s="475"/>
      <c r="DEQ16" s="476"/>
      <c r="DER16" s="476"/>
      <c r="DES16" s="476"/>
      <c r="DET16" s="476"/>
      <c r="DEU16" s="476"/>
      <c r="DEV16" s="476"/>
      <c r="DEW16" s="476"/>
      <c r="DEX16" s="476"/>
      <c r="DEY16" s="476"/>
      <c r="DEZ16" s="476"/>
      <c r="DFA16" s="476"/>
      <c r="DFB16" s="476"/>
      <c r="DFC16" s="477"/>
      <c r="DFD16" s="477"/>
      <c r="DFE16" s="463"/>
      <c r="DFF16" s="475"/>
      <c r="DFG16" s="476"/>
      <c r="DFH16" s="476"/>
      <c r="DFI16" s="476"/>
      <c r="DFJ16" s="476"/>
      <c r="DFK16" s="476"/>
      <c r="DFL16" s="476"/>
      <c r="DFM16" s="476"/>
      <c r="DFN16" s="476"/>
      <c r="DFO16" s="476"/>
      <c r="DFP16" s="476"/>
      <c r="DFQ16" s="476"/>
      <c r="DFR16" s="476"/>
      <c r="DFS16" s="477"/>
      <c r="DFT16" s="477"/>
      <c r="DFU16" s="463"/>
      <c r="DFV16" s="475"/>
      <c r="DFW16" s="476"/>
      <c r="DFX16" s="476"/>
      <c r="DFY16" s="476"/>
      <c r="DFZ16" s="476"/>
      <c r="DGA16" s="476"/>
      <c r="DGB16" s="476"/>
      <c r="DGC16" s="476"/>
      <c r="DGD16" s="476"/>
      <c r="DGE16" s="476"/>
      <c r="DGF16" s="476"/>
      <c r="DGG16" s="476"/>
      <c r="DGH16" s="476"/>
      <c r="DGI16" s="477"/>
      <c r="DGJ16" s="477"/>
      <c r="DGK16" s="463"/>
      <c r="DGL16" s="475"/>
      <c r="DGM16" s="476"/>
      <c r="DGN16" s="476"/>
      <c r="DGO16" s="476"/>
      <c r="DGP16" s="476"/>
      <c r="DGQ16" s="476"/>
      <c r="DGR16" s="476"/>
      <c r="DGS16" s="476"/>
      <c r="DGT16" s="476"/>
      <c r="DGU16" s="476"/>
      <c r="DGV16" s="476"/>
      <c r="DGW16" s="476"/>
      <c r="DGX16" s="476"/>
      <c r="DGY16" s="477"/>
      <c r="DGZ16" s="477"/>
      <c r="DHA16" s="463"/>
      <c r="DHB16" s="475"/>
      <c r="DHC16" s="476"/>
      <c r="DHD16" s="476"/>
      <c r="DHE16" s="476"/>
      <c r="DHF16" s="476"/>
      <c r="DHG16" s="476"/>
      <c r="DHH16" s="476"/>
      <c r="DHI16" s="476"/>
      <c r="DHJ16" s="476"/>
      <c r="DHK16" s="476"/>
      <c r="DHL16" s="476"/>
      <c r="DHM16" s="476"/>
      <c r="DHN16" s="476"/>
      <c r="DHO16" s="477"/>
      <c r="DHP16" s="477"/>
      <c r="DHQ16" s="463"/>
      <c r="DHR16" s="475"/>
      <c r="DHS16" s="476"/>
      <c r="DHT16" s="476"/>
      <c r="DHU16" s="476"/>
      <c r="DHV16" s="476"/>
      <c r="DHW16" s="476"/>
      <c r="DHX16" s="476"/>
      <c r="DHY16" s="476"/>
      <c r="DHZ16" s="476"/>
      <c r="DIA16" s="476"/>
      <c r="DIB16" s="476"/>
      <c r="DIC16" s="476"/>
      <c r="DID16" s="476"/>
      <c r="DIE16" s="477"/>
      <c r="DIF16" s="477"/>
      <c r="DIG16" s="463"/>
      <c r="DIH16" s="475"/>
      <c r="DII16" s="476"/>
      <c r="DIJ16" s="476"/>
      <c r="DIK16" s="476"/>
      <c r="DIL16" s="476"/>
      <c r="DIM16" s="476"/>
      <c r="DIN16" s="476"/>
      <c r="DIO16" s="476"/>
      <c r="DIP16" s="476"/>
      <c r="DIQ16" s="476"/>
      <c r="DIR16" s="476"/>
      <c r="DIS16" s="476"/>
      <c r="DIT16" s="476"/>
      <c r="DIU16" s="477"/>
      <c r="DIV16" s="477"/>
      <c r="DIW16" s="463"/>
      <c r="DIX16" s="475"/>
      <c r="DIY16" s="476"/>
      <c r="DIZ16" s="476"/>
      <c r="DJA16" s="476"/>
      <c r="DJB16" s="476"/>
      <c r="DJC16" s="476"/>
      <c r="DJD16" s="476"/>
      <c r="DJE16" s="476"/>
      <c r="DJF16" s="476"/>
      <c r="DJG16" s="476"/>
      <c r="DJH16" s="476"/>
      <c r="DJI16" s="476"/>
      <c r="DJJ16" s="476"/>
      <c r="DJK16" s="477"/>
      <c r="DJL16" s="477"/>
      <c r="DJM16" s="463"/>
      <c r="DJN16" s="475"/>
      <c r="DJO16" s="476"/>
      <c r="DJP16" s="476"/>
      <c r="DJQ16" s="476"/>
      <c r="DJR16" s="476"/>
      <c r="DJS16" s="476"/>
      <c r="DJT16" s="476"/>
      <c r="DJU16" s="476"/>
      <c r="DJV16" s="476"/>
      <c r="DJW16" s="476"/>
      <c r="DJX16" s="476"/>
      <c r="DJY16" s="476"/>
      <c r="DJZ16" s="476"/>
      <c r="DKA16" s="477"/>
      <c r="DKB16" s="477"/>
      <c r="DKC16" s="463"/>
      <c r="DKD16" s="475"/>
      <c r="DKE16" s="476"/>
      <c r="DKF16" s="476"/>
      <c r="DKG16" s="476"/>
      <c r="DKH16" s="476"/>
      <c r="DKI16" s="476"/>
      <c r="DKJ16" s="476"/>
      <c r="DKK16" s="476"/>
      <c r="DKL16" s="476"/>
      <c r="DKM16" s="476"/>
      <c r="DKN16" s="476"/>
      <c r="DKO16" s="476"/>
      <c r="DKP16" s="476"/>
      <c r="DKQ16" s="477"/>
      <c r="DKR16" s="477"/>
      <c r="DKS16" s="463"/>
      <c r="DKT16" s="475"/>
      <c r="DKU16" s="476"/>
      <c r="DKV16" s="476"/>
      <c r="DKW16" s="476"/>
      <c r="DKX16" s="476"/>
      <c r="DKY16" s="476"/>
      <c r="DKZ16" s="476"/>
      <c r="DLA16" s="476"/>
      <c r="DLB16" s="476"/>
      <c r="DLC16" s="476"/>
      <c r="DLD16" s="476"/>
      <c r="DLE16" s="476"/>
      <c r="DLF16" s="476"/>
      <c r="DLG16" s="477"/>
      <c r="DLH16" s="477"/>
      <c r="DLI16" s="463"/>
      <c r="DLJ16" s="475"/>
      <c r="DLK16" s="476"/>
      <c r="DLL16" s="476"/>
      <c r="DLM16" s="476"/>
      <c r="DLN16" s="476"/>
      <c r="DLO16" s="476"/>
      <c r="DLP16" s="476"/>
      <c r="DLQ16" s="476"/>
      <c r="DLR16" s="476"/>
      <c r="DLS16" s="476"/>
      <c r="DLT16" s="476"/>
      <c r="DLU16" s="476"/>
      <c r="DLV16" s="476"/>
      <c r="DLW16" s="477"/>
      <c r="DLX16" s="477"/>
      <c r="DLY16" s="463"/>
      <c r="DLZ16" s="475"/>
      <c r="DMA16" s="476"/>
      <c r="DMB16" s="476"/>
      <c r="DMC16" s="476"/>
      <c r="DMD16" s="476"/>
      <c r="DME16" s="476"/>
      <c r="DMF16" s="476"/>
      <c r="DMG16" s="476"/>
      <c r="DMH16" s="476"/>
      <c r="DMI16" s="476"/>
      <c r="DMJ16" s="476"/>
      <c r="DMK16" s="476"/>
      <c r="DML16" s="476"/>
      <c r="DMM16" s="477"/>
      <c r="DMN16" s="477"/>
      <c r="DMO16" s="463"/>
      <c r="DMP16" s="475"/>
      <c r="DMQ16" s="476"/>
      <c r="DMR16" s="476"/>
      <c r="DMS16" s="476"/>
      <c r="DMT16" s="476"/>
      <c r="DMU16" s="476"/>
      <c r="DMV16" s="476"/>
      <c r="DMW16" s="476"/>
      <c r="DMX16" s="476"/>
      <c r="DMY16" s="476"/>
      <c r="DMZ16" s="476"/>
      <c r="DNA16" s="476"/>
      <c r="DNB16" s="476"/>
      <c r="DNC16" s="477"/>
      <c r="DND16" s="477"/>
      <c r="DNE16" s="463"/>
      <c r="DNF16" s="475"/>
      <c r="DNG16" s="476"/>
      <c r="DNH16" s="476"/>
      <c r="DNI16" s="476"/>
      <c r="DNJ16" s="476"/>
      <c r="DNK16" s="476"/>
      <c r="DNL16" s="476"/>
      <c r="DNM16" s="476"/>
      <c r="DNN16" s="476"/>
      <c r="DNO16" s="476"/>
      <c r="DNP16" s="476"/>
      <c r="DNQ16" s="476"/>
      <c r="DNR16" s="476"/>
      <c r="DNS16" s="477"/>
      <c r="DNT16" s="477"/>
      <c r="DNU16" s="463"/>
      <c r="DNV16" s="475"/>
      <c r="DNW16" s="476"/>
      <c r="DNX16" s="476"/>
      <c r="DNY16" s="476"/>
      <c r="DNZ16" s="476"/>
      <c r="DOA16" s="476"/>
      <c r="DOB16" s="476"/>
      <c r="DOC16" s="476"/>
      <c r="DOD16" s="476"/>
      <c r="DOE16" s="476"/>
      <c r="DOF16" s="476"/>
      <c r="DOG16" s="476"/>
      <c r="DOH16" s="476"/>
      <c r="DOI16" s="477"/>
      <c r="DOJ16" s="477"/>
      <c r="DOK16" s="463"/>
      <c r="DOL16" s="475"/>
      <c r="DOM16" s="476"/>
      <c r="DON16" s="476"/>
      <c r="DOO16" s="476"/>
      <c r="DOP16" s="476"/>
      <c r="DOQ16" s="476"/>
      <c r="DOR16" s="476"/>
      <c r="DOS16" s="476"/>
      <c r="DOT16" s="476"/>
      <c r="DOU16" s="476"/>
      <c r="DOV16" s="476"/>
      <c r="DOW16" s="476"/>
      <c r="DOX16" s="476"/>
      <c r="DOY16" s="477"/>
      <c r="DOZ16" s="477"/>
      <c r="DPA16" s="463"/>
      <c r="DPB16" s="475"/>
      <c r="DPC16" s="476"/>
      <c r="DPD16" s="476"/>
      <c r="DPE16" s="476"/>
      <c r="DPF16" s="476"/>
      <c r="DPG16" s="476"/>
      <c r="DPH16" s="476"/>
      <c r="DPI16" s="476"/>
      <c r="DPJ16" s="476"/>
      <c r="DPK16" s="476"/>
      <c r="DPL16" s="476"/>
      <c r="DPM16" s="476"/>
      <c r="DPN16" s="476"/>
      <c r="DPO16" s="477"/>
      <c r="DPP16" s="477"/>
      <c r="DPQ16" s="463"/>
      <c r="DPR16" s="475"/>
      <c r="DPS16" s="476"/>
      <c r="DPT16" s="476"/>
      <c r="DPU16" s="476"/>
      <c r="DPV16" s="476"/>
      <c r="DPW16" s="476"/>
      <c r="DPX16" s="476"/>
      <c r="DPY16" s="476"/>
      <c r="DPZ16" s="476"/>
      <c r="DQA16" s="476"/>
      <c r="DQB16" s="476"/>
      <c r="DQC16" s="476"/>
      <c r="DQD16" s="476"/>
      <c r="DQE16" s="477"/>
      <c r="DQF16" s="477"/>
      <c r="DQG16" s="463"/>
      <c r="DQH16" s="475"/>
      <c r="DQI16" s="476"/>
      <c r="DQJ16" s="476"/>
      <c r="DQK16" s="476"/>
      <c r="DQL16" s="476"/>
      <c r="DQM16" s="476"/>
      <c r="DQN16" s="476"/>
      <c r="DQO16" s="476"/>
      <c r="DQP16" s="476"/>
      <c r="DQQ16" s="476"/>
      <c r="DQR16" s="476"/>
      <c r="DQS16" s="476"/>
      <c r="DQT16" s="476"/>
      <c r="DQU16" s="477"/>
      <c r="DQV16" s="477"/>
      <c r="DQW16" s="463"/>
      <c r="DQX16" s="475"/>
      <c r="DQY16" s="476"/>
      <c r="DQZ16" s="476"/>
      <c r="DRA16" s="476"/>
      <c r="DRB16" s="476"/>
      <c r="DRC16" s="476"/>
      <c r="DRD16" s="476"/>
      <c r="DRE16" s="476"/>
      <c r="DRF16" s="476"/>
      <c r="DRG16" s="476"/>
      <c r="DRH16" s="476"/>
      <c r="DRI16" s="476"/>
      <c r="DRJ16" s="476"/>
      <c r="DRK16" s="477"/>
      <c r="DRL16" s="477"/>
      <c r="DRM16" s="463"/>
      <c r="DRN16" s="475"/>
      <c r="DRO16" s="476"/>
      <c r="DRP16" s="476"/>
      <c r="DRQ16" s="476"/>
      <c r="DRR16" s="476"/>
      <c r="DRS16" s="476"/>
      <c r="DRT16" s="476"/>
      <c r="DRU16" s="476"/>
      <c r="DRV16" s="476"/>
      <c r="DRW16" s="476"/>
      <c r="DRX16" s="476"/>
      <c r="DRY16" s="476"/>
      <c r="DRZ16" s="476"/>
      <c r="DSA16" s="477"/>
      <c r="DSB16" s="477"/>
      <c r="DSC16" s="463"/>
      <c r="DSD16" s="475"/>
      <c r="DSE16" s="476"/>
      <c r="DSF16" s="476"/>
      <c r="DSG16" s="476"/>
      <c r="DSH16" s="476"/>
      <c r="DSI16" s="476"/>
      <c r="DSJ16" s="476"/>
      <c r="DSK16" s="476"/>
      <c r="DSL16" s="476"/>
      <c r="DSM16" s="476"/>
      <c r="DSN16" s="476"/>
      <c r="DSO16" s="476"/>
      <c r="DSP16" s="476"/>
      <c r="DSQ16" s="477"/>
      <c r="DSR16" s="477"/>
      <c r="DSS16" s="463"/>
      <c r="DST16" s="475"/>
      <c r="DSU16" s="476"/>
      <c r="DSV16" s="476"/>
      <c r="DSW16" s="476"/>
      <c r="DSX16" s="476"/>
      <c r="DSY16" s="476"/>
      <c r="DSZ16" s="476"/>
      <c r="DTA16" s="476"/>
      <c r="DTB16" s="476"/>
      <c r="DTC16" s="476"/>
      <c r="DTD16" s="476"/>
      <c r="DTE16" s="476"/>
      <c r="DTF16" s="476"/>
      <c r="DTG16" s="477"/>
      <c r="DTH16" s="477"/>
      <c r="DTI16" s="463"/>
      <c r="DTJ16" s="475"/>
      <c r="DTK16" s="476"/>
      <c r="DTL16" s="476"/>
      <c r="DTM16" s="476"/>
      <c r="DTN16" s="476"/>
      <c r="DTO16" s="476"/>
      <c r="DTP16" s="476"/>
      <c r="DTQ16" s="476"/>
      <c r="DTR16" s="476"/>
      <c r="DTS16" s="476"/>
      <c r="DTT16" s="476"/>
      <c r="DTU16" s="476"/>
      <c r="DTV16" s="476"/>
      <c r="DTW16" s="477"/>
      <c r="DTX16" s="477"/>
      <c r="DTY16" s="463"/>
      <c r="DTZ16" s="475"/>
      <c r="DUA16" s="476"/>
      <c r="DUB16" s="476"/>
      <c r="DUC16" s="476"/>
      <c r="DUD16" s="476"/>
      <c r="DUE16" s="476"/>
      <c r="DUF16" s="476"/>
      <c r="DUG16" s="476"/>
      <c r="DUH16" s="476"/>
      <c r="DUI16" s="476"/>
      <c r="DUJ16" s="476"/>
      <c r="DUK16" s="476"/>
      <c r="DUL16" s="476"/>
      <c r="DUM16" s="477"/>
      <c r="DUN16" s="477"/>
      <c r="DUO16" s="463"/>
      <c r="DUP16" s="475"/>
      <c r="DUQ16" s="476"/>
      <c r="DUR16" s="476"/>
      <c r="DUS16" s="476"/>
      <c r="DUT16" s="476"/>
      <c r="DUU16" s="476"/>
      <c r="DUV16" s="476"/>
      <c r="DUW16" s="476"/>
      <c r="DUX16" s="476"/>
      <c r="DUY16" s="476"/>
      <c r="DUZ16" s="476"/>
      <c r="DVA16" s="476"/>
      <c r="DVB16" s="476"/>
      <c r="DVC16" s="477"/>
      <c r="DVD16" s="477"/>
      <c r="DVE16" s="463"/>
      <c r="DVF16" s="475"/>
      <c r="DVG16" s="476"/>
      <c r="DVH16" s="476"/>
      <c r="DVI16" s="476"/>
      <c r="DVJ16" s="476"/>
      <c r="DVK16" s="476"/>
      <c r="DVL16" s="476"/>
      <c r="DVM16" s="476"/>
      <c r="DVN16" s="476"/>
      <c r="DVO16" s="476"/>
      <c r="DVP16" s="476"/>
      <c r="DVQ16" s="476"/>
      <c r="DVR16" s="476"/>
      <c r="DVS16" s="477"/>
      <c r="DVT16" s="477"/>
      <c r="DVU16" s="463"/>
      <c r="DVV16" s="475"/>
      <c r="DVW16" s="476"/>
      <c r="DVX16" s="476"/>
      <c r="DVY16" s="476"/>
      <c r="DVZ16" s="476"/>
      <c r="DWA16" s="476"/>
      <c r="DWB16" s="476"/>
      <c r="DWC16" s="476"/>
      <c r="DWD16" s="476"/>
      <c r="DWE16" s="476"/>
      <c r="DWF16" s="476"/>
      <c r="DWG16" s="476"/>
      <c r="DWH16" s="476"/>
      <c r="DWI16" s="477"/>
      <c r="DWJ16" s="477"/>
      <c r="DWK16" s="463"/>
      <c r="DWL16" s="475"/>
      <c r="DWM16" s="476"/>
      <c r="DWN16" s="476"/>
      <c r="DWO16" s="476"/>
      <c r="DWP16" s="476"/>
      <c r="DWQ16" s="476"/>
      <c r="DWR16" s="476"/>
      <c r="DWS16" s="476"/>
      <c r="DWT16" s="476"/>
      <c r="DWU16" s="476"/>
      <c r="DWV16" s="476"/>
      <c r="DWW16" s="476"/>
      <c r="DWX16" s="476"/>
      <c r="DWY16" s="477"/>
      <c r="DWZ16" s="477"/>
      <c r="DXA16" s="463"/>
      <c r="DXB16" s="475"/>
      <c r="DXC16" s="476"/>
      <c r="DXD16" s="476"/>
      <c r="DXE16" s="476"/>
      <c r="DXF16" s="476"/>
      <c r="DXG16" s="476"/>
      <c r="DXH16" s="476"/>
      <c r="DXI16" s="476"/>
      <c r="DXJ16" s="476"/>
      <c r="DXK16" s="476"/>
      <c r="DXL16" s="476"/>
      <c r="DXM16" s="476"/>
      <c r="DXN16" s="476"/>
      <c r="DXO16" s="477"/>
      <c r="DXP16" s="477"/>
      <c r="DXQ16" s="463"/>
      <c r="DXR16" s="475"/>
      <c r="DXS16" s="476"/>
      <c r="DXT16" s="476"/>
      <c r="DXU16" s="476"/>
      <c r="DXV16" s="476"/>
      <c r="DXW16" s="476"/>
      <c r="DXX16" s="476"/>
      <c r="DXY16" s="476"/>
      <c r="DXZ16" s="476"/>
      <c r="DYA16" s="476"/>
      <c r="DYB16" s="476"/>
      <c r="DYC16" s="476"/>
      <c r="DYD16" s="476"/>
      <c r="DYE16" s="477"/>
      <c r="DYF16" s="477"/>
      <c r="DYG16" s="463"/>
      <c r="DYH16" s="475"/>
      <c r="DYI16" s="476"/>
      <c r="DYJ16" s="476"/>
      <c r="DYK16" s="476"/>
      <c r="DYL16" s="476"/>
      <c r="DYM16" s="476"/>
      <c r="DYN16" s="476"/>
      <c r="DYO16" s="476"/>
      <c r="DYP16" s="476"/>
      <c r="DYQ16" s="476"/>
      <c r="DYR16" s="476"/>
      <c r="DYS16" s="476"/>
      <c r="DYT16" s="476"/>
      <c r="DYU16" s="477"/>
      <c r="DYV16" s="477"/>
      <c r="DYW16" s="463"/>
      <c r="DYX16" s="475"/>
      <c r="DYY16" s="476"/>
      <c r="DYZ16" s="476"/>
      <c r="DZA16" s="476"/>
      <c r="DZB16" s="476"/>
      <c r="DZC16" s="476"/>
      <c r="DZD16" s="476"/>
      <c r="DZE16" s="476"/>
      <c r="DZF16" s="476"/>
      <c r="DZG16" s="476"/>
      <c r="DZH16" s="476"/>
      <c r="DZI16" s="476"/>
      <c r="DZJ16" s="476"/>
      <c r="DZK16" s="477"/>
      <c r="DZL16" s="477"/>
      <c r="DZM16" s="463"/>
      <c r="DZN16" s="475"/>
      <c r="DZO16" s="476"/>
      <c r="DZP16" s="476"/>
      <c r="DZQ16" s="476"/>
      <c r="DZR16" s="476"/>
      <c r="DZS16" s="476"/>
      <c r="DZT16" s="476"/>
      <c r="DZU16" s="476"/>
      <c r="DZV16" s="476"/>
      <c r="DZW16" s="476"/>
      <c r="DZX16" s="476"/>
      <c r="DZY16" s="476"/>
      <c r="DZZ16" s="476"/>
      <c r="EAA16" s="477"/>
      <c r="EAB16" s="477"/>
      <c r="EAC16" s="463"/>
      <c r="EAD16" s="475"/>
      <c r="EAE16" s="476"/>
      <c r="EAF16" s="476"/>
      <c r="EAG16" s="476"/>
      <c r="EAH16" s="476"/>
      <c r="EAI16" s="476"/>
      <c r="EAJ16" s="476"/>
      <c r="EAK16" s="476"/>
      <c r="EAL16" s="476"/>
      <c r="EAM16" s="476"/>
      <c r="EAN16" s="476"/>
      <c r="EAO16" s="476"/>
      <c r="EAP16" s="476"/>
      <c r="EAQ16" s="477"/>
      <c r="EAR16" s="477"/>
      <c r="EAS16" s="463"/>
      <c r="EAT16" s="475"/>
      <c r="EAU16" s="476"/>
      <c r="EAV16" s="476"/>
      <c r="EAW16" s="476"/>
      <c r="EAX16" s="476"/>
      <c r="EAY16" s="476"/>
      <c r="EAZ16" s="476"/>
      <c r="EBA16" s="476"/>
      <c r="EBB16" s="476"/>
      <c r="EBC16" s="476"/>
      <c r="EBD16" s="476"/>
      <c r="EBE16" s="476"/>
      <c r="EBF16" s="476"/>
      <c r="EBG16" s="477"/>
      <c r="EBH16" s="477"/>
      <c r="EBI16" s="463"/>
      <c r="EBJ16" s="475"/>
      <c r="EBK16" s="476"/>
      <c r="EBL16" s="476"/>
      <c r="EBM16" s="476"/>
      <c r="EBN16" s="476"/>
      <c r="EBO16" s="476"/>
      <c r="EBP16" s="476"/>
      <c r="EBQ16" s="476"/>
      <c r="EBR16" s="476"/>
      <c r="EBS16" s="476"/>
      <c r="EBT16" s="476"/>
      <c r="EBU16" s="476"/>
      <c r="EBV16" s="476"/>
      <c r="EBW16" s="477"/>
      <c r="EBX16" s="477"/>
      <c r="EBY16" s="463"/>
      <c r="EBZ16" s="475"/>
      <c r="ECA16" s="476"/>
      <c r="ECB16" s="476"/>
      <c r="ECC16" s="476"/>
      <c r="ECD16" s="476"/>
      <c r="ECE16" s="476"/>
      <c r="ECF16" s="476"/>
      <c r="ECG16" s="476"/>
      <c r="ECH16" s="476"/>
      <c r="ECI16" s="476"/>
      <c r="ECJ16" s="476"/>
      <c r="ECK16" s="476"/>
      <c r="ECL16" s="476"/>
      <c r="ECM16" s="477"/>
      <c r="ECN16" s="477"/>
      <c r="ECO16" s="463"/>
      <c r="ECP16" s="475"/>
      <c r="ECQ16" s="476"/>
      <c r="ECR16" s="476"/>
      <c r="ECS16" s="476"/>
      <c r="ECT16" s="476"/>
      <c r="ECU16" s="476"/>
      <c r="ECV16" s="476"/>
      <c r="ECW16" s="476"/>
      <c r="ECX16" s="476"/>
      <c r="ECY16" s="476"/>
      <c r="ECZ16" s="476"/>
      <c r="EDA16" s="476"/>
      <c r="EDB16" s="476"/>
      <c r="EDC16" s="477"/>
      <c r="EDD16" s="477"/>
      <c r="EDE16" s="463"/>
      <c r="EDF16" s="475"/>
      <c r="EDG16" s="476"/>
      <c r="EDH16" s="476"/>
      <c r="EDI16" s="476"/>
      <c r="EDJ16" s="476"/>
      <c r="EDK16" s="476"/>
      <c r="EDL16" s="476"/>
      <c r="EDM16" s="476"/>
      <c r="EDN16" s="476"/>
      <c r="EDO16" s="476"/>
      <c r="EDP16" s="476"/>
      <c r="EDQ16" s="476"/>
      <c r="EDR16" s="476"/>
      <c r="EDS16" s="477"/>
      <c r="EDT16" s="477"/>
      <c r="EDU16" s="463"/>
      <c r="EDV16" s="475"/>
      <c r="EDW16" s="476"/>
      <c r="EDX16" s="476"/>
      <c r="EDY16" s="476"/>
      <c r="EDZ16" s="476"/>
      <c r="EEA16" s="476"/>
      <c r="EEB16" s="476"/>
      <c r="EEC16" s="476"/>
      <c r="EED16" s="476"/>
      <c r="EEE16" s="476"/>
      <c r="EEF16" s="476"/>
      <c r="EEG16" s="476"/>
      <c r="EEH16" s="476"/>
      <c r="EEI16" s="477"/>
      <c r="EEJ16" s="477"/>
      <c r="EEK16" s="463"/>
      <c r="EEL16" s="475"/>
      <c r="EEM16" s="476"/>
      <c r="EEN16" s="476"/>
      <c r="EEO16" s="476"/>
      <c r="EEP16" s="476"/>
      <c r="EEQ16" s="476"/>
      <c r="EER16" s="476"/>
      <c r="EES16" s="476"/>
      <c r="EET16" s="476"/>
      <c r="EEU16" s="476"/>
      <c r="EEV16" s="476"/>
      <c r="EEW16" s="476"/>
      <c r="EEX16" s="476"/>
      <c r="EEY16" s="477"/>
      <c r="EEZ16" s="477"/>
      <c r="EFA16" s="463"/>
      <c r="EFB16" s="475"/>
      <c r="EFC16" s="476"/>
      <c r="EFD16" s="476"/>
      <c r="EFE16" s="476"/>
      <c r="EFF16" s="476"/>
      <c r="EFG16" s="476"/>
      <c r="EFH16" s="476"/>
      <c r="EFI16" s="476"/>
      <c r="EFJ16" s="476"/>
      <c r="EFK16" s="476"/>
      <c r="EFL16" s="476"/>
      <c r="EFM16" s="476"/>
      <c r="EFN16" s="476"/>
      <c r="EFO16" s="477"/>
      <c r="EFP16" s="477"/>
      <c r="EFQ16" s="463"/>
      <c r="EFR16" s="475"/>
      <c r="EFS16" s="476"/>
      <c r="EFT16" s="476"/>
      <c r="EFU16" s="476"/>
      <c r="EFV16" s="476"/>
      <c r="EFW16" s="476"/>
      <c r="EFX16" s="476"/>
      <c r="EFY16" s="476"/>
      <c r="EFZ16" s="476"/>
      <c r="EGA16" s="476"/>
      <c r="EGB16" s="476"/>
      <c r="EGC16" s="476"/>
      <c r="EGD16" s="476"/>
      <c r="EGE16" s="477"/>
      <c r="EGF16" s="477"/>
      <c r="EGG16" s="463"/>
      <c r="EGH16" s="475"/>
      <c r="EGI16" s="476"/>
      <c r="EGJ16" s="476"/>
      <c r="EGK16" s="476"/>
      <c r="EGL16" s="476"/>
      <c r="EGM16" s="476"/>
      <c r="EGN16" s="476"/>
      <c r="EGO16" s="476"/>
      <c r="EGP16" s="476"/>
      <c r="EGQ16" s="476"/>
      <c r="EGR16" s="476"/>
      <c r="EGS16" s="476"/>
      <c r="EGT16" s="476"/>
      <c r="EGU16" s="477"/>
      <c r="EGV16" s="477"/>
      <c r="EGW16" s="463"/>
      <c r="EGX16" s="475"/>
      <c r="EGY16" s="476"/>
      <c r="EGZ16" s="476"/>
      <c r="EHA16" s="476"/>
      <c r="EHB16" s="476"/>
      <c r="EHC16" s="476"/>
      <c r="EHD16" s="476"/>
      <c r="EHE16" s="476"/>
      <c r="EHF16" s="476"/>
      <c r="EHG16" s="476"/>
      <c r="EHH16" s="476"/>
      <c r="EHI16" s="476"/>
      <c r="EHJ16" s="476"/>
      <c r="EHK16" s="477"/>
      <c r="EHL16" s="477"/>
      <c r="EHM16" s="463"/>
      <c r="EHN16" s="475"/>
      <c r="EHO16" s="476"/>
      <c r="EHP16" s="476"/>
      <c r="EHQ16" s="476"/>
      <c r="EHR16" s="476"/>
      <c r="EHS16" s="476"/>
      <c r="EHT16" s="476"/>
      <c r="EHU16" s="476"/>
      <c r="EHV16" s="476"/>
      <c r="EHW16" s="476"/>
      <c r="EHX16" s="476"/>
      <c r="EHY16" s="476"/>
      <c r="EHZ16" s="476"/>
      <c r="EIA16" s="477"/>
      <c r="EIB16" s="477"/>
      <c r="EIC16" s="463"/>
      <c r="EID16" s="475"/>
      <c r="EIE16" s="476"/>
      <c r="EIF16" s="476"/>
      <c r="EIG16" s="476"/>
      <c r="EIH16" s="476"/>
      <c r="EII16" s="476"/>
      <c r="EIJ16" s="476"/>
      <c r="EIK16" s="476"/>
      <c r="EIL16" s="476"/>
      <c r="EIM16" s="476"/>
      <c r="EIN16" s="476"/>
      <c r="EIO16" s="476"/>
      <c r="EIP16" s="476"/>
      <c r="EIQ16" s="477"/>
      <c r="EIR16" s="477"/>
      <c r="EIS16" s="463"/>
      <c r="EIT16" s="475"/>
      <c r="EIU16" s="476"/>
      <c r="EIV16" s="476"/>
      <c r="EIW16" s="476"/>
      <c r="EIX16" s="476"/>
      <c r="EIY16" s="476"/>
      <c r="EIZ16" s="476"/>
      <c r="EJA16" s="476"/>
      <c r="EJB16" s="476"/>
      <c r="EJC16" s="476"/>
      <c r="EJD16" s="476"/>
      <c r="EJE16" s="476"/>
      <c r="EJF16" s="476"/>
      <c r="EJG16" s="477"/>
      <c r="EJH16" s="477"/>
      <c r="EJI16" s="463"/>
      <c r="EJJ16" s="475"/>
      <c r="EJK16" s="476"/>
      <c r="EJL16" s="476"/>
      <c r="EJM16" s="476"/>
      <c r="EJN16" s="476"/>
      <c r="EJO16" s="476"/>
      <c r="EJP16" s="476"/>
      <c r="EJQ16" s="476"/>
      <c r="EJR16" s="476"/>
      <c r="EJS16" s="476"/>
      <c r="EJT16" s="476"/>
      <c r="EJU16" s="476"/>
      <c r="EJV16" s="476"/>
      <c r="EJW16" s="477"/>
      <c r="EJX16" s="477"/>
      <c r="EJY16" s="463"/>
      <c r="EJZ16" s="475"/>
      <c r="EKA16" s="476"/>
      <c r="EKB16" s="476"/>
      <c r="EKC16" s="476"/>
      <c r="EKD16" s="476"/>
      <c r="EKE16" s="476"/>
      <c r="EKF16" s="476"/>
      <c r="EKG16" s="476"/>
      <c r="EKH16" s="476"/>
      <c r="EKI16" s="476"/>
      <c r="EKJ16" s="476"/>
      <c r="EKK16" s="476"/>
      <c r="EKL16" s="476"/>
      <c r="EKM16" s="477"/>
      <c r="EKN16" s="477"/>
      <c r="EKO16" s="463"/>
      <c r="EKP16" s="475"/>
      <c r="EKQ16" s="476"/>
      <c r="EKR16" s="476"/>
      <c r="EKS16" s="476"/>
      <c r="EKT16" s="476"/>
      <c r="EKU16" s="476"/>
      <c r="EKV16" s="476"/>
      <c r="EKW16" s="476"/>
      <c r="EKX16" s="476"/>
      <c r="EKY16" s="476"/>
      <c r="EKZ16" s="476"/>
      <c r="ELA16" s="476"/>
      <c r="ELB16" s="476"/>
      <c r="ELC16" s="477"/>
      <c r="ELD16" s="477"/>
      <c r="ELE16" s="463"/>
      <c r="ELF16" s="475"/>
      <c r="ELG16" s="476"/>
      <c r="ELH16" s="476"/>
      <c r="ELI16" s="476"/>
      <c r="ELJ16" s="476"/>
      <c r="ELK16" s="476"/>
      <c r="ELL16" s="476"/>
      <c r="ELM16" s="476"/>
      <c r="ELN16" s="476"/>
      <c r="ELO16" s="476"/>
      <c r="ELP16" s="476"/>
      <c r="ELQ16" s="476"/>
      <c r="ELR16" s="476"/>
      <c r="ELS16" s="477"/>
      <c r="ELT16" s="477"/>
      <c r="ELU16" s="463"/>
      <c r="ELV16" s="475"/>
      <c r="ELW16" s="476"/>
      <c r="ELX16" s="476"/>
      <c r="ELY16" s="476"/>
      <c r="ELZ16" s="476"/>
      <c r="EMA16" s="476"/>
      <c r="EMB16" s="476"/>
      <c r="EMC16" s="476"/>
      <c r="EMD16" s="476"/>
      <c r="EME16" s="476"/>
      <c r="EMF16" s="476"/>
      <c r="EMG16" s="476"/>
      <c r="EMH16" s="476"/>
      <c r="EMI16" s="477"/>
      <c r="EMJ16" s="477"/>
      <c r="EMK16" s="463"/>
      <c r="EML16" s="475"/>
      <c r="EMM16" s="476"/>
      <c r="EMN16" s="476"/>
      <c r="EMO16" s="476"/>
      <c r="EMP16" s="476"/>
      <c r="EMQ16" s="476"/>
      <c r="EMR16" s="476"/>
      <c r="EMS16" s="476"/>
      <c r="EMT16" s="476"/>
      <c r="EMU16" s="476"/>
      <c r="EMV16" s="476"/>
      <c r="EMW16" s="476"/>
      <c r="EMX16" s="476"/>
      <c r="EMY16" s="477"/>
      <c r="EMZ16" s="477"/>
      <c r="ENA16" s="463"/>
      <c r="ENB16" s="475"/>
      <c r="ENC16" s="476"/>
      <c r="END16" s="476"/>
      <c r="ENE16" s="476"/>
      <c r="ENF16" s="476"/>
      <c r="ENG16" s="476"/>
      <c r="ENH16" s="476"/>
      <c r="ENI16" s="476"/>
      <c r="ENJ16" s="476"/>
      <c r="ENK16" s="476"/>
      <c r="ENL16" s="476"/>
      <c r="ENM16" s="476"/>
      <c r="ENN16" s="476"/>
      <c r="ENO16" s="477"/>
      <c r="ENP16" s="477"/>
      <c r="ENQ16" s="463"/>
      <c r="ENR16" s="475"/>
      <c r="ENS16" s="476"/>
      <c r="ENT16" s="476"/>
      <c r="ENU16" s="476"/>
      <c r="ENV16" s="476"/>
      <c r="ENW16" s="476"/>
      <c r="ENX16" s="476"/>
      <c r="ENY16" s="476"/>
      <c r="ENZ16" s="476"/>
      <c r="EOA16" s="476"/>
      <c r="EOB16" s="476"/>
      <c r="EOC16" s="476"/>
      <c r="EOD16" s="476"/>
      <c r="EOE16" s="477"/>
      <c r="EOF16" s="477"/>
      <c r="EOG16" s="463"/>
      <c r="EOH16" s="475"/>
      <c r="EOI16" s="476"/>
      <c r="EOJ16" s="476"/>
      <c r="EOK16" s="476"/>
      <c r="EOL16" s="476"/>
      <c r="EOM16" s="476"/>
      <c r="EON16" s="476"/>
      <c r="EOO16" s="476"/>
      <c r="EOP16" s="476"/>
      <c r="EOQ16" s="476"/>
      <c r="EOR16" s="476"/>
      <c r="EOS16" s="476"/>
      <c r="EOT16" s="476"/>
      <c r="EOU16" s="477"/>
      <c r="EOV16" s="477"/>
      <c r="EOW16" s="463"/>
      <c r="EOX16" s="475"/>
      <c r="EOY16" s="476"/>
      <c r="EOZ16" s="476"/>
      <c r="EPA16" s="476"/>
      <c r="EPB16" s="476"/>
      <c r="EPC16" s="476"/>
      <c r="EPD16" s="476"/>
      <c r="EPE16" s="476"/>
      <c r="EPF16" s="476"/>
      <c r="EPG16" s="476"/>
      <c r="EPH16" s="476"/>
      <c r="EPI16" s="476"/>
      <c r="EPJ16" s="476"/>
      <c r="EPK16" s="477"/>
      <c r="EPL16" s="477"/>
      <c r="EPM16" s="463"/>
      <c r="EPN16" s="475"/>
      <c r="EPO16" s="476"/>
      <c r="EPP16" s="476"/>
      <c r="EPQ16" s="476"/>
      <c r="EPR16" s="476"/>
      <c r="EPS16" s="476"/>
      <c r="EPT16" s="476"/>
      <c r="EPU16" s="476"/>
      <c r="EPV16" s="476"/>
      <c r="EPW16" s="476"/>
      <c r="EPX16" s="476"/>
      <c r="EPY16" s="476"/>
      <c r="EPZ16" s="476"/>
      <c r="EQA16" s="477"/>
      <c r="EQB16" s="477"/>
      <c r="EQC16" s="463"/>
      <c r="EQD16" s="475"/>
      <c r="EQE16" s="476"/>
      <c r="EQF16" s="476"/>
      <c r="EQG16" s="476"/>
      <c r="EQH16" s="476"/>
      <c r="EQI16" s="476"/>
      <c r="EQJ16" s="476"/>
      <c r="EQK16" s="476"/>
      <c r="EQL16" s="476"/>
      <c r="EQM16" s="476"/>
      <c r="EQN16" s="476"/>
      <c r="EQO16" s="476"/>
      <c r="EQP16" s="476"/>
      <c r="EQQ16" s="477"/>
      <c r="EQR16" s="477"/>
      <c r="EQS16" s="463"/>
      <c r="EQT16" s="475"/>
      <c r="EQU16" s="476"/>
      <c r="EQV16" s="476"/>
      <c r="EQW16" s="476"/>
      <c r="EQX16" s="476"/>
      <c r="EQY16" s="476"/>
      <c r="EQZ16" s="476"/>
      <c r="ERA16" s="476"/>
      <c r="ERB16" s="476"/>
      <c r="ERC16" s="476"/>
      <c r="ERD16" s="476"/>
      <c r="ERE16" s="476"/>
      <c r="ERF16" s="476"/>
      <c r="ERG16" s="477"/>
      <c r="ERH16" s="477"/>
      <c r="ERI16" s="463"/>
      <c r="ERJ16" s="475"/>
      <c r="ERK16" s="476"/>
      <c r="ERL16" s="476"/>
      <c r="ERM16" s="476"/>
      <c r="ERN16" s="476"/>
      <c r="ERO16" s="476"/>
      <c r="ERP16" s="476"/>
      <c r="ERQ16" s="476"/>
      <c r="ERR16" s="476"/>
      <c r="ERS16" s="476"/>
      <c r="ERT16" s="476"/>
      <c r="ERU16" s="476"/>
      <c r="ERV16" s="476"/>
      <c r="ERW16" s="477"/>
      <c r="ERX16" s="477"/>
      <c r="ERY16" s="463"/>
      <c r="ERZ16" s="475"/>
      <c r="ESA16" s="476"/>
      <c r="ESB16" s="476"/>
      <c r="ESC16" s="476"/>
      <c r="ESD16" s="476"/>
      <c r="ESE16" s="476"/>
      <c r="ESF16" s="476"/>
      <c r="ESG16" s="476"/>
      <c r="ESH16" s="476"/>
      <c r="ESI16" s="476"/>
      <c r="ESJ16" s="476"/>
      <c r="ESK16" s="476"/>
      <c r="ESL16" s="476"/>
      <c r="ESM16" s="477"/>
      <c r="ESN16" s="477"/>
      <c r="ESO16" s="463"/>
      <c r="ESP16" s="475"/>
      <c r="ESQ16" s="476"/>
      <c r="ESR16" s="476"/>
      <c r="ESS16" s="476"/>
      <c r="EST16" s="476"/>
      <c r="ESU16" s="476"/>
      <c r="ESV16" s="476"/>
      <c r="ESW16" s="476"/>
      <c r="ESX16" s="476"/>
      <c r="ESY16" s="476"/>
      <c r="ESZ16" s="476"/>
      <c r="ETA16" s="476"/>
      <c r="ETB16" s="476"/>
      <c r="ETC16" s="477"/>
      <c r="ETD16" s="477"/>
      <c r="ETE16" s="463"/>
      <c r="ETF16" s="475"/>
      <c r="ETG16" s="476"/>
      <c r="ETH16" s="476"/>
      <c r="ETI16" s="476"/>
      <c r="ETJ16" s="476"/>
      <c r="ETK16" s="476"/>
      <c r="ETL16" s="476"/>
      <c r="ETM16" s="476"/>
      <c r="ETN16" s="476"/>
      <c r="ETO16" s="476"/>
      <c r="ETP16" s="476"/>
      <c r="ETQ16" s="476"/>
      <c r="ETR16" s="476"/>
      <c r="ETS16" s="477"/>
      <c r="ETT16" s="477"/>
      <c r="ETU16" s="463"/>
      <c r="ETV16" s="475"/>
      <c r="ETW16" s="476"/>
      <c r="ETX16" s="476"/>
      <c r="ETY16" s="476"/>
      <c r="ETZ16" s="476"/>
      <c r="EUA16" s="476"/>
      <c r="EUB16" s="476"/>
      <c r="EUC16" s="476"/>
      <c r="EUD16" s="476"/>
      <c r="EUE16" s="476"/>
      <c r="EUF16" s="476"/>
      <c r="EUG16" s="476"/>
      <c r="EUH16" s="476"/>
      <c r="EUI16" s="477"/>
      <c r="EUJ16" s="477"/>
      <c r="EUK16" s="463"/>
      <c r="EUL16" s="475"/>
      <c r="EUM16" s="476"/>
      <c r="EUN16" s="476"/>
      <c r="EUO16" s="476"/>
      <c r="EUP16" s="476"/>
      <c r="EUQ16" s="476"/>
      <c r="EUR16" s="476"/>
      <c r="EUS16" s="476"/>
      <c r="EUT16" s="476"/>
      <c r="EUU16" s="476"/>
      <c r="EUV16" s="476"/>
      <c r="EUW16" s="476"/>
      <c r="EUX16" s="476"/>
      <c r="EUY16" s="477"/>
      <c r="EUZ16" s="477"/>
      <c r="EVA16" s="463"/>
      <c r="EVB16" s="475"/>
      <c r="EVC16" s="476"/>
      <c r="EVD16" s="476"/>
      <c r="EVE16" s="476"/>
      <c r="EVF16" s="476"/>
      <c r="EVG16" s="476"/>
      <c r="EVH16" s="476"/>
      <c r="EVI16" s="476"/>
      <c r="EVJ16" s="476"/>
      <c r="EVK16" s="476"/>
      <c r="EVL16" s="476"/>
      <c r="EVM16" s="476"/>
      <c r="EVN16" s="476"/>
      <c r="EVO16" s="477"/>
      <c r="EVP16" s="477"/>
      <c r="EVQ16" s="463"/>
      <c r="EVR16" s="475"/>
      <c r="EVS16" s="476"/>
      <c r="EVT16" s="476"/>
      <c r="EVU16" s="476"/>
      <c r="EVV16" s="476"/>
      <c r="EVW16" s="476"/>
      <c r="EVX16" s="476"/>
      <c r="EVY16" s="476"/>
      <c r="EVZ16" s="476"/>
      <c r="EWA16" s="476"/>
      <c r="EWB16" s="476"/>
      <c r="EWC16" s="476"/>
      <c r="EWD16" s="476"/>
      <c r="EWE16" s="477"/>
      <c r="EWF16" s="477"/>
      <c r="EWG16" s="463"/>
      <c r="EWH16" s="475"/>
      <c r="EWI16" s="476"/>
      <c r="EWJ16" s="476"/>
      <c r="EWK16" s="476"/>
      <c r="EWL16" s="476"/>
      <c r="EWM16" s="476"/>
      <c r="EWN16" s="476"/>
      <c r="EWO16" s="476"/>
      <c r="EWP16" s="476"/>
      <c r="EWQ16" s="476"/>
      <c r="EWR16" s="476"/>
      <c r="EWS16" s="476"/>
      <c r="EWT16" s="476"/>
      <c r="EWU16" s="477"/>
      <c r="EWV16" s="477"/>
      <c r="EWW16" s="463"/>
      <c r="EWX16" s="475"/>
      <c r="EWY16" s="476"/>
      <c r="EWZ16" s="476"/>
      <c r="EXA16" s="476"/>
      <c r="EXB16" s="476"/>
      <c r="EXC16" s="476"/>
      <c r="EXD16" s="476"/>
      <c r="EXE16" s="476"/>
      <c r="EXF16" s="476"/>
      <c r="EXG16" s="476"/>
      <c r="EXH16" s="476"/>
      <c r="EXI16" s="476"/>
      <c r="EXJ16" s="476"/>
      <c r="EXK16" s="477"/>
      <c r="EXL16" s="477"/>
      <c r="EXM16" s="463"/>
      <c r="EXN16" s="475"/>
      <c r="EXO16" s="476"/>
      <c r="EXP16" s="476"/>
      <c r="EXQ16" s="476"/>
      <c r="EXR16" s="476"/>
      <c r="EXS16" s="476"/>
      <c r="EXT16" s="476"/>
      <c r="EXU16" s="476"/>
      <c r="EXV16" s="476"/>
      <c r="EXW16" s="476"/>
      <c r="EXX16" s="476"/>
      <c r="EXY16" s="476"/>
      <c r="EXZ16" s="476"/>
      <c r="EYA16" s="477"/>
      <c r="EYB16" s="477"/>
      <c r="EYC16" s="463"/>
      <c r="EYD16" s="475"/>
      <c r="EYE16" s="476"/>
      <c r="EYF16" s="476"/>
      <c r="EYG16" s="476"/>
      <c r="EYH16" s="476"/>
      <c r="EYI16" s="476"/>
      <c r="EYJ16" s="476"/>
      <c r="EYK16" s="476"/>
      <c r="EYL16" s="476"/>
      <c r="EYM16" s="476"/>
      <c r="EYN16" s="476"/>
      <c r="EYO16" s="476"/>
      <c r="EYP16" s="476"/>
      <c r="EYQ16" s="477"/>
      <c r="EYR16" s="477"/>
      <c r="EYS16" s="463"/>
      <c r="EYT16" s="475"/>
      <c r="EYU16" s="476"/>
      <c r="EYV16" s="476"/>
      <c r="EYW16" s="476"/>
      <c r="EYX16" s="476"/>
      <c r="EYY16" s="476"/>
      <c r="EYZ16" s="476"/>
      <c r="EZA16" s="476"/>
      <c r="EZB16" s="476"/>
      <c r="EZC16" s="476"/>
      <c r="EZD16" s="476"/>
      <c r="EZE16" s="476"/>
      <c r="EZF16" s="476"/>
      <c r="EZG16" s="477"/>
      <c r="EZH16" s="477"/>
      <c r="EZI16" s="463"/>
      <c r="EZJ16" s="475"/>
      <c r="EZK16" s="476"/>
      <c r="EZL16" s="476"/>
      <c r="EZM16" s="476"/>
      <c r="EZN16" s="476"/>
      <c r="EZO16" s="476"/>
      <c r="EZP16" s="476"/>
      <c r="EZQ16" s="476"/>
      <c r="EZR16" s="476"/>
      <c r="EZS16" s="476"/>
      <c r="EZT16" s="476"/>
      <c r="EZU16" s="476"/>
      <c r="EZV16" s="476"/>
      <c r="EZW16" s="477"/>
      <c r="EZX16" s="477"/>
      <c r="EZY16" s="463"/>
      <c r="EZZ16" s="475"/>
      <c r="FAA16" s="476"/>
      <c r="FAB16" s="476"/>
      <c r="FAC16" s="476"/>
      <c r="FAD16" s="476"/>
      <c r="FAE16" s="476"/>
      <c r="FAF16" s="476"/>
      <c r="FAG16" s="476"/>
      <c r="FAH16" s="476"/>
      <c r="FAI16" s="476"/>
      <c r="FAJ16" s="476"/>
      <c r="FAK16" s="476"/>
      <c r="FAL16" s="476"/>
      <c r="FAM16" s="477"/>
      <c r="FAN16" s="477"/>
      <c r="FAO16" s="463"/>
      <c r="FAP16" s="475"/>
      <c r="FAQ16" s="476"/>
      <c r="FAR16" s="476"/>
      <c r="FAS16" s="476"/>
      <c r="FAT16" s="476"/>
      <c r="FAU16" s="476"/>
      <c r="FAV16" s="476"/>
      <c r="FAW16" s="476"/>
      <c r="FAX16" s="476"/>
      <c r="FAY16" s="476"/>
      <c r="FAZ16" s="476"/>
      <c r="FBA16" s="476"/>
      <c r="FBB16" s="476"/>
      <c r="FBC16" s="477"/>
      <c r="FBD16" s="477"/>
      <c r="FBE16" s="463"/>
      <c r="FBF16" s="475"/>
      <c r="FBG16" s="476"/>
      <c r="FBH16" s="476"/>
      <c r="FBI16" s="476"/>
      <c r="FBJ16" s="476"/>
      <c r="FBK16" s="476"/>
      <c r="FBL16" s="476"/>
      <c r="FBM16" s="476"/>
      <c r="FBN16" s="476"/>
      <c r="FBO16" s="476"/>
      <c r="FBP16" s="476"/>
      <c r="FBQ16" s="476"/>
      <c r="FBR16" s="476"/>
      <c r="FBS16" s="477"/>
      <c r="FBT16" s="477"/>
      <c r="FBU16" s="463"/>
      <c r="FBV16" s="475"/>
      <c r="FBW16" s="476"/>
      <c r="FBX16" s="476"/>
      <c r="FBY16" s="476"/>
      <c r="FBZ16" s="476"/>
      <c r="FCA16" s="476"/>
      <c r="FCB16" s="476"/>
      <c r="FCC16" s="476"/>
      <c r="FCD16" s="476"/>
      <c r="FCE16" s="476"/>
      <c r="FCF16" s="476"/>
      <c r="FCG16" s="476"/>
      <c r="FCH16" s="476"/>
      <c r="FCI16" s="477"/>
      <c r="FCJ16" s="477"/>
      <c r="FCK16" s="463"/>
      <c r="FCL16" s="475"/>
      <c r="FCM16" s="476"/>
      <c r="FCN16" s="476"/>
      <c r="FCO16" s="476"/>
      <c r="FCP16" s="476"/>
      <c r="FCQ16" s="476"/>
      <c r="FCR16" s="476"/>
      <c r="FCS16" s="476"/>
      <c r="FCT16" s="476"/>
      <c r="FCU16" s="476"/>
      <c r="FCV16" s="476"/>
      <c r="FCW16" s="476"/>
      <c r="FCX16" s="476"/>
      <c r="FCY16" s="477"/>
      <c r="FCZ16" s="477"/>
      <c r="FDA16" s="463"/>
      <c r="FDB16" s="475"/>
      <c r="FDC16" s="476"/>
      <c r="FDD16" s="476"/>
      <c r="FDE16" s="476"/>
      <c r="FDF16" s="476"/>
      <c r="FDG16" s="476"/>
      <c r="FDH16" s="476"/>
      <c r="FDI16" s="476"/>
      <c r="FDJ16" s="476"/>
      <c r="FDK16" s="476"/>
      <c r="FDL16" s="476"/>
      <c r="FDM16" s="476"/>
      <c r="FDN16" s="476"/>
      <c r="FDO16" s="477"/>
      <c r="FDP16" s="477"/>
      <c r="FDQ16" s="463"/>
      <c r="FDR16" s="475"/>
      <c r="FDS16" s="476"/>
      <c r="FDT16" s="476"/>
      <c r="FDU16" s="476"/>
      <c r="FDV16" s="476"/>
      <c r="FDW16" s="476"/>
      <c r="FDX16" s="476"/>
      <c r="FDY16" s="476"/>
      <c r="FDZ16" s="476"/>
      <c r="FEA16" s="476"/>
      <c r="FEB16" s="476"/>
      <c r="FEC16" s="476"/>
      <c r="FED16" s="476"/>
      <c r="FEE16" s="477"/>
      <c r="FEF16" s="477"/>
      <c r="FEG16" s="463"/>
      <c r="FEH16" s="475"/>
      <c r="FEI16" s="476"/>
      <c r="FEJ16" s="476"/>
      <c r="FEK16" s="476"/>
      <c r="FEL16" s="476"/>
      <c r="FEM16" s="476"/>
      <c r="FEN16" s="476"/>
      <c r="FEO16" s="476"/>
      <c r="FEP16" s="476"/>
      <c r="FEQ16" s="476"/>
      <c r="FER16" s="476"/>
      <c r="FES16" s="476"/>
      <c r="FET16" s="476"/>
      <c r="FEU16" s="477"/>
      <c r="FEV16" s="477"/>
      <c r="FEW16" s="463"/>
      <c r="FEX16" s="475"/>
      <c r="FEY16" s="476"/>
      <c r="FEZ16" s="476"/>
      <c r="FFA16" s="476"/>
      <c r="FFB16" s="476"/>
      <c r="FFC16" s="476"/>
      <c r="FFD16" s="476"/>
      <c r="FFE16" s="476"/>
      <c r="FFF16" s="476"/>
      <c r="FFG16" s="476"/>
      <c r="FFH16" s="476"/>
      <c r="FFI16" s="476"/>
      <c r="FFJ16" s="476"/>
      <c r="FFK16" s="477"/>
      <c r="FFL16" s="477"/>
      <c r="FFM16" s="463"/>
      <c r="FFN16" s="475"/>
      <c r="FFO16" s="476"/>
      <c r="FFP16" s="476"/>
      <c r="FFQ16" s="476"/>
      <c r="FFR16" s="476"/>
      <c r="FFS16" s="476"/>
      <c r="FFT16" s="476"/>
      <c r="FFU16" s="476"/>
      <c r="FFV16" s="476"/>
      <c r="FFW16" s="476"/>
      <c r="FFX16" s="476"/>
      <c r="FFY16" s="476"/>
      <c r="FFZ16" s="476"/>
      <c r="FGA16" s="477"/>
      <c r="FGB16" s="477"/>
      <c r="FGC16" s="463"/>
      <c r="FGD16" s="475"/>
      <c r="FGE16" s="476"/>
      <c r="FGF16" s="476"/>
      <c r="FGG16" s="476"/>
      <c r="FGH16" s="476"/>
      <c r="FGI16" s="476"/>
      <c r="FGJ16" s="476"/>
      <c r="FGK16" s="476"/>
      <c r="FGL16" s="476"/>
      <c r="FGM16" s="476"/>
      <c r="FGN16" s="476"/>
      <c r="FGO16" s="476"/>
      <c r="FGP16" s="476"/>
      <c r="FGQ16" s="477"/>
      <c r="FGR16" s="477"/>
      <c r="FGS16" s="463"/>
      <c r="FGT16" s="475"/>
      <c r="FGU16" s="476"/>
      <c r="FGV16" s="476"/>
      <c r="FGW16" s="476"/>
      <c r="FGX16" s="476"/>
      <c r="FGY16" s="476"/>
      <c r="FGZ16" s="476"/>
      <c r="FHA16" s="476"/>
      <c r="FHB16" s="476"/>
      <c r="FHC16" s="476"/>
      <c r="FHD16" s="476"/>
      <c r="FHE16" s="476"/>
      <c r="FHF16" s="476"/>
      <c r="FHG16" s="477"/>
      <c r="FHH16" s="477"/>
      <c r="FHI16" s="463"/>
      <c r="FHJ16" s="475"/>
      <c r="FHK16" s="476"/>
      <c r="FHL16" s="476"/>
      <c r="FHM16" s="476"/>
      <c r="FHN16" s="476"/>
      <c r="FHO16" s="476"/>
      <c r="FHP16" s="476"/>
      <c r="FHQ16" s="476"/>
      <c r="FHR16" s="476"/>
      <c r="FHS16" s="476"/>
      <c r="FHT16" s="476"/>
      <c r="FHU16" s="476"/>
      <c r="FHV16" s="476"/>
      <c r="FHW16" s="477"/>
      <c r="FHX16" s="477"/>
      <c r="FHY16" s="463"/>
      <c r="FHZ16" s="475"/>
      <c r="FIA16" s="476"/>
      <c r="FIB16" s="476"/>
      <c r="FIC16" s="476"/>
      <c r="FID16" s="476"/>
      <c r="FIE16" s="476"/>
      <c r="FIF16" s="476"/>
      <c r="FIG16" s="476"/>
      <c r="FIH16" s="476"/>
      <c r="FII16" s="476"/>
      <c r="FIJ16" s="476"/>
      <c r="FIK16" s="476"/>
      <c r="FIL16" s="476"/>
      <c r="FIM16" s="477"/>
      <c r="FIN16" s="477"/>
      <c r="FIO16" s="463"/>
      <c r="FIP16" s="475"/>
      <c r="FIQ16" s="476"/>
      <c r="FIR16" s="476"/>
      <c r="FIS16" s="476"/>
      <c r="FIT16" s="476"/>
      <c r="FIU16" s="476"/>
      <c r="FIV16" s="476"/>
      <c r="FIW16" s="476"/>
      <c r="FIX16" s="476"/>
      <c r="FIY16" s="476"/>
      <c r="FIZ16" s="476"/>
      <c r="FJA16" s="476"/>
      <c r="FJB16" s="476"/>
      <c r="FJC16" s="477"/>
      <c r="FJD16" s="477"/>
      <c r="FJE16" s="463"/>
      <c r="FJF16" s="475"/>
      <c r="FJG16" s="476"/>
      <c r="FJH16" s="476"/>
      <c r="FJI16" s="476"/>
      <c r="FJJ16" s="476"/>
      <c r="FJK16" s="476"/>
      <c r="FJL16" s="476"/>
      <c r="FJM16" s="476"/>
      <c r="FJN16" s="476"/>
      <c r="FJO16" s="476"/>
      <c r="FJP16" s="476"/>
      <c r="FJQ16" s="476"/>
      <c r="FJR16" s="476"/>
      <c r="FJS16" s="477"/>
      <c r="FJT16" s="477"/>
      <c r="FJU16" s="463"/>
      <c r="FJV16" s="475"/>
      <c r="FJW16" s="476"/>
      <c r="FJX16" s="476"/>
      <c r="FJY16" s="476"/>
      <c r="FJZ16" s="476"/>
      <c r="FKA16" s="476"/>
      <c r="FKB16" s="476"/>
      <c r="FKC16" s="476"/>
      <c r="FKD16" s="476"/>
      <c r="FKE16" s="476"/>
      <c r="FKF16" s="476"/>
      <c r="FKG16" s="476"/>
      <c r="FKH16" s="476"/>
      <c r="FKI16" s="477"/>
      <c r="FKJ16" s="477"/>
      <c r="FKK16" s="463"/>
      <c r="FKL16" s="475"/>
      <c r="FKM16" s="476"/>
      <c r="FKN16" s="476"/>
      <c r="FKO16" s="476"/>
      <c r="FKP16" s="476"/>
      <c r="FKQ16" s="476"/>
      <c r="FKR16" s="476"/>
      <c r="FKS16" s="476"/>
      <c r="FKT16" s="476"/>
      <c r="FKU16" s="476"/>
      <c r="FKV16" s="476"/>
      <c r="FKW16" s="476"/>
      <c r="FKX16" s="476"/>
      <c r="FKY16" s="477"/>
      <c r="FKZ16" s="477"/>
      <c r="FLA16" s="463"/>
      <c r="FLB16" s="475"/>
      <c r="FLC16" s="476"/>
      <c r="FLD16" s="476"/>
      <c r="FLE16" s="476"/>
      <c r="FLF16" s="476"/>
      <c r="FLG16" s="476"/>
      <c r="FLH16" s="476"/>
      <c r="FLI16" s="476"/>
      <c r="FLJ16" s="476"/>
      <c r="FLK16" s="476"/>
      <c r="FLL16" s="476"/>
      <c r="FLM16" s="476"/>
      <c r="FLN16" s="476"/>
      <c r="FLO16" s="477"/>
      <c r="FLP16" s="477"/>
      <c r="FLQ16" s="463"/>
      <c r="FLR16" s="475"/>
      <c r="FLS16" s="476"/>
      <c r="FLT16" s="476"/>
      <c r="FLU16" s="476"/>
      <c r="FLV16" s="476"/>
      <c r="FLW16" s="476"/>
      <c r="FLX16" s="476"/>
      <c r="FLY16" s="476"/>
      <c r="FLZ16" s="476"/>
      <c r="FMA16" s="476"/>
      <c r="FMB16" s="476"/>
      <c r="FMC16" s="476"/>
      <c r="FMD16" s="476"/>
      <c r="FME16" s="477"/>
      <c r="FMF16" s="477"/>
      <c r="FMG16" s="463"/>
      <c r="FMH16" s="475"/>
      <c r="FMI16" s="476"/>
      <c r="FMJ16" s="476"/>
      <c r="FMK16" s="476"/>
      <c r="FML16" s="476"/>
      <c r="FMM16" s="476"/>
      <c r="FMN16" s="476"/>
      <c r="FMO16" s="476"/>
      <c r="FMP16" s="476"/>
      <c r="FMQ16" s="476"/>
      <c r="FMR16" s="476"/>
      <c r="FMS16" s="476"/>
      <c r="FMT16" s="476"/>
      <c r="FMU16" s="477"/>
      <c r="FMV16" s="477"/>
      <c r="FMW16" s="463"/>
      <c r="FMX16" s="475"/>
      <c r="FMY16" s="476"/>
      <c r="FMZ16" s="476"/>
      <c r="FNA16" s="476"/>
      <c r="FNB16" s="476"/>
      <c r="FNC16" s="476"/>
      <c r="FND16" s="476"/>
      <c r="FNE16" s="476"/>
      <c r="FNF16" s="476"/>
      <c r="FNG16" s="476"/>
      <c r="FNH16" s="476"/>
      <c r="FNI16" s="476"/>
      <c r="FNJ16" s="476"/>
      <c r="FNK16" s="477"/>
      <c r="FNL16" s="477"/>
      <c r="FNM16" s="463"/>
      <c r="FNN16" s="475"/>
      <c r="FNO16" s="476"/>
      <c r="FNP16" s="476"/>
      <c r="FNQ16" s="476"/>
      <c r="FNR16" s="476"/>
      <c r="FNS16" s="476"/>
      <c r="FNT16" s="476"/>
      <c r="FNU16" s="476"/>
      <c r="FNV16" s="476"/>
      <c r="FNW16" s="476"/>
      <c r="FNX16" s="476"/>
      <c r="FNY16" s="476"/>
      <c r="FNZ16" s="476"/>
      <c r="FOA16" s="477"/>
      <c r="FOB16" s="477"/>
      <c r="FOC16" s="463"/>
      <c r="FOD16" s="475"/>
      <c r="FOE16" s="476"/>
      <c r="FOF16" s="476"/>
      <c r="FOG16" s="476"/>
      <c r="FOH16" s="476"/>
      <c r="FOI16" s="476"/>
      <c r="FOJ16" s="476"/>
      <c r="FOK16" s="476"/>
      <c r="FOL16" s="476"/>
      <c r="FOM16" s="476"/>
      <c r="FON16" s="476"/>
      <c r="FOO16" s="476"/>
      <c r="FOP16" s="476"/>
      <c r="FOQ16" s="477"/>
      <c r="FOR16" s="477"/>
      <c r="FOS16" s="463"/>
      <c r="FOT16" s="475"/>
      <c r="FOU16" s="476"/>
      <c r="FOV16" s="476"/>
      <c r="FOW16" s="476"/>
      <c r="FOX16" s="476"/>
      <c r="FOY16" s="476"/>
      <c r="FOZ16" s="476"/>
      <c r="FPA16" s="476"/>
      <c r="FPB16" s="476"/>
      <c r="FPC16" s="476"/>
      <c r="FPD16" s="476"/>
      <c r="FPE16" s="476"/>
      <c r="FPF16" s="476"/>
      <c r="FPG16" s="477"/>
      <c r="FPH16" s="477"/>
      <c r="FPI16" s="463"/>
      <c r="FPJ16" s="475"/>
      <c r="FPK16" s="476"/>
      <c r="FPL16" s="476"/>
      <c r="FPM16" s="476"/>
      <c r="FPN16" s="476"/>
      <c r="FPO16" s="476"/>
      <c r="FPP16" s="476"/>
      <c r="FPQ16" s="476"/>
      <c r="FPR16" s="476"/>
      <c r="FPS16" s="476"/>
      <c r="FPT16" s="476"/>
      <c r="FPU16" s="476"/>
      <c r="FPV16" s="476"/>
      <c r="FPW16" s="477"/>
      <c r="FPX16" s="477"/>
      <c r="FPY16" s="463"/>
      <c r="FPZ16" s="475"/>
      <c r="FQA16" s="476"/>
      <c r="FQB16" s="476"/>
      <c r="FQC16" s="476"/>
      <c r="FQD16" s="476"/>
      <c r="FQE16" s="476"/>
      <c r="FQF16" s="476"/>
      <c r="FQG16" s="476"/>
      <c r="FQH16" s="476"/>
      <c r="FQI16" s="476"/>
      <c r="FQJ16" s="476"/>
      <c r="FQK16" s="476"/>
      <c r="FQL16" s="476"/>
      <c r="FQM16" s="477"/>
      <c r="FQN16" s="477"/>
      <c r="FQO16" s="463"/>
      <c r="FQP16" s="475"/>
      <c r="FQQ16" s="476"/>
      <c r="FQR16" s="476"/>
      <c r="FQS16" s="476"/>
      <c r="FQT16" s="476"/>
      <c r="FQU16" s="476"/>
      <c r="FQV16" s="476"/>
      <c r="FQW16" s="476"/>
      <c r="FQX16" s="476"/>
      <c r="FQY16" s="476"/>
      <c r="FQZ16" s="476"/>
      <c r="FRA16" s="476"/>
      <c r="FRB16" s="476"/>
      <c r="FRC16" s="477"/>
      <c r="FRD16" s="477"/>
      <c r="FRE16" s="463"/>
      <c r="FRF16" s="475"/>
      <c r="FRG16" s="476"/>
      <c r="FRH16" s="476"/>
      <c r="FRI16" s="476"/>
      <c r="FRJ16" s="476"/>
      <c r="FRK16" s="476"/>
      <c r="FRL16" s="476"/>
      <c r="FRM16" s="476"/>
      <c r="FRN16" s="476"/>
      <c r="FRO16" s="476"/>
      <c r="FRP16" s="476"/>
      <c r="FRQ16" s="476"/>
      <c r="FRR16" s="476"/>
      <c r="FRS16" s="477"/>
      <c r="FRT16" s="477"/>
      <c r="FRU16" s="463"/>
      <c r="FRV16" s="475"/>
      <c r="FRW16" s="476"/>
      <c r="FRX16" s="476"/>
      <c r="FRY16" s="476"/>
      <c r="FRZ16" s="476"/>
      <c r="FSA16" s="476"/>
      <c r="FSB16" s="476"/>
      <c r="FSC16" s="476"/>
      <c r="FSD16" s="476"/>
      <c r="FSE16" s="476"/>
      <c r="FSF16" s="476"/>
      <c r="FSG16" s="476"/>
      <c r="FSH16" s="476"/>
      <c r="FSI16" s="477"/>
      <c r="FSJ16" s="477"/>
      <c r="FSK16" s="463"/>
      <c r="FSL16" s="475"/>
      <c r="FSM16" s="476"/>
      <c r="FSN16" s="476"/>
      <c r="FSO16" s="476"/>
      <c r="FSP16" s="476"/>
      <c r="FSQ16" s="476"/>
      <c r="FSR16" s="476"/>
      <c r="FSS16" s="476"/>
      <c r="FST16" s="476"/>
      <c r="FSU16" s="476"/>
      <c r="FSV16" s="476"/>
      <c r="FSW16" s="476"/>
      <c r="FSX16" s="476"/>
      <c r="FSY16" s="477"/>
      <c r="FSZ16" s="477"/>
      <c r="FTA16" s="463"/>
      <c r="FTB16" s="475"/>
      <c r="FTC16" s="476"/>
      <c r="FTD16" s="476"/>
      <c r="FTE16" s="476"/>
      <c r="FTF16" s="476"/>
      <c r="FTG16" s="476"/>
      <c r="FTH16" s="476"/>
      <c r="FTI16" s="476"/>
      <c r="FTJ16" s="476"/>
      <c r="FTK16" s="476"/>
      <c r="FTL16" s="476"/>
      <c r="FTM16" s="476"/>
      <c r="FTN16" s="476"/>
      <c r="FTO16" s="477"/>
      <c r="FTP16" s="477"/>
      <c r="FTQ16" s="463"/>
      <c r="FTR16" s="475"/>
      <c r="FTS16" s="476"/>
      <c r="FTT16" s="476"/>
      <c r="FTU16" s="476"/>
      <c r="FTV16" s="476"/>
      <c r="FTW16" s="476"/>
      <c r="FTX16" s="476"/>
      <c r="FTY16" s="476"/>
      <c r="FTZ16" s="476"/>
      <c r="FUA16" s="476"/>
      <c r="FUB16" s="476"/>
      <c r="FUC16" s="476"/>
      <c r="FUD16" s="476"/>
      <c r="FUE16" s="477"/>
      <c r="FUF16" s="477"/>
      <c r="FUG16" s="463"/>
      <c r="FUH16" s="475"/>
      <c r="FUI16" s="476"/>
      <c r="FUJ16" s="476"/>
      <c r="FUK16" s="476"/>
      <c r="FUL16" s="476"/>
      <c r="FUM16" s="476"/>
      <c r="FUN16" s="476"/>
      <c r="FUO16" s="476"/>
      <c r="FUP16" s="476"/>
      <c r="FUQ16" s="476"/>
      <c r="FUR16" s="476"/>
      <c r="FUS16" s="476"/>
      <c r="FUT16" s="476"/>
      <c r="FUU16" s="477"/>
      <c r="FUV16" s="477"/>
      <c r="FUW16" s="463"/>
      <c r="FUX16" s="475"/>
      <c r="FUY16" s="476"/>
      <c r="FUZ16" s="476"/>
      <c r="FVA16" s="476"/>
      <c r="FVB16" s="476"/>
      <c r="FVC16" s="476"/>
      <c r="FVD16" s="476"/>
      <c r="FVE16" s="476"/>
      <c r="FVF16" s="476"/>
      <c r="FVG16" s="476"/>
      <c r="FVH16" s="476"/>
      <c r="FVI16" s="476"/>
      <c r="FVJ16" s="476"/>
      <c r="FVK16" s="477"/>
      <c r="FVL16" s="477"/>
      <c r="FVM16" s="463"/>
      <c r="FVN16" s="475"/>
      <c r="FVO16" s="476"/>
      <c r="FVP16" s="476"/>
      <c r="FVQ16" s="476"/>
      <c r="FVR16" s="476"/>
      <c r="FVS16" s="476"/>
      <c r="FVT16" s="476"/>
      <c r="FVU16" s="476"/>
      <c r="FVV16" s="476"/>
      <c r="FVW16" s="476"/>
      <c r="FVX16" s="476"/>
      <c r="FVY16" s="476"/>
      <c r="FVZ16" s="476"/>
      <c r="FWA16" s="477"/>
      <c r="FWB16" s="477"/>
      <c r="FWC16" s="463"/>
      <c r="FWD16" s="475"/>
      <c r="FWE16" s="476"/>
      <c r="FWF16" s="476"/>
      <c r="FWG16" s="476"/>
      <c r="FWH16" s="476"/>
      <c r="FWI16" s="476"/>
      <c r="FWJ16" s="476"/>
      <c r="FWK16" s="476"/>
      <c r="FWL16" s="476"/>
      <c r="FWM16" s="476"/>
      <c r="FWN16" s="476"/>
      <c r="FWO16" s="476"/>
      <c r="FWP16" s="476"/>
      <c r="FWQ16" s="477"/>
      <c r="FWR16" s="477"/>
      <c r="FWS16" s="463"/>
      <c r="FWT16" s="475"/>
      <c r="FWU16" s="476"/>
      <c r="FWV16" s="476"/>
      <c r="FWW16" s="476"/>
      <c r="FWX16" s="476"/>
      <c r="FWY16" s="476"/>
      <c r="FWZ16" s="476"/>
      <c r="FXA16" s="476"/>
      <c r="FXB16" s="476"/>
      <c r="FXC16" s="476"/>
      <c r="FXD16" s="476"/>
      <c r="FXE16" s="476"/>
      <c r="FXF16" s="476"/>
      <c r="FXG16" s="477"/>
      <c r="FXH16" s="477"/>
      <c r="FXI16" s="463"/>
      <c r="FXJ16" s="475"/>
      <c r="FXK16" s="476"/>
      <c r="FXL16" s="476"/>
      <c r="FXM16" s="476"/>
      <c r="FXN16" s="476"/>
      <c r="FXO16" s="476"/>
      <c r="FXP16" s="476"/>
      <c r="FXQ16" s="476"/>
      <c r="FXR16" s="476"/>
      <c r="FXS16" s="476"/>
      <c r="FXT16" s="476"/>
      <c r="FXU16" s="476"/>
      <c r="FXV16" s="476"/>
      <c r="FXW16" s="477"/>
      <c r="FXX16" s="477"/>
      <c r="FXY16" s="463"/>
      <c r="FXZ16" s="475"/>
      <c r="FYA16" s="476"/>
      <c r="FYB16" s="476"/>
      <c r="FYC16" s="476"/>
      <c r="FYD16" s="476"/>
      <c r="FYE16" s="476"/>
      <c r="FYF16" s="476"/>
      <c r="FYG16" s="476"/>
      <c r="FYH16" s="476"/>
      <c r="FYI16" s="476"/>
      <c r="FYJ16" s="476"/>
      <c r="FYK16" s="476"/>
      <c r="FYL16" s="476"/>
      <c r="FYM16" s="477"/>
      <c r="FYN16" s="477"/>
      <c r="FYO16" s="463"/>
      <c r="FYP16" s="475"/>
      <c r="FYQ16" s="476"/>
      <c r="FYR16" s="476"/>
      <c r="FYS16" s="476"/>
      <c r="FYT16" s="476"/>
      <c r="FYU16" s="476"/>
      <c r="FYV16" s="476"/>
      <c r="FYW16" s="476"/>
      <c r="FYX16" s="476"/>
      <c r="FYY16" s="476"/>
      <c r="FYZ16" s="476"/>
      <c r="FZA16" s="476"/>
      <c r="FZB16" s="476"/>
      <c r="FZC16" s="477"/>
      <c r="FZD16" s="477"/>
      <c r="FZE16" s="463"/>
      <c r="FZF16" s="475"/>
      <c r="FZG16" s="476"/>
      <c r="FZH16" s="476"/>
      <c r="FZI16" s="476"/>
      <c r="FZJ16" s="476"/>
      <c r="FZK16" s="476"/>
      <c r="FZL16" s="476"/>
      <c r="FZM16" s="476"/>
      <c r="FZN16" s="476"/>
      <c r="FZO16" s="476"/>
      <c r="FZP16" s="476"/>
      <c r="FZQ16" s="476"/>
      <c r="FZR16" s="476"/>
      <c r="FZS16" s="477"/>
      <c r="FZT16" s="477"/>
      <c r="FZU16" s="463"/>
      <c r="FZV16" s="475"/>
      <c r="FZW16" s="476"/>
      <c r="FZX16" s="476"/>
      <c r="FZY16" s="476"/>
      <c r="FZZ16" s="476"/>
      <c r="GAA16" s="476"/>
      <c r="GAB16" s="476"/>
      <c r="GAC16" s="476"/>
      <c r="GAD16" s="476"/>
      <c r="GAE16" s="476"/>
      <c r="GAF16" s="476"/>
      <c r="GAG16" s="476"/>
      <c r="GAH16" s="476"/>
      <c r="GAI16" s="477"/>
      <c r="GAJ16" s="477"/>
      <c r="GAK16" s="463"/>
      <c r="GAL16" s="475"/>
      <c r="GAM16" s="476"/>
      <c r="GAN16" s="476"/>
      <c r="GAO16" s="476"/>
      <c r="GAP16" s="476"/>
      <c r="GAQ16" s="476"/>
      <c r="GAR16" s="476"/>
      <c r="GAS16" s="476"/>
      <c r="GAT16" s="476"/>
      <c r="GAU16" s="476"/>
      <c r="GAV16" s="476"/>
      <c r="GAW16" s="476"/>
      <c r="GAX16" s="476"/>
      <c r="GAY16" s="477"/>
      <c r="GAZ16" s="477"/>
      <c r="GBA16" s="463"/>
      <c r="GBB16" s="475"/>
      <c r="GBC16" s="476"/>
      <c r="GBD16" s="476"/>
      <c r="GBE16" s="476"/>
      <c r="GBF16" s="476"/>
      <c r="GBG16" s="476"/>
      <c r="GBH16" s="476"/>
      <c r="GBI16" s="476"/>
      <c r="GBJ16" s="476"/>
      <c r="GBK16" s="476"/>
      <c r="GBL16" s="476"/>
      <c r="GBM16" s="476"/>
      <c r="GBN16" s="476"/>
      <c r="GBO16" s="477"/>
      <c r="GBP16" s="477"/>
      <c r="GBQ16" s="463"/>
      <c r="GBR16" s="475"/>
      <c r="GBS16" s="476"/>
      <c r="GBT16" s="476"/>
      <c r="GBU16" s="476"/>
      <c r="GBV16" s="476"/>
      <c r="GBW16" s="476"/>
      <c r="GBX16" s="476"/>
      <c r="GBY16" s="476"/>
      <c r="GBZ16" s="476"/>
      <c r="GCA16" s="476"/>
      <c r="GCB16" s="476"/>
      <c r="GCC16" s="476"/>
      <c r="GCD16" s="476"/>
      <c r="GCE16" s="477"/>
      <c r="GCF16" s="477"/>
      <c r="GCG16" s="463"/>
      <c r="GCH16" s="475"/>
      <c r="GCI16" s="476"/>
      <c r="GCJ16" s="476"/>
      <c r="GCK16" s="476"/>
      <c r="GCL16" s="476"/>
      <c r="GCM16" s="476"/>
      <c r="GCN16" s="476"/>
      <c r="GCO16" s="476"/>
      <c r="GCP16" s="476"/>
      <c r="GCQ16" s="476"/>
      <c r="GCR16" s="476"/>
      <c r="GCS16" s="476"/>
      <c r="GCT16" s="476"/>
      <c r="GCU16" s="477"/>
      <c r="GCV16" s="477"/>
      <c r="GCW16" s="463"/>
      <c r="GCX16" s="475"/>
      <c r="GCY16" s="476"/>
      <c r="GCZ16" s="476"/>
      <c r="GDA16" s="476"/>
      <c r="GDB16" s="476"/>
      <c r="GDC16" s="476"/>
      <c r="GDD16" s="476"/>
      <c r="GDE16" s="476"/>
      <c r="GDF16" s="476"/>
      <c r="GDG16" s="476"/>
      <c r="GDH16" s="476"/>
      <c r="GDI16" s="476"/>
      <c r="GDJ16" s="476"/>
      <c r="GDK16" s="477"/>
      <c r="GDL16" s="477"/>
      <c r="GDM16" s="463"/>
      <c r="GDN16" s="475"/>
      <c r="GDO16" s="476"/>
      <c r="GDP16" s="476"/>
      <c r="GDQ16" s="476"/>
      <c r="GDR16" s="476"/>
      <c r="GDS16" s="476"/>
      <c r="GDT16" s="476"/>
      <c r="GDU16" s="476"/>
      <c r="GDV16" s="476"/>
      <c r="GDW16" s="476"/>
      <c r="GDX16" s="476"/>
      <c r="GDY16" s="476"/>
      <c r="GDZ16" s="476"/>
      <c r="GEA16" s="477"/>
      <c r="GEB16" s="477"/>
      <c r="GEC16" s="463"/>
      <c r="GED16" s="475"/>
      <c r="GEE16" s="476"/>
      <c r="GEF16" s="476"/>
      <c r="GEG16" s="476"/>
      <c r="GEH16" s="476"/>
      <c r="GEI16" s="476"/>
      <c r="GEJ16" s="476"/>
      <c r="GEK16" s="476"/>
      <c r="GEL16" s="476"/>
      <c r="GEM16" s="476"/>
      <c r="GEN16" s="476"/>
      <c r="GEO16" s="476"/>
      <c r="GEP16" s="476"/>
      <c r="GEQ16" s="477"/>
      <c r="GER16" s="477"/>
      <c r="GES16" s="463"/>
      <c r="GET16" s="475"/>
      <c r="GEU16" s="476"/>
      <c r="GEV16" s="476"/>
      <c r="GEW16" s="476"/>
      <c r="GEX16" s="476"/>
      <c r="GEY16" s="476"/>
      <c r="GEZ16" s="476"/>
      <c r="GFA16" s="476"/>
      <c r="GFB16" s="476"/>
      <c r="GFC16" s="476"/>
      <c r="GFD16" s="476"/>
      <c r="GFE16" s="476"/>
      <c r="GFF16" s="476"/>
      <c r="GFG16" s="477"/>
      <c r="GFH16" s="477"/>
      <c r="GFI16" s="463"/>
      <c r="GFJ16" s="475"/>
      <c r="GFK16" s="476"/>
      <c r="GFL16" s="476"/>
      <c r="GFM16" s="476"/>
      <c r="GFN16" s="476"/>
      <c r="GFO16" s="476"/>
      <c r="GFP16" s="476"/>
      <c r="GFQ16" s="476"/>
      <c r="GFR16" s="476"/>
      <c r="GFS16" s="476"/>
      <c r="GFT16" s="476"/>
      <c r="GFU16" s="476"/>
      <c r="GFV16" s="476"/>
      <c r="GFW16" s="477"/>
      <c r="GFX16" s="477"/>
      <c r="GFY16" s="463"/>
      <c r="GFZ16" s="475"/>
      <c r="GGA16" s="476"/>
      <c r="GGB16" s="476"/>
      <c r="GGC16" s="476"/>
      <c r="GGD16" s="476"/>
      <c r="GGE16" s="476"/>
      <c r="GGF16" s="476"/>
      <c r="GGG16" s="476"/>
      <c r="GGH16" s="476"/>
      <c r="GGI16" s="476"/>
      <c r="GGJ16" s="476"/>
      <c r="GGK16" s="476"/>
      <c r="GGL16" s="476"/>
      <c r="GGM16" s="477"/>
      <c r="GGN16" s="477"/>
      <c r="GGO16" s="463"/>
      <c r="GGP16" s="475"/>
      <c r="GGQ16" s="476"/>
      <c r="GGR16" s="476"/>
      <c r="GGS16" s="476"/>
      <c r="GGT16" s="476"/>
      <c r="GGU16" s="476"/>
      <c r="GGV16" s="476"/>
      <c r="GGW16" s="476"/>
      <c r="GGX16" s="476"/>
      <c r="GGY16" s="476"/>
      <c r="GGZ16" s="476"/>
      <c r="GHA16" s="476"/>
      <c r="GHB16" s="476"/>
      <c r="GHC16" s="477"/>
      <c r="GHD16" s="477"/>
      <c r="GHE16" s="463"/>
      <c r="GHF16" s="475"/>
      <c r="GHG16" s="476"/>
      <c r="GHH16" s="476"/>
      <c r="GHI16" s="476"/>
      <c r="GHJ16" s="476"/>
      <c r="GHK16" s="476"/>
      <c r="GHL16" s="476"/>
      <c r="GHM16" s="476"/>
      <c r="GHN16" s="476"/>
      <c r="GHO16" s="476"/>
      <c r="GHP16" s="476"/>
      <c r="GHQ16" s="476"/>
      <c r="GHR16" s="476"/>
      <c r="GHS16" s="477"/>
      <c r="GHT16" s="477"/>
      <c r="GHU16" s="463"/>
      <c r="GHV16" s="475"/>
      <c r="GHW16" s="476"/>
      <c r="GHX16" s="476"/>
      <c r="GHY16" s="476"/>
      <c r="GHZ16" s="476"/>
      <c r="GIA16" s="476"/>
      <c r="GIB16" s="476"/>
      <c r="GIC16" s="476"/>
      <c r="GID16" s="476"/>
      <c r="GIE16" s="476"/>
      <c r="GIF16" s="476"/>
      <c r="GIG16" s="476"/>
      <c r="GIH16" s="476"/>
      <c r="GII16" s="477"/>
      <c r="GIJ16" s="477"/>
      <c r="GIK16" s="463"/>
      <c r="GIL16" s="475"/>
      <c r="GIM16" s="476"/>
      <c r="GIN16" s="476"/>
      <c r="GIO16" s="476"/>
      <c r="GIP16" s="476"/>
      <c r="GIQ16" s="476"/>
      <c r="GIR16" s="476"/>
      <c r="GIS16" s="476"/>
      <c r="GIT16" s="476"/>
      <c r="GIU16" s="476"/>
      <c r="GIV16" s="476"/>
      <c r="GIW16" s="476"/>
      <c r="GIX16" s="476"/>
      <c r="GIY16" s="477"/>
      <c r="GIZ16" s="477"/>
      <c r="GJA16" s="463"/>
      <c r="GJB16" s="475"/>
      <c r="GJC16" s="476"/>
      <c r="GJD16" s="476"/>
      <c r="GJE16" s="476"/>
      <c r="GJF16" s="476"/>
      <c r="GJG16" s="476"/>
      <c r="GJH16" s="476"/>
      <c r="GJI16" s="476"/>
      <c r="GJJ16" s="476"/>
      <c r="GJK16" s="476"/>
      <c r="GJL16" s="476"/>
      <c r="GJM16" s="476"/>
      <c r="GJN16" s="476"/>
      <c r="GJO16" s="477"/>
      <c r="GJP16" s="477"/>
      <c r="GJQ16" s="463"/>
      <c r="GJR16" s="475"/>
      <c r="GJS16" s="476"/>
      <c r="GJT16" s="476"/>
      <c r="GJU16" s="476"/>
      <c r="GJV16" s="476"/>
      <c r="GJW16" s="476"/>
      <c r="GJX16" s="476"/>
      <c r="GJY16" s="476"/>
      <c r="GJZ16" s="476"/>
      <c r="GKA16" s="476"/>
      <c r="GKB16" s="476"/>
      <c r="GKC16" s="476"/>
      <c r="GKD16" s="476"/>
      <c r="GKE16" s="477"/>
      <c r="GKF16" s="477"/>
      <c r="GKG16" s="463"/>
      <c r="GKH16" s="475"/>
      <c r="GKI16" s="476"/>
      <c r="GKJ16" s="476"/>
      <c r="GKK16" s="476"/>
      <c r="GKL16" s="476"/>
      <c r="GKM16" s="476"/>
      <c r="GKN16" s="476"/>
      <c r="GKO16" s="476"/>
      <c r="GKP16" s="476"/>
      <c r="GKQ16" s="476"/>
      <c r="GKR16" s="476"/>
      <c r="GKS16" s="476"/>
      <c r="GKT16" s="476"/>
      <c r="GKU16" s="477"/>
      <c r="GKV16" s="477"/>
      <c r="GKW16" s="463"/>
      <c r="GKX16" s="475"/>
      <c r="GKY16" s="476"/>
      <c r="GKZ16" s="476"/>
      <c r="GLA16" s="476"/>
      <c r="GLB16" s="476"/>
      <c r="GLC16" s="476"/>
      <c r="GLD16" s="476"/>
      <c r="GLE16" s="476"/>
      <c r="GLF16" s="476"/>
      <c r="GLG16" s="476"/>
      <c r="GLH16" s="476"/>
      <c r="GLI16" s="476"/>
      <c r="GLJ16" s="476"/>
      <c r="GLK16" s="477"/>
      <c r="GLL16" s="477"/>
      <c r="GLM16" s="463"/>
      <c r="GLN16" s="475"/>
      <c r="GLO16" s="476"/>
      <c r="GLP16" s="476"/>
      <c r="GLQ16" s="476"/>
      <c r="GLR16" s="476"/>
      <c r="GLS16" s="476"/>
      <c r="GLT16" s="476"/>
      <c r="GLU16" s="476"/>
      <c r="GLV16" s="476"/>
      <c r="GLW16" s="476"/>
      <c r="GLX16" s="476"/>
      <c r="GLY16" s="476"/>
      <c r="GLZ16" s="476"/>
      <c r="GMA16" s="477"/>
      <c r="GMB16" s="477"/>
      <c r="GMC16" s="463"/>
      <c r="GMD16" s="475"/>
      <c r="GME16" s="476"/>
      <c r="GMF16" s="476"/>
      <c r="GMG16" s="476"/>
      <c r="GMH16" s="476"/>
      <c r="GMI16" s="476"/>
      <c r="GMJ16" s="476"/>
      <c r="GMK16" s="476"/>
      <c r="GML16" s="476"/>
      <c r="GMM16" s="476"/>
      <c r="GMN16" s="476"/>
      <c r="GMO16" s="476"/>
      <c r="GMP16" s="476"/>
      <c r="GMQ16" s="477"/>
      <c r="GMR16" s="477"/>
      <c r="GMS16" s="463"/>
      <c r="GMT16" s="475"/>
      <c r="GMU16" s="476"/>
      <c r="GMV16" s="476"/>
      <c r="GMW16" s="476"/>
      <c r="GMX16" s="476"/>
      <c r="GMY16" s="476"/>
      <c r="GMZ16" s="476"/>
      <c r="GNA16" s="476"/>
      <c r="GNB16" s="476"/>
      <c r="GNC16" s="476"/>
      <c r="GND16" s="476"/>
      <c r="GNE16" s="476"/>
      <c r="GNF16" s="476"/>
      <c r="GNG16" s="477"/>
      <c r="GNH16" s="477"/>
      <c r="GNI16" s="463"/>
      <c r="GNJ16" s="475"/>
      <c r="GNK16" s="476"/>
      <c r="GNL16" s="476"/>
      <c r="GNM16" s="476"/>
      <c r="GNN16" s="476"/>
      <c r="GNO16" s="476"/>
      <c r="GNP16" s="476"/>
      <c r="GNQ16" s="476"/>
      <c r="GNR16" s="476"/>
      <c r="GNS16" s="476"/>
      <c r="GNT16" s="476"/>
      <c r="GNU16" s="476"/>
      <c r="GNV16" s="476"/>
      <c r="GNW16" s="477"/>
      <c r="GNX16" s="477"/>
      <c r="GNY16" s="463"/>
      <c r="GNZ16" s="475"/>
      <c r="GOA16" s="476"/>
      <c r="GOB16" s="476"/>
      <c r="GOC16" s="476"/>
      <c r="GOD16" s="476"/>
      <c r="GOE16" s="476"/>
      <c r="GOF16" s="476"/>
      <c r="GOG16" s="476"/>
      <c r="GOH16" s="476"/>
      <c r="GOI16" s="476"/>
      <c r="GOJ16" s="476"/>
      <c r="GOK16" s="476"/>
      <c r="GOL16" s="476"/>
      <c r="GOM16" s="477"/>
      <c r="GON16" s="477"/>
      <c r="GOO16" s="463"/>
      <c r="GOP16" s="475"/>
      <c r="GOQ16" s="476"/>
      <c r="GOR16" s="476"/>
      <c r="GOS16" s="476"/>
      <c r="GOT16" s="476"/>
      <c r="GOU16" s="476"/>
      <c r="GOV16" s="476"/>
      <c r="GOW16" s="476"/>
      <c r="GOX16" s="476"/>
      <c r="GOY16" s="476"/>
      <c r="GOZ16" s="476"/>
      <c r="GPA16" s="476"/>
      <c r="GPB16" s="476"/>
      <c r="GPC16" s="477"/>
      <c r="GPD16" s="477"/>
      <c r="GPE16" s="463"/>
      <c r="GPF16" s="475"/>
      <c r="GPG16" s="476"/>
      <c r="GPH16" s="476"/>
      <c r="GPI16" s="476"/>
      <c r="GPJ16" s="476"/>
      <c r="GPK16" s="476"/>
      <c r="GPL16" s="476"/>
      <c r="GPM16" s="476"/>
      <c r="GPN16" s="476"/>
      <c r="GPO16" s="476"/>
      <c r="GPP16" s="476"/>
      <c r="GPQ16" s="476"/>
      <c r="GPR16" s="476"/>
      <c r="GPS16" s="477"/>
      <c r="GPT16" s="477"/>
      <c r="GPU16" s="463"/>
      <c r="GPV16" s="475"/>
      <c r="GPW16" s="476"/>
      <c r="GPX16" s="476"/>
      <c r="GPY16" s="476"/>
      <c r="GPZ16" s="476"/>
      <c r="GQA16" s="476"/>
      <c r="GQB16" s="476"/>
      <c r="GQC16" s="476"/>
      <c r="GQD16" s="476"/>
      <c r="GQE16" s="476"/>
      <c r="GQF16" s="476"/>
      <c r="GQG16" s="476"/>
      <c r="GQH16" s="476"/>
      <c r="GQI16" s="477"/>
      <c r="GQJ16" s="477"/>
      <c r="GQK16" s="463"/>
      <c r="GQL16" s="475"/>
      <c r="GQM16" s="476"/>
      <c r="GQN16" s="476"/>
      <c r="GQO16" s="476"/>
      <c r="GQP16" s="476"/>
      <c r="GQQ16" s="476"/>
      <c r="GQR16" s="476"/>
      <c r="GQS16" s="476"/>
      <c r="GQT16" s="476"/>
      <c r="GQU16" s="476"/>
      <c r="GQV16" s="476"/>
      <c r="GQW16" s="476"/>
      <c r="GQX16" s="476"/>
      <c r="GQY16" s="477"/>
      <c r="GQZ16" s="477"/>
      <c r="GRA16" s="463"/>
      <c r="GRB16" s="475"/>
      <c r="GRC16" s="476"/>
      <c r="GRD16" s="476"/>
      <c r="GRE16" s="476"/>
      <c r="GRF16" s="476"/>
      <c r="GRG16" s="476"/>
      <c r="GRH16" s="476"/>
      <c r="GRI16" s="476"/>
      <c r="GRJ16" s="476"/>
      <c r="GRK16" s="476"/>
      <c r="GRL16" s="476"/>
      <c r="GRM16" s="476"/>
      <c r="GRN16" s="476"/>
      <c r="GRO16" s="477"/>
      <c r="GRP16" s="477"/>
      <c r="GRQ16" s="463"/>
      <c r="GRR16" s="475"/>
      <c r="GRS16" s="476"/>
      <c r="GRT16" s="476"/>
      <c r="GRU16" s="476"/>
      <c r="GRV16" s="476"/>
      <c r="GRW16" s="476"/>
      <c r="GRX16" s="476"/>
      <c r="GRY16" s="476"/>
      <c r="GRZ16" s="476"/>
      <c r="GSA16" s="476"/>
      <c r="GSB16" s="476"/>
      <c r="GSC16" s="476"/>
      <c r="GSD16" s="476"/>
      <c r="GSE16" s="477"/>
      <c r="GSF16" s="477"/>
      <c r="GSG16" s="463"/>
      <c r="GSH16" s="475"/>
      <c r="GSI16" s="476"/>
      <c r="GSJ16" s="476"/>
      <c r="GSK16" s="476"/>
      <c r="GSL16" s="476"/>
      <c r="GSM16" s="476"/>
      <c r="GSN16" s="476"/>
      <c r="GSO16" s="476"/>
      <c r="GSP16" s="476"/>
      <c r="GSQ16" s="476"/>
      <c r="GSR16" s="476"/>
      <c r="GSS16" s="476"/>
      <c r="GST16" s="476"/>
      <c r="GSU16" s="477"/>
      <c r="GSV16" s="477"/>
      <c r="GSW16" s="463"/>
      <c r="GSX16" s="475"/>
      <c r="GSY16" s="476"/>
      <c r="GSZ16" s="476"/>
      <c r="GTA16" s="476"/>
      <c r="GTB16" s="476"/>
      <c r="GTC16" s="476"/>
      <c r="GTD16" s="476"/>
      <c r="GTE16" s="476"/>
      <c r="GTF16" s="476"/>
      <c r="GTG16" s="476"/>
      <c r="GTH16" s="476"/>
      <c r="GTI16" s="476"/>
      <c r="GTJ16" s="476"/>
      <c r="GTK16" s="477"/>
      <c r="GTL16" s="477"/>
      <c r="GTM16" s="463"/>
      <c r="GTN16" s="475"/>
      <c r="GTO16" s="476"/>
      <c r="GTP16" s="476"/>
      <c r="GTQ16" s="476"/>
      <c r="GTR16" s="476"/>
      <c r="GTS16" s="476"/>
      <c r="GTT16" s="476"/>
      <c r="GTU16" s="476"/>
      <c r="GTV16" s="476"/>
      <c r="GTW16" s="476"/>
      <c r="GTX16" s="476"/>
      <c r="GTY16" s="476"/>
      <c r="GTZ16" s="476"/>
      <c r="GUA16" s="477"/>
      <c r="GUB16" s="477"/>
      <c r="GUC16" s="463"/>
      <c r="GUD16" s="475"/>
      <c r="GUE16" s="476"/>
      <c r="GUF16" s="476"/>
      <c r="GUG16" s="476"/>
      <c r="GUH16" s="476"/>
      <c r="GUI16" s="476"/>
      <c r="GUJ16" s="476"/>
      <c r="GUK16" s="476"/>
      <c r="GUL16" s="476"/>
      <c r="GUM16" s="476"/>
      <c r="GUN16" s="476"/>
      <c r="GUO16" s="476"/>
      <c r="GUP16" s="476"/>
      <c r="GUQ16" s="477"/>
      <c r="GUR16" s="477"/>
      <c r="GUS16" s="463"/>
      <c r="GUT16" s="475"/>
      <c r="GUU16" s="476"/>
      <c r="GUV16" s="476"/>
      <c r="GUW16" s="476"/>
      <c r="GUX16" s="476"/>
      <c r="GUY16" s="476"/>
      <c r="GUZ16" s="476"/>
      <c r="GVA16" s="476"/>
      <c r="GVB16" s="476"/>
      <c r="GVC16" s="476"/>
      <c r="GVD16" s="476"/>
      <c r="GVE16" s="476"/>
      <c r="GVF16" s="476"/>
      <c r="GVG16" s="477"/>
      <c r="GVH16" s="477"/>
      <c r="GVI16" s="463"/>
      <c r="GVJ16" s="475"/>
      <c r="GVK16" s="476"/>
      <c r="GVL16" s="476"/>
      <c r="GVM16" s="476"/>
      <c r="GVN16" s="476"/>
      <c r="GVO16" s="476"/>
      <c r="GVP16" s="476"/>
      <c r="GVQ16" s="476"/>
      <c r="GVR16" s="476"/>
      <c r="GVS16" s="476"/>
      <c r="GVT16" s="476"/>
      <c r="GVU16" s="476"/>
      <c r="GVV16" s="476"/>
      <c r="GVW16" s="477"/>
      <c r="GVX16" s="477"/>
      <c r="GVY16" s="463"/>
      <c r="GVZ16" s="475"/>
      <c r="GWA16" s="476"/>
      <c r="GWB16" s="476"/>
      <c r="GWC16" s="476"/>
      <c r="GWD16" s="476"/>
      <c r="GWE16" s="476"/>
      <c r="GWF16" s="476"/>
      <c r="GWG16" s="476"/>
      <c r="GWH16" s="476"/>
      <c r="GWI16" s="476"/>
      <c r="GWJ16" s="476"/>
      <c r="GWK16" s="476"/>
      <c r="GWL16" s="476"/>
      <c r="GWM16" s="477"/>
      <c r="GWN16" s="477"/>
      <c r="GWO16" s="463"/>
      <c r="GWP16" s="475"/>
      <c r="GWQ16" s="476"/>
      <c r="GWR16" s="476"/>
      <c r="GWS16" s="476"/>
      <c r="GWT16" s="476"/>
      <c r="GWU16" s="476"/>
      <c r="GWV16" s="476"/>
      <c r="GWW16" s="476"/>
      <c r="GWX16" s="476"/>
      <c r="GWY16" s="476"/>
      <c r="GWZ16" s="476"/>
      <c r="GXA16" s="476"/>
      <c r="GXB16" s="476"/>
      <c r="GXC16" s="477"/>
      <c r="GXD16" s="477"/>
      <c r="GXE16" s="463"/>
      <c r="GXF16" s="475"/>
      <c r="GXG16" s="476"/>
      <c r="GXH16" s="476"/>
      <c r="GXI16" s="476"/>
      <c r="GXJ16" s="476"/>
      <c r="GXK16" s="476"/>
      <c r="GXL16" s="476"/>
      <c r="GXM16" s="476"/>
      <c r="GXN16" s="476"/>
      <c r="GXO16" s="476"/>
      <c r="GXP16" s="476"/>
      <c r="GXQ16" s="476"/>
      <c r="GXR16" s="476"/>
      <c r="GXS16" s="477"/>
      <c r="GXT16" s="477"/>
      <c r="GXU16" s="463"/>
      <c r="GXV16" s="475"/>
      <c r="GXW16" s="476"/>
      <c r="GXX16" s="476"/>
      <c r="GXY16" s="476"/>
      <c r="GXZ16" s="476"/>
      <c r="GYA16" s="476"/>
      <c r="GYB16" s="476"/>
      <c r="GYC16" s="476"/>
      <c r="GYD16" s="476"/>
      <c r="GYE16" s="476"/>
      <c r="GYF16" s="476"/>
      <c r="GYG16" s="476"/>
      <c r="GYH16" s="476"/>
      <c r="GYI16" s="477"/>
      <c r="GYJ16" s="477"/>
      <c r="GYK16" s="463"/>
      <c r="GYL16" s="475"/>
      <c r="GYM16" s="476"/>
      <c r="GYN16" s="476"/>
      <c r="GYO16" s="476"/>
      <c r="GYP16" s="476"/>
      <c r="GYQ16" s="476"/>
      <c r="GYR16" s="476"/>
      <c r="GYS16" s="476"/>
      <c r="GYT16" s="476"/>
      <c r="GYU16" s="476"/>
      <c r="GYV16" s="476"/>
      <c r="GYW16" s="476"/>
      <c r="GYX16" s="476"/>
      <c r="GYY16" s="477"/>
      <c r="GYZ16" s="477"/>
      <c r="GZA16" s="463"/>
      <c r="GZB16" s="475"/>
      <c r="GZC16" s="476"/>
      <c r="GZD16" s="476"/>
      <c r="GZE16" s="476"/>
      <c r="GZF16" s="476"/>
      <c r="GZG16" s="476"/>
      <c r="GZH16" s="476"/>
      <c r="GZI16" s="476"/>
      <c r="GZJ16" s="476"/>
      <c r="GZK16" s="476"/>
      <c r="GZL16" s="476"/>
      <c r="GZM16" s="476"/>
      <c r="GZN16" s="476"/>
      <c r="GZO16" s="477"/>
      <c r="GZP16" s="477"/>
      <c r="GZQ16" s="463"/>
      <c r="GZR16" s="475"/>
      <c r="GZS16" s="476"/>
      <c r="GZT16" s="476"/>
      <c r="GZU16" s="476"/>
      <c r="GZV16" s="476"/>
      <c r="GZW16" s="476"/>
      <c r="GZX16" s="476"/>
      <c r="GZY16" s="476"/>
      <c r="GZZ16" s="476"/>
      <c r="HAA16" s="476"/>
      <c r="HAB16" s="476"/>
      <c r="HAC16" s="476"/>
      <c r="HAD16" s="476"/>
      <c r="HAE16" s="477"/>
      <c r="HAF16" s="477"/>
      <c r="HAG16" s="463"/>
      <c r="HAH16" s="475"/>
      <c r="HAI16" s="476"/>
      <c r="HAJ16" s="476"/>
      <c r="HAK16" s="476"/>
      <c r="HAL16" s="476"/>
      <c r="HAM16" s="476"/>
      <c r="HAN16" s="476"/>
      <c r="HAO16" s="476"/>
      <c r="HAP16" s="476"/>
      <c r="HAQ16" s="476"/>
      <c r="HAR16" s="476"/>
      <c r="HAS16" s="476"/>
      <c r="HAT16" s="476"/>
      <c r="HAU16" s="477"/>
      <c r="HAV16" s="477"/>
      <c r="HAW16" s="463"/>
      <c r="HAX16" s="475"/>
      <c r="HAY16" s="476"/>
      <c r="HAZ16" s="476"/>
      <c r="HBA16" s="476"/>
      <c r="HBB16" s="476"/>
      <c r="HBC16" s="476"/>
      <c r="HBD16" s="476"/>
      <c r="HBE16" s="476"/>
      <c r="HBF16" s="476"/>
      <c r="HBG16" s="476"/>
      <c r="HBH16" s="476"/>
      <c r="HBI16" s="476"/>
      <c r="HBJ16" s="476"/>
      <c r="HBK16" s="477"/>
      <c r="HBL16" s="477"/>
      <c r="HBM16" s="463"/>
      <c r="HBN16" s="475"/>
      <c r="HBO16" s="476"/>
      <c r="HBP16" s="476"/>
      <c r="HBQ16" s="476"/>
      <c r="HBR16" s="476"/>
      <c r="HBS16" s="476"/>
      <c r="HBT16" s="476"/>
      <c r="HBU16" s="476"/>
      <c r="HBV16" s="476"/>
      <c r="HBW16" s="476"/>
      <c r="HBX16" s="476"/>
      <c r="HBY16" s="476"/>
      <c r="HBZ16" s="476"/>
      <c r="HCA16" s="477"/>
      <c r="HCB16" s="477"/>
      <c r="HCC16" s="463"/>
      <c r="HCD16" s="475"/>
      <c r="HCE16" s="476"/>
      <c r="HCF16" s="476"/>
      <c r="HCG16" s="476"/>
      <c r="HCH16" s="476"/>
      <c r="HCI16" s="476"/>
      <c r="HCJ16" s="476"/>
      <c r="HCK16" s="476"/>
      <c r="HCL16" s="476"/>
      <c r="HCM16" s="476"/>
      <c r="HCN16" s="476"/>
      <c r="HCO16" s="476"/>
      <c r="HCP16" s="476"/>
      <c r="HCQ16" s="477"/>
      <c r="HCR16" s="477"/>
      <c r="HCS16" s="463"/>
      <c r="HCT16" s="475"/>
      <c r="HCU16" s="476"/>
      <c r="HCV16" s="476"/>
      <c r="HCW16" s="476"/>
      <c r="HCX16" s="476"/>
      <c r="HCY16" s="476"/>
      <c r="HCZ16" s="476"/>
      <c r="HDA16" s="476"/>
      <c r="HDB16" s="476"/>
      <c r="HDC16" s="476"/>
      <c r="HDD16" s="476"/>
      <c r="HDE16" s="476"/>
      <c r="HDF16" s="476"/>
      <c r="HDG16" s="477"/>
      <c r="HDH16" s="477"/>
      <c r="HDI16" s="463"/>
      <c r="HDJ16" s="475"/>
      <c r="HDK16" s="476"/>
      <c r="HDL16" s="476"/>
      <c r="HDM16" s="476"/>
      <c r="HDN16" s="476"/>
      <c r="HDO16" s="476"/>
      <c r="HDP16" s="476"/>
      <c r="HDQ16" s="476"/>
      <c r="HDR16" s="476"/>
      <c r="HDS16" s="476"/>
      <c r="HDT16" s="476"/>
      <c r="HDU16" s="476"/>
      <c r="HDV16" s="476"/>
      <c r="HDW16" s="477"/>
      <c r="HDX16" s="477"/>
      <c r="HDY16" s="463"/>
      <c r="HDZ16" s="475"/>
      <c r="HEA16" s="476"/>
      <c r="HEB16" s="476"/>
      <c r="HEC16" s="476"/>
      <c r="HED16" s="476"/>
      <c r="HEE16" s="476"/>
      <c r="HEF16" s="476"/>
      <c r="HEG16" s="476"/>
      <c r="HEH16" s="476"/>
      <c r="HEI16" s="476"/>
      <c r="HEJ16" s="476"/>
      <c r="HEK16" s="476"/>
      <c r="HEL16" s="476"/>
      <c r="HEM16" s="477"/>
      <c r="HEN16" s="477"/>
      <c r="HEO16" s="463"/>
      <c r="HEP16" s="475"/>
      <c r="HEQ16" s="476"/>
      <c r="HER16" s="476"/>
      <c r="HES16" s="476"/>
      <c r="HET16" s="476"/>
      <c r="HEU16" s="476"/>
      <c r="HEV16" s="476"/>
      <c r="HEW16" s="476"/>
      <c r="HEX16" s="476"/>
      <c r="HEY16" s="476"/>
      <c r="HEZ16" s="476"/>
      <c r="HFA16" s="476"/>
      <c r="HFB16" s="476"/>
      <c r="HFC16" s="477"/>
      <c r="HFD16" s="477"/>
      <c r="HFE16" s="463"/>
      <c r="HFF16" s="475"/>
      <c r="HFG16" s="476"/>
      <c r="HFH16" s="476"/>
      <c r="HFI16" s="476"/>
      <c r="HFJ16" s="476"/>
      <c r="HFK16" s="476"/>
      <c r="HFL16" s="476"/>
      <c r="HFM16" s="476"/>
      <c r="HFN16" s="476"/>
      <c r="HFO16" s="476"/>
      <c r="HFP16" s="476"/>
      <c r="HFQ16" s="476"/>
      <c r="HFR16" s="476"/>
      <c r="HFS16" s="477"/>
      <c r="HFT16" s="477"/>
      <c r="HFU16" s="463"/>
      <c r="HFV16" s="475"/>
      <c r="HFW16" s="476"/>
      <c r="HFX16" s="476"/>
      <c r="HFY16" s="476"/>
      <c r="HFZ16" s="476"/>
      <c r="HGA16" s="476"/>
      <c r="HGB16" s="476"/>
      <c r="HGC16" s="476"/>
      <c r="HGD16" s="476"/>
      <c r="HGE16" s="476"/>
      <c r="HGF16" s="476"/>
      <c r="HGG16" s="476"/>
      <c r="HGH16" s="476"/>
      <c r="HGI16" s="477"/>
      <c r="HGJ16" s="477"/>
      <c r="HGK16" s="463"/>
      <c r="HGL16" s="475"/>
      <c r="HGM16" s="476"/>
      <c r="HGN16" s="476"/>
      <c r="HGO16" s="476"/>
      <c r="HGP16" s="476"/>
      <c r="HGQ16" s="476"/>
      <c r="HGR16" s="476"/>
      <c r="HGS16" s="476"/>
      <c r="HGT16" s="476"/>
      <c r="HGU16" s="476"/>
      <c r="HGV16" s="476"/>
      <c r="HGW16" s="476"/>
      <c r="HGX16" s="476"/>
      <c r="HGY16" s="477"/>
      <c r="HGZ16" s="477"/>
      <c r="HHA16" s="463"/>
      <c r="HHB16" s="475"/>
      <c r="HHC16" s="476"/>
      <c r="HHD16" s="476"/>
      <c r="HHE16" s="476"/>
      <c r="HHF16" s="476"/>
      <c r="HHG16" s="476"/>
      <c r="HHH16" s="476"/>
      <c r="HHI16" s="476"/>
      <c r="HHJ16" s="476"/>
      <c r="HHK16" s="476"/>
      <c r="HHL16" s="476"/>
      <c r="HHM16" s="476"/>
      <c r="HHN16" s="476"/>
      <c r="HHO16" s="477"/>
      <c r="HHP16" s="477"/>
      <c r="HHQ16" s="463"/>
      <c r="HHR16" s="475"/>
      <c r="HHS16" s="476"/>
      <c r="HHT16" s="476"/>
      <c r="HHU16" s="476"/>
      <c r="HHV16" s="476"/>
      <c r="HHW16" s="476"/>
      <c r="HHX16" s="476"/>
      <c r="HHY16" s="476"/>
      <c r="HHZ16" s="476"/>
      <c r="HIA16" s="476"/>
      <c r="HIB16" s="476"/>
      <c r="HIC16" s="476"/>
      <c r="HID16" s="476"/>
      <c r="HIE16" s="477"/>
      <c r="HIF16" s="477"/>
      <c r="HIG16" s="463"/>
      <c r="HIH16" s="475"/>
      <c r="HII16" s="476"/>
      <c r="HIJ16" s="476"/>
      <c r="HIK16" s="476"/>
      <c r="HIL16" s="476"/>
      <c r="HIM16" s="476"/>
      <c r="HIN16" s="476"/>
      <c r="HIO16" s="476"/>
      <c r="HIP16" s="476"/>
      <c r="HIQ16" s="476"/>
      <c r="HIR16" s="476"/>
      <c r="HIS16" s="476"/>
      <c r="HIT16" s="476"/>
      <c r="HIU16" s="477"/>
      <c r="HIV16" s="477"/>
      <c r="HIW16" s="463"/>
      <c r="HIX16" s="475"/>
      <c r="HIY16" s="476"/>
      <c r="HIZ16" s="476"/>
      <c r="HJA16" s="476"/>
      <c r="HJB16" s="476"/>
      <c r="HJC16" s="476"/>
      <c r="HJD16" s="476"/>
      <c r="HJE16" s="476"/>
      <c r="HJF16" s="476"/>
      <c r="HJG16" s="476"/>
      <c r="HJH16" s="476"/>
      <c r="HJI16" s="476"/>
      <c r="HJJ16" s="476"/>
      <c r="HJK16" s="477"/>
      <c r="HJL16" s="477"/>
      <c r="HJM16" s="463"/>
      <c r="HJN16" s="475"/>
      <c r="HJO16" s="476"/>
      <c r="HJP16" s="476"/>
      <c r="HJQ16" s="476"/>
      <c r="HJR16" s="476"/>
      <c r="HJS16" s="476"/>
      <c r="HJT16" s="476"/>
      <c r="HJU16" s="476"/>
      <c r="HJV16" s="476"/>
      <c r="HJW16" s="476"/>
      <c r="HJX16" s="476"/>
      <c r="HJY16" s="476"/>
      <c r="HJZ16" s="476"/>
      <c r="HKA16" s="477"/>
      <c r="HKB16" s="477"/>
      <c r="HKC16" s="463"/>
      <c r="HKD16" s="475"/>
      <c r="HKE16" s="476"/>
      <c r="HKF16" s="476"/>
      <c r="HKG16" s="476"/>
      <c r="HKH16" s="476"/>
      <c r="HKI16" s="476"/>
      <c r="HKJ16" s="476"/>
      <c r="HKK16" s="476"/>
      <c r="HKL16" s="476"/>
      <c r="HKM16" s="476"/>
      <c r="HKN16" s="476"/>
      <c r="HKO16" s="476"/>
      <c r="HKP16" s="476"/>
      <c r="HKQ16" s="477"/>
      <c r="HKR16" s="477"/>
      <c r="HKS16" s="463"/>
      <c r="HKT16" s="475"/>
      <c r="HKU16" s="476"/>
      <c r="HKV16" s="476"/>
      <c r="HKW16" s="476"/>
      <c r="HKX16" s="476"/>
      <c r="HKY16" s="476"/>
      <c r="HKZ16" s="476"/>
      <c r="HLA16" s="476"/>
      <c r="HLB16" s="476"/>
      <c r="HLC16" s="476"/>
      <c r="HLD16" s="476"/>
      <c r="HLE16" s="476"/>
      <c r="HLF16" s="476"/>
      <c r="HLG16" s="477"/>
      <c r="HLH16" s="477"/>
      <c r="HLI16" s="463"/>
      <c r="HLJ16" s="475"/>
      <c r="HLK16" s="476"/>
      <c r="HLL16" s="476"/>
      <c r="HLM16" s="476"/>
      <c r="HLN16" s="476"/>
      <c r="HLO16" s="476"/>
      <c r="HLP16" s="476"/>
      <c r="HLQ16" s="476"/>
      <c r="HLR16" s="476"/>
      <c r="HLS16" s="476"/>
      <c r="HLT16" s="476"/>
      <c r="HLU16" s="476"/>
      <c r="HLV16" s="476"/>
      <c r="HLW16" s="477"/>
      <c r="HLX16" s="477"/>
      <c r="HLY16" s="463"/>
      <c r="HLZ16" s="475"/>
      <c r="HMA16" s="476"/>
      <c r="HMB16" s="476"/>
      <c r="HMC16" s="476"/>
      <c r="HMD16" s="476"/>
      <c r="HME16" s="476"/>
      <c r="HMF16" s="476"/>
      <c r="HMG16" s="476"/>
      <c r="HMH16" s="476"/>
      <c r="HMI16" s="476"/>
      <c r="HMJ16" s="476"/>
      <c r="HMK16" s="476"/>
      <c r="HML16" s="476"/>
      <c r="HMM16" s="477"/>
      <c r="HMN16" s="477"/>
      <c r="HMO16" s="463"/>
      <c r="HMP16" s="475"/>
      <c r="HMQ16" s="476"/>
      <c r="HMR16" s="476"/>
      <c r="HMS16" s="476"/>
      <c r="HMT16" s="476"/>
      <c r="HMU16" s="476"/>
      <c r="HMV16" s="476"/>
      <c r="HMW16" s="476"/>
      <c r="HMX16" s="476"/>
      <c r="HMY16" s="476"/>
      <c r="HMZ16" s="476"/>
      <c r="HNA16" s="476"/>
      <c r="HNB16" s="476"/>
      <c r="HNC16" s="477"/>
      <c r="HND16" s="477"/>
      <c r="HNE16" s="463"/>
      <c r="HNF16" s="475"/>
      <c r="HNG16" s="476"/>
      <c r="HNH16" s="476"/>
      <c r="HNI16" s="476"/>
      <c r="HNJ16" s="476"/>
      <c r="HNK16" s="476"/>
      <c r="HNL16" s="476"/>
      <c r="HNM16" s="476"/>
      <c r="HNN16" s="476"/>
      <c r="HNO16" s="476"/>
      <c r="HNP16" s="476"/>
      <c r="HNQ16" s="476"/>
      <c r="HNR16" s="476"/>
      <c r="HNS16" s="477"/>
      <c r="HNT16" s="477"/>
      <c r="HNU16" s="463"/>
      <c r="HNV16" s="475"/>
      <c r="HNW16" s="476"/>
      <c r="HNX16" s="476"/>
      <c r="HNY16" s="476"/>
      <c r="HNZ16" s="476"/>
      <c r="HOA16" s="476"/>
      <c r="HOB16" s="476"/>
      <c r="HOC16" s="476"/>
      <c r="HOD16" s="476"/>
      <c r="HOE16" s="476"/>
      <c r="HOF16" s="476"/>
      <c r="HOG16" s="476"/>
      <c r="HOH16" s="476"/>
      <c r="HOI16" s="477"/>
      <c r="HOJ16" s="477"/>
      <c r="HOK16" s="463"/>
      <c r="HOL16" s="475"/>
      <c r="HOM16" s="476"/>
      <c r="HON16" s="476"/>
      <c r="HOO16" s="476"/>
      <c r="HOP16" s="476"/>
      <c r="HOQ16" s="476"/>
      <c r="HOR16" s="476"/>
      <c r="HOS16" s="476"/>
      <c r="HOT16" s="476"/>
      <c r="HOU16" s="476"/>
      <c r="HOV16" s="476"/>
      <c r="HOW16" s="476"/>
      <c r="HOX16" s="476"/>
      <c r="HOY16" s="477"/>
      <c r="HOZ16" s="477"/>
      <c r="HPA16" s="463"/>
      <c r="HPB16" s="475"/>
      <c r="HPC16" s="476"/>
      <c r="HPD16" s="476"/>
      <c r="HPE16" s="476"/>
      <c r="HPF16" s="476"/>
      <c r="HPG16" s="476"/>
      <c r="HPH16" s="476"/>
      <c r="HPI16" s="476"/>
      <c r="HPJ16" s="476"/>
      <c r="HPK16" s="476"/>
      <c r="HPL16" s="476"/>
      <c r="HPM16" s="476"/>
      <c r="HPN16" s="476"/>
      <c r="HPO16" s="477"/>
      <c r="HPP16" s="477"/>
      <c r="HPQ16" s="463"/>
      <c r="HPR16" s="475"/>
      <c r="HPS16" s="476"/>
      <c r="HPT16" s="476"/>
      <c r="HPU16" s="476"/>
      <c r="HPV16" s="476"/>
      <c r="HPW16" s="476"/>
      <c r="HPX16" s="476"/>
      <c r="HPY16" s="476"/>
      <c r="HPZ16" s="476"/>
      <c r="HQA16" s="476"/>
      <c r="HQB16" s="476"/>
      <c r="HQC16" s="476"/>
      <c r="HQD16" s="476"/>
      <c r="HQE16" s="477"/>
      <c r="HQF16" s="477"/>
      <c r="HQG16" s="463"/>
      <c r="HQH16" s="475"/>
      <c r="HQI16" s="476"/>
      <c r="HQJ16" s="476"/>
      <c r="HQK16" s="476"/>
      <c r="HQL16" s="476"/>
      <c r="HQM16" s="476"/>
      <c r="HQN16" s="476"/>
      <c r="HQO16" s="476"/>
      <c r="HQP16" s="476"/>
      <c r="HQQ16" s="476"/>
      <c r="HQR16" s="476"/>
      <c r="HQS16" s="476"/>
      <c r="HQT16" s="476"/>
      <c r="HQU16" s="477"/>
      <c r="HQV16" s="477"/>
      <c r="HQW16" s="463"/>
      <c r="HQX16" s="475"/>
      <c r="HQY16" s="476"/>
      <c r="HQZ16" s="476"/>
      <c r="HRA16" s="476"/>
      <c r="HRB16" s="476"/>
      <c r="HRC16" s="476"/>
      <c r="HRD16" s="476"/>
      <c r="HRE16" s="476"/>
      <c r="HRF16" s="476"/>
      <c r="HRG16" s="476"/>
      <c r="HRH16" s="476"/>
      <c r="HRI16" s="476"/>
      <c r="HRJ16" s="476"/>
      <c r="HRK16" s="477"/>
      <c r="HRL16" s="477"/>
      <c r="HRM16" s="463"/>
      <c r="HRN16" s="475"/>
      <c r="HRO16" s="476"/>
      <c r="HRP16" s="476"/>
      <c r="HRQ16" s="476"/>
      <c r="HRR16" s="476"/>
      <c r="HRS16" s="476"/>
      <c r="HRT16" s="476"/>
      <c r="HRU16" s="476"/>
      <c r="HRV16" s="476"/>
      <c r="HRW16" s="476"/>
      <c r="HRX16" s="476"/>
      <c r="HRY16" s="476"/>
      <c r="HRZ16" s="476"/>
      <c r="HSA16" s="477"/>
      <c r="HSB16" s="477"/>
      <c r="HSC16" s="463"/>
      <c r="HSD16" s="475"/>
      <c r="HSE16" s="476"/>
      <c r="HSF16" s="476"/>
      <c r="HSG16" s="476"/>
      <c r="HSH16" s="476"/>
      <c r="HSI16" s="476"/>
      <c r="HSJ16" s="476"/>
      <c r="HSK16" s="476"/>
      <c r="HSL16" s="476"/>
      <c r="HSM16" s="476"/>
      <c r="HSN16" s="476"/>
      <c r="HSO16" s="476"/>
      <c r="HSP16" s="476"/>
      <c r="HSQ16" s="477"/>
      <c r="HSR16" s="477"/>
      <c r="HSS16" s="463"/>
      <c r="HST16" s="475"/>
      <c r="HSU16" s="476"/>
      <c r="HSV16" s="476"/>
      <c r="HSW16" s="476"/>
      <c r="HSX16" s="476"/>
      <c r="HSY16" s="476"/>
      <c r="HSZ16" s="476"/>
      <c r="HTA16" s="476"/>
      <c r="HTB16" s="476"/>
      <c r="HTC16" s="476"/>
      <c r="HTD16" s="476"/>
      <c r="HTE16" s="476"/>
      <c r="HTF16" s="476"/>
      <c r="HTG16" s="477"/>
      <c r="HTH16" s="477"/>
      <c r="HTI16" s="463"/>
      <c r="HTJ16" s="475"/>
      <c r="HTK16" s="476"/>
      <c r="HTL16" s="476"/>
      <c r="HTM16" s="476"/>
      <c r="HTN16" s="476"/>
      <c r="HTO16" s="476"/>
      <c r="HTP16" s="476"/>
      <c r="HTQ16" s="476"/>
      <c r="HTR16" s="476"/>
      <c r="HTS16" s="476"/>
      <c r="HTT16" s="476"/>
      <c r="HTU16" s="476"/>
      <c r="HTV16" s="476"/>
      <c r="HTW16" s="477"/>
      <c r="HTX16" s="477"/>
      <c r="HTY16" s="463"/>
      <c r="HTZ16" s="475"/>
      <c r="HUA16" s="476"/>
      <c r="HUB16" s="476"/>
      <c r="HUC16" s="476"/>
      <c r="HUD16" s="476"/>
      <c r="HUE16" s="476"/>
      <c r="HUF16" s="476"/>
      <c r="HUG16" s="476"/>
      <c r="HUH16" s="476"/>
      <c r="HUI16" s="476"/>
      <c r="HUJ16" s="476"/>
      <c r="HUK16" s="476"/>
      <c r="HUL16" s="476"/>
      <c r="HUM16" s="477"/>
      <c r="HUN16" s="477"/>
      <c r="HUO16" s="463"/>
      <c r="HUP16" s="475"/>
      <c r="HUQ16" s="476"/>
      <c r="HUR16" s="476"/>
      <c r="HUS16" s="476"/>
      <c r="HUT16" s="476"/>
      <c r="HUU16" s="476"/>
      <c r="HUV16" s="476"/>
      <c r="HUW16" s="476"/>
      <c r="HUX16" s="476"/>
      <c r="HUY16" s="476"/>
      <c r="HUZ16" s="476"/>
      <c r="HVA16" s="476"/>
      <c r="HVB16" s="476"/>
      <c r="HVC16" s="477"/>
      <c r="HVD16" s="477"/>
      <c r="HVE16" s="463"/>
      <c r="HVF16" s="475"/>
      <c r="HVG16" s="476"/>
      <c r="HVH16" s="476"/>
      <c r="HVI16" s="476"/>
      <c r="HVJ16" s="476"/>
      <c r="HVK16" s="476"/>
      <c r="HVL16" s="476"/>
      <c r="HVM16" s="476"/>
      <c r="HVN16" s="476"/>
      <c r="HVO16" s="476"/>
      <c r="HVP16" s="476"/>
      <c r="HVQ16" s="476"/>
      <c r="HVR16" s="476"/>
      <c r="HVS16" s="477"/>
      <c r="HVT16" s="477"/>
      <c r="HVU16" s="463"/>
      <c r="HVV16" s="475"/>
      <c r="HVW16" s="476"/>
      <c r="HVX16" s="476"/>
      <c r="HVY16" s="476"/>
      <c r="HVZ16" s="476"/>
      <c r="HWA16" s="476"/>
      <c r="HWB16" s="476"/>
      <c r="HWC16" s="476"/>
      <c r="HWD16" s="476"/>
      <c r="HWE16" s="476"/>
      <c r="HWF16" s="476"/>
      <c r="HWG16" s="476"/>
      <c r="HWH16" s="476"/>
      <c r="HWI16" s="477"/>
      <c r="HWJ16" s="477"/>
      <c r="HWK16" s="463"/>
      <c r="HWL16" s="475"/>
      <c r="HWM16" s="476"/>
      <c r="HWN16" s="476"/>
      <c r="HWO16" s="476"/>
      <c r="HWP16" s="476"/>
      <c r="HWQ16" s="476"/>
      <c r="HWR16" s="476"/>
      <c r="HWS16" s="476"/>
      <c r="HWT16" s="476"/>
      <c r="HWU16" s="476"/>
      <c r="HWV16" s="476"/>
      <c r="HWW16" s="476"/>
      <c r="HWX16" s="476"/>
      <c r="HWY16" s="477"/>
      <c r="HWZ16" s="477"/>
      <c r="HXA16" s="463"/>
      <c r="HXB16" s="475"/>
      <c r="HXC16" s="476"/>
      <c r="HXD16" s="476"/>
      <c r="HXE16" s="476"/>
      <c r="HXF16" s="476"/>
      <c r="HXG16" s="476"/>
      <c r="HXH16" s="476"/>
      <c r="HXI16" s="476"/>
      <c r="HXJ16" s="476"/>
      <c r="HXK16" s="476"/>
      <c r="HXL16" s="476"/>
      <c r="HXM16" s="476"/>
      <c r="HXN16" s="476"/>
      <c r="HXO16" s="477"/>
      <c r="HXP16" s="477"/>
      <c r="HXQ16" s="463"/>
      <c r="HXR16" s="475"/>
      <c r="HXS16" s="476"/>
      <c r="HXT16" s="476"/>
      <c r="HXU16" s="476"/>
      <c r="HXV16" s="476"/>
      <c r="HXW16" s="476"/>
      <c r="HXX16" s="476"/>
      <c r="HXY16" s="476"/>
      <c r="HXZ16" s="476"/>
      <c r="HYA16" s="476"/>
      <c r="HYB16" s="476"/>
      <c r="HYC16" s="476"/>
      <c r="HYD16" s="476"/>
      <c r="HYE16" s="477"/>
      <c r="HYF16" s="477"/>
      <c r="HYG16" s="463"/>
      <c r="HYH16" s="475"/>
      <c r="HYI16" s="476"/>
      <c r="HYJ16" s="476"/>
      <c r="HYK16" s="476"/>
      <c r="HYL16" s="476"/>
      <c r="HYM16" s="476"/>
      <c r="HYN16" s="476"/>
      <c r="HYO16" s="476"/>
      <c r="HYP16" s="476"/>
      <c r="HYQ16" s="476"/>
      <c r="HYR16" s="476"/>
      <c r="HYS16" s="476"/>
      <c r="HYT16" s="476"/>
      <c r="HYU16" s="477"/>
      <c r="HYV16" s="477"/>
      <c r="HYW16" s="463"/>
      <c r="HYX16" s="475"/>
      <c r="HYY16" s="476"/>
      <c r="HYZ16" s="476"/>
      <c r="HZA16" s="476"/>
      <c r="HZB16" s="476"/>
      <c r="HZC16" s="476"/>
      <c r="HZD16" s="476"/>
      <c r="HZE16" s="476"/>
      <c r="HZF16" s="476"/>
      <c r="HZG16" s="476"/>
      <c r="HZH16" s="476"/>
      <c r="HZI16" s="476"/>
      <c r="HZJ16" s="476"/>
      <c r="HZK16" s="477"/>
      <c r="HZL16" s="477"/>
      <c r="HZM16" s="463"/>
      <c r="HZN16" s="475"/>
      <c r="HZO16" s="476"/>
      <c r="HZP16" s="476"/>
      <c r="HZQ16" s="476"/>
      <c r="HZR16" s="476"/>
      <c r="HZS16" s="476"/>
      <c r="HZT16" s="476"/>
      <c r="HZU16" s="476"/>
      <c r="HZV16" s="476"/>
      <c r="HZW16" s="476"/>
      <c r="HZX16" s="476"/>
      <c r="HZY16" s="476"/>
      <c r="HZZ16" s="476"/>
      <c r="IAA16" s="477"/>
      <c r="IAB16" s="477"/>
      <c r="IAC16" s="463"/>
      <c r="IAD16" s="475"/>
      <c r="IAE16" s="476"/>
      <c r="IAF16" s="476"/>
      <c r="IAG16" s="476"/>
      <c r="IAH16" s="476"/>
      <c r="IAI16" s="476"/>
      <c r="IAJ16" s="476"/>
      <c r="IAK16" s="476"/>
      <c r="IAL16" s="476"/>
      <c r="IAM16" s="476"/>
      <c r="IAN16" s="476"/>
      <c r="IAO16" s="476"/>
      <c r="IAP16" s="476"/>
      <c r="IAQ16" s="477"/>
      <c r="IAR16" s="477"/>
      <c r="IAS16" s="463"/>
      <c r="IAT16" s="475"/>
      <c r="IAU16" s="476"/>
      <c r="IAV16" s="476"/>
      <c r="IAW16" s="476"/>
      <c r="IAX16" s="476"/>
      <c r="IAY16" s="476"/>
      <c r="IAZ16" s="476"/>
      <c r="IBA16" s="476"/>
      <c r="IBB16" s="476"/>
      <c r="IBC16" s="476"/>
      <c r="IBD16" s="476"/>
      <c r="IBE16" s="476"/>
      <c r="IBF16" s="476"/>
      <c r="IBG16" s="477"/>
      <c r="IBH16" s="477"/>
      <c r="IBI16" s="463"/>
      <c r="IBJ16" s="475"/>
      <c r="IBK16" s="476"/>
      <c r="IBL16" s="476"/>
      <c r="IBM16" s="476"/>
      <c r="IBN16" s="476"/>
      <c r="IBO16" s="476"/>
      <c r="IBP16" s="476"/>
      <c r="IBQ16" s="476"/>
      <c r="IBR16" s="476"/>
      <c r="IBS16" s="476"/>
      <c r="IBT16" s="476"/>
      <c r="IBU16" s="476"/>
      <c r="IBV16" s="476"/>
      <c r="IBW16" s="477"/>
      <c r="IBX16" s="477"/>
      <c r="IBY16" s="463"/>
      <c r="IBZ16" s="475"/>
      <c r="ICA16" s="476"/>
      <c r="ICB16" s="476"/>
      <c r="ICC16" s="476"/>
      <c r="ICD16" s="476"/>
      <c r="ICE16" s="476"/>
      <c r="ICF16" s="476"/>
      <c r="ICG16" s="476"/>
      <c r="ICH16" s="476"/>
      <c r="ICI16" s="476"/>
      <c r="ICJ16" s="476"/>
      <c r="ICK16" s="476"/>
      <c r="ICL16" s="476"/>
      <c r="ICM16" s="477"/>
      <c r="ICN16" s="477"/>
      <c r="ICO16" s="463"/>
      <c r="ICP16" s="475"/>
      <c r="ICQ16" s="476"/>
      <c r="ICR16" s="476"/>
      <c r="ICS16" s="476"/>
      <c r="ICT16" s="476"/>
      <c r="ICU16" s="476"/>
      <c r="ICV16" s="476"/>
      <c r="ICW16" s="476"/>
      <c r="ICX16" s="476"/>
      <c r="ICY16" s="476"/>
      <c r="ICZ16" s="476"/>
      <c r="IDA16" s="476"/>
      <c r="IDB16" s="476"/>
      <c r="IDC16" s="477"/>
      <c r="IDD16" s="477"/>
      <c r="IDE16" s="463"/>
      <c r="IDF16" s="475"/>
      <c r="IDG16" s="476"/>
      <c r="IDH16" s="476"/>
      <c r="IDI16" s="476"/>
      <c r="IDJ16" s="476"/>
      <c r="IDK16" s="476"/>
      <c r="IDL16" s="476"/>
      <c r="IDM16" s="476"/>
      <c r="IDN16" s="476"/>
      <c r="IDO16" s="476"/>
      <c r="IDP16" s="476"/>
      <c r="IDQ16" s="476"/>
      <c r="IDR16" s="476"/>
      <c r="IDS16" s="477"/>
      <c r="IDT16" s="477"/>
      <c r="IDU16" s="463"/>
      <c r="IDV16" s="475"/>
      <c r="IDW16" s="476"/>
      <c r="IDX16" s="476"/>
      <c r="IDY16" s="476"/>
      <c r="IDZ16" s="476"/>
      <c r="IEA16" s="476"/>
      <c r="IEB16" s="476"/>
      <c r="IEC16" s="476"/>
      <c r="IED16" s="476"/>
      <c r="IEE16" s="476"/>
      <c r="IEF16" s="476"/>
      <c r="IEG16" s="476"/>
      <c r="IEH16" s="476"/>
      <c r="IEI16" s="477"/>
      <c r="IEJ16" s="477"/>
      <c r="IEK16" s="463"/>
      <c r="IEL16" s="475"/>
      <c r="IEM16" s="476"/>
      <c r="IEN16" s="476"/>
      <c r="IEO16" s="476"/>
      <c r="IEP16" s="476"/>
      <c r="IEQ16" s="476"/>
      <c r="IER16" s="476"/>
      <c r="IES16" s="476"/>
      <c r="IET16" s="476"/>
      <c r="IEU16" s="476"/>
      <c r="IEV16" s="476"/>
      <c r="IEW16" s="476"/>
      <c r="IEX16" s="476"/>
      <c r="IEY16" s="477"/>
      <c r="IEZ16" s="477"/>
      <c r="IFA16" s="463"/>
      <c r="IFB16" s="475"/>
      <c r="IFC16" s="476"/>
      <c r="IFD16" s="476"/>
      <c r="IFE16" s="476"/>
      <c r="IFF16" s="476"/>
      <c r="IFG16" s="476"/>
      <c r="IFH16" s="476"/>
      <c r="IFI16" s="476"/>
      <c r="IFJ16" s="476"/>
      <c r="IFK16" s="476"/>
      <c r="IFL16" s="476"/>
      <c r="IFM16" s="476"/>
      <c r="IFN16" s="476"/>
      <c r="IFO16" s="477"/>
      <c r="IFP16" s="477"/>
      <c r="IFQ16" s="463"/>
      <c r="IFR16" s="475"/>
      <c r="IFS16" s="476"/>
      <c r="IFT16" s="476"/>
      <c r="IFU16" s="476"/>
      <c r="IFV16" s="476"/>
      <c r="IFW16" s="476"/>
      <c r="IFX16" s="476"/>
      <c r="IFY16" s="476"/>
      <c r="IFZ16" s="476"/>
      <c r="IGA16" s="476"/>
      <c r="IGB16" s="476"/>
      <c r="IGC16" s="476"/>
      <c r="IGD16" s="476"/>
      <c r="IGE16" s="477"/>
      <c r="IGF16" s="477"/>
      <c r="IGG16" s="463"/>
      <c r="IGH16" s="475"/>
      <c r="IGI16" s="476"/>
      <c r="IGJ16" s="476"/>
      <c r="IGK16" s="476"/>
      <c r="IGL16" s="476"/>
      <c r="IGM16" s="476"/>
      <c r="IGN16" s="476"/>
      <c r="IGO16" s="476"/>
      <c r="IGP16" s="476"/>
      <c r="IGQ16" s="476"/>
      <c r="IGR16" s="476"/>
      <c r="IGS16" s="476"/>
      <c r="IGT16" s="476"/>
      <c r="IGU16" s="477"/>
      <c r="IGV16" s="477"/>
      <c r="IGW16" s="463"/>
      <c r="IGX16" s="475"/>
      <c r="IGY16" s="476"/>
      <c r="IGZ16" s="476"/>
      <c r="IHA16" s="476"/>
      <c r="IHB16" s="476"/>
      <c r="IHC16" s="476"/>
      <c r="IHD16" s="476"/>
      <c r="IHE16" s="476"/>
      <c r="IHF16" s="476"/>
      <c r="IHG16" s="476"/>
      <c r="IHH16" s="476"/>
      <c r="IHI16" s="476"/>
      <c r="IHJ16" s="476"/>
      <c r="IHK16" s="477"/>
      <c r="IHL16" s="477"/>
      <c r="IHM16" s="463"/>
      <c r="IHN16" s="475"/>
      <c r="IHO16" s="476"/>
      <c r="IHP16" s="476"/>
      <c r="IHQ16" s="476"/>
      <c r="IHR16" s="476"/>
      <c r="IHS16" s="476"/>
      <c r="IHT16" s="476"/>
      <c r="IHU16" s="476"/>
      <c r="IHV16" s="476"/>
      <c r="IHW16" s="476"/>
      <c r="IHX16" s="476"/>
      <c r="IHY16" s="476"/>
      <c r="IHZ16" s="476"/>
      <c r="IIA16" s="477"/>
      <c r="IIB16" s="477"/>
      <c r="IIC16" s="463"/>
      <c r="IID16" s="475"/>
      <c r="IIE16" s="476"/>
      <c r="IIF16" s="476"/>
      <c r="IIG16" s="476"/>
      <c r="IIH16" s="476"/>
      <c r="III16" s="476"/>
      <c r="IIJ16" s="476"/>
      <c r="IIK16" s="476"/>
      <c r="IIL16" s="476"/>
      <c r="IIM16" s="476"/>
      <c r="IIN16" s="476"/>
      <c r="IIO16" s="476"/>
      <c r="IIP16" s="476"/>
      <c r="IIQ16" s="477"/>
      <c r="IIR16" s="477"/>
      <c r="IIS16" s="463"/>
      <c r="IIT16" s="475"/>
      <c r="IIU16" s="476"/>
      <c r="IIV16" s="476"/>
      <c r="IIW16" s="476"/>
      <c r="IIX16" s="476"/>
      <c r="IIY16" s="476"/>
      <c r="IIZ16" s="476"/>
      <c r="IJA16" s="476"/>
      <c r="IJB16" s="476"/>
      <c r="IJC16" s="476"/>
      <c r="IJD16" s="476"/>
      <c r="IJE16" s="476"/>
      <c r="IJF16" s="476"/>
      <c r="IJG16" s="477"/>
      <c r="IJH16" s="477"/>
      <c r="IJI16" s="463"/>
      <c r="IJJ16" s="475"/>
      <c r="IJK16" s="476"/>
      <c r="IJL16" s="476"/>
      <c r="IJM16" s="476"/>
      <c r="IJN16" s="476"/>
      <c r="IJO16" s="476"/>
      <c r="IJP16" s="476"/>
      <c r="IJQ16" s="476"/>
      <c r="IJR16" s="476"/>
      <c r="IJS16" s="476"/>
      <c r="IJT16" s="476"/>
      <c r="IJU16" s="476"/>
      <c r="IJV16" s="476"/>
      <c r="IJW16" s="477"/>
      <c r="IJX16" s="477"/>
      <c r="IJY16" s="463"/>
      <c r="IJZ16" s="475"/>
      <c r="IKA16" s="476"/>
      <c r="IKB16" s="476"/>
      <c r="IKC16" s="476"/>
      <c r="IKD16" s="476"/>
      <c r="IKE16" s="476"/>
      <c r="IKF16" s="476"/>
      <c r="IKG16" s="476"/>
      <c r="IKH16" s="476"/>
      <c r="IKI16" s="476"/>
      <c r="IKJ16" s="476"/>
      <c r="IKK16" s="476"/>
      <c r="IKL16" s="476"/>
      <c r="IKM16" s="477"/>
      <c r="IKN16" s="477"/>
      <c r="IKO16" s="463"/>
      <c r="IKP16" s="475"/>
      <c r="IKQ16" s="476"/>
      <c r="IKR16" s="476"/>
      <c r="IKS16" s="476"/>
      <c r="IKT16" s="476"/>
      <c r="IKU16" s="476"/>
      <c r="IKV16" s="476"/>
      <c r="IKW16" s="476"/>
      <c r="IKX16" s="476"/>
      <c r="IKY16" s="476"/>
      <c r="IKZ16" s="476"/>
      <c r="ILA16" s="476"/>
      <c r="ILB16" s="476"/>
      <c r="ILC16" s="477"/>
      <c r="ILD16" s="477"/>
      <c r="ILE16" s="463"/>
      <c r="ILF16" s="475"/>
      <c r="ILG16" s="476"/>
      <c r="ILH16" s="476"/>
      <c r="ILI16" s="476"/>
      <c r="ILJ16" s="476"/>
      <c r="ILK16" s="476"/>
      <c r="ILL16" s="476"/>
      <c r="ILM16" s="476"/>
      <c r="ILN16" s="476"/>
      <c r="ILO16" s="476"/>
      <c r="ILP16" s="476"/>
      <c r="ILQ16" s="476"/>
      <c r="ILR16" s="476"/>
      <c r="ILS16" s="477"/>
      <c r="ILT16" s="477"/>
      <c r="ILU16" s="463"/>
      <c r="ILV16" s="475"/>
      <c r="ILW16" s="476"/>
      <c r="ILX16" s="476"/>
      <c r="ILY16" s="476"/>
      <c r="ILZ16" s="476"/>
      <c r="IMA16" s="476"/>
      <c r="IMB16" s="476"/>
      <c r="IMC16" s="476"/>
      <c r="IMD16" s="476"/>
      <c r="IME16" s="476"/>
      <c r="IMF16" s="476"/>
      <c r="IMG16" s="476"/>
      <c r="IMH16" s="476"/>
      <c r="IMI16" s="477"/>
      <c r="IMJ16" s="477"/>
      <c r="IMK16" s="463"/>
      <c r="IML16" s="475"/>
      <c r="IMM16" s="476"/>
      <c r="IMN16" s="476"/>
      <c r="IMO16" s="476"/>
      <c r="IMP16" s="476"/>
      <c r="IMQ16" s="476"/>
      <c r="IMR16" s="476"/>
      <c r="IMS16" s="476"/>
      <c r="IMT16" s="476"/>
      <c r="IMU16" s="476"/>
      <c r="IMV16" s="476"/>
      <c r="IMW16" s="476"/>
      <c r="IMX16" s="476"/>
      <c r="IMY16" s="477"/>
      <c r="IMZ16" s="477"/>
      <c r="INA16" s="463"/>
      <c r="INB16" s="475"/>
      <c r="INC16" s="476"/>
      <c r="IND16" s="476"/>
      <c r="INE16" s="476"/>
      <c r="INF16" s="476"/>
      <c r="ING16" s="476"/>
      <c r="INH16" s="476"/>
      <c r="INI16" s="476"/>
      <c r="INJ16" s="476"/>
      <c r="INK16" s="476"/>
      <c r="INL16" s="476"/>
      <c r="INM16" s="476"/>
      <c r="INN16" s="476"/>
      <c r="INO16" s="477"/>
      <c r="INP16" s="477"/>
      <c r="INQ16" s="463"/>
      <c r="INR16" s="475"/>
      <c r="INS16" s="476"/>
      <c r="INT16" s="476"/>
      <c r="INU16" s="476"/>
      <c r="INV16" s="476"/>
      <c r="INW16" s="476"/>
      <c r="INX16" s="476"/>
      <c r="INY16" s="476"/>
      <c r="INZ16" s="476"/>
      <c r="IOA16" s="476"/>
      <c r="IOB16" s="476"/>
      <c r="IOC16" s="476"/>
      <c r="IOD16" s="476"/>
      <c r="IOE16" s="477"/>
      <c r="IOF16" s="477"/>
      <c r="IOG16" s="463"/>
      <c r="IOH16" s="475"/>
      <c r="IOI16" s="476"/>
      <c r="IOJ16" s="476"/>
      <c r="IOK16" s="476"/>
      <c r="IOL16" s="476"/>
      <c r="IOM16" s="476"/>
      <c r="ION16" s="476"/>
      <c r="IOO16" s="476"/>
      <c r="IOP16" s="476"/>
      <c r="IOQ16" s="476"/>
      <c r="IOR16" s="476"/>
      <c r="IOS16" s="476"/>
      <c r="IOT16" s="476"/>
      <c r="IOU16" s="477"/>
      <c r="IOV16" s="477"/>
      <c r="IOW16" s="463"/>
      <c r="IOX16" s="475"/>
      <c r="IOY16" s="476"/>
      <c r="IOZ16" s="476"/>
      <c r="IPA16" s="476"/>
      <c r="IPB16" s="476"/>
      <c r="IPC16" s="476"/>
      <c r="IPD16" s="476"/>
      <c r="IPE16" s="476"/>
      <c r="IPF16" s="476"/>
      <c r="IPG16" s="476"/>
      <c r="IPH16" s="476"/>
      <c r="IPI16" s="476"/>
      <c r="IPJ16" s="476"/>
      <c r="IPK16" s="477"/>
      <c r="IPL16" s="477"/>
      <c r="IPM16" s="463"/>
      <c r="IPN16" s="475"/>
      <c r="IPO16" s="476"/>
      <c r="IPP16" s="476"/>
      <c r="IPQ16" s="476"/>
      <c r="IPR16" s="476"/>
      <c r="IPS16" s="476"/>
      <c r="IPT16" s="476"/>
      <c r="IPU16" s="476"/>
      <c r="IPV16" s="476"/>
      <c r="IPW16" s="476"/>
      <c r="IPX16" s="476"/>
      <c r="IPY16" s="476"/>
      <c r="IPZ16" s="476"/>
      <c r="IQA16" s="477"/>
      <c r="IQB16" s="477"/>
      <c r="IQC16" s="463"/>
      <c r="IQD16" s="475"/>
      <c r="IQE16" s="476"/>
      <c r="IQF16" s="476"/>
      <c r="IQG16" s="476"/>
      <c r="IQH16" s="476"/>
      <c r="IQI16" s="476"/>
      <c r="IQJ16" s="476"/>
      <c r="IQK16" s="476"/>
      <c r="IQL16" s="476"/>
      <c r="IQM16" s="476"/>
      <c r="IQN16" s="476"/>
      <c r="IQO16" s="476"/>
      <c r="IQP16" s="476"/>
      <c r="IQQ16" s="477"/>
      <c r="IQR16" s="477"/>
      <c r="IQS16" s="463"/>
      <c r="IQT16" s="475"/>
      <c r="IQU16" s="476"/>
      <c r="IQV16" s="476"/>
      <c r="IQW16" s="476"/>
      <c r="IQX16" s="476"/>
      <c r="IQY16" s="476"/>
      <c r="IQZ16" s="476"/>
      <c r="IRA16" s="476"/>
      <c r="IRB16" s="476"/>
      <c r="IRC16" s="476"/>
      <c r="IRD16" s="476"/>
      <c r="IRE16" s="476"/>
      <c r="IRF16" s="476"/>
      <c r="IRG16" s="477"/>
      <c r="IRH16" s="477"/>
      <c r="IRI16" s="463"/>
      <c r="IRJ16" s="475"/>
      <c r="IRK16" s="476"/>
      <c r="IRL16" s="476"/>
      <c r="IRM16" s="476"/>
      <c r="IRN16" s="476"/>
      <c r="IRO16" s="476"/>
      <c r="IRP16" s="476"/>
      <c r="IRQ16" s="476"/>
      <c r="IRR16" s="476"/>
      <c r="IRS16" s="476"/>
      <c r="IRT16" s="476"/>
      <c r="IRU16" s="476"/>
      <c r="IRV16" s="476"/>
      <c r="IRW16" s="477"/>
      <c r="IRX16" s="477"/>
      <c r="IRY16" s="463"/>
      <c r="IRZ16" s="475"/>
      <c r="ISA16" s="476"/>
      <c r="ISB16" s="476"/>
      <c r="ISC16" s="476"/>
      <c r="ISD16" s="476"/>
      <c r="ISE16" s="476"/>
      <c r="ISF16" s="476"/>
      <c r="ISG16" s="476"/>
      <c r="ISH16" s="476"/>
      <c r="ISI16" s="476"/>
      <c r="ISJ16" s="476"/>
      <c r="ISK16" s="476"/>
      <c r="ISL16" s="476"/>
      <c r="ISM16" s="477"/>
      <c r="ISN16" s="477"/>
      <c r="ISO16" s="463"/>
      <c r="ISP16" s="475"/>
      <c r="ISQ16" s="476"/>
      <c r="ISR16" s="476"/>
      <c r="ISS16" s="476"/>
      <c r="IST16" s="476"/>
      <c r="ISU16" s="476"/>
      <c r="ISV16" s="476"/>
      <c r="ISW16" s="476"/>
      <c r="ISX16" s="476"/>
      <c r="ISY16" s="476"/>
      <c r="ISZ16" s="476"/>
      <c r="ITA16" s="476"/>
      <c r="ITB16" s="476"/>
      <c r="ITC16" s="477"/>
      <c r="ITD16" s="477"/>
      <c r="ITE16" s="463"/>
      <c r="ITF16" s="475"/>
      <c r="ITG16" s="476"/>
      <c r="ITH16" s="476"/>
      <c r="ITI16" s="476"/>
      <c r="ITJ16" s="476"/>
      <c r="ITK16" s="476"/>
      <c r="ITL16" s="476"/>
      <c r="ITM16" s="476"/>
      <c r="ITN16" s="476"/>
      <c r="ITO16" s="476"/>
      <c r="ITP16" s="476"/>
      <c r="ITQ16" s="476"/>
      <c r="ITR16" s="476"/>
      <c r="ITS16" s="477"/>
      <c r="ITT16" s="477"/>
      <c r="ITU16" s="463"/>
      <c r="ITV16" s="475"/>
      <c r="ITW16" s="476"/>
      <c r="ITX16" s="476"/>
      <c r="ITY16" s="476"/>
      <c r="ITZ16" s="476"/>
      <c r="IUA16" s="476"/>
      <c r="IUB16" s="476"/>
      <c r="IUC16" s="476"/>
      <c r="IUD16" s="476"/>
      <c r="IUE16" s="476"/>
      <c r="IUF16" s="476"/>
      <c r="IUG16" s="476"/>
      <c r="IUH16" s="476"/>
      <c r="IUI16" s="477"/>
      <c r="IUJ16" s="477"/>
      <c r="IUK16" s="463"/>
      <c r="IUL16" s="475"/>
      <c r="IUM16" s="476"/>
      <c r="IUN16" s="476"/>
      <c r="IUO16" s="476"/>
      <c r="IUP16" s="476"/>
      <c r="IUQ16" s="476"/>
      <c r="IUR16" s="476"/>
      <c r="IUS16" s="476"/>
      <c r="IUT16" s="476"/>
      <c r="IUU16" s="476"/>
      <c r="IUV16" s="476"/>
      <c r="IUW16" s="476"/>
      <c r="IUX16" s="476"/>
      <c r="IUY16" s="477"/>
      <c r="IUZ16" s="477"/>
      <c r="IVA16" s="463"/>
      <c r="IVB16" s="475"/>
      <c r="IVC16" s="476"/>
      <c r="IVD16" s="476"/>
      <c r="IVE16" s="476"/>
      <c r="IVF16" s="476"/>
      <c r="IVG16" s="476"/>
      <c r="IVH16" s="476"/>
      <c r="IVI16" s="476"/>
      <c r="IVJ16" s="476"/>
      <c r="IVK16" s="476"/>
      <c r="IVL16" s="476"/>
      <c r="IVM16" s="476"/>
      <c r="IVN16" s="476"/>
      <c r="IVO16" s="477"/>
      <c r="IVP16" s="477"/>
      <c r="IVQ16" s="463"/>
      <c r="IVR16" s="475"/>
      <c r="IVS16" s="476"/>
      <c r="IVT16" s="476"/>
      <c r="IVU16" s="476"/>
      <c r="IVV16" s="476"/>
      <c r="IVW16" s="476"/>
      <c r="IVX16" s="476"/>
      <c r="IVY16" s="476"/>
      <c r="IVZ16" s="476"/>
      <c r="IWA16" s="476"/>
      <c r="IWB16" s="476"/>
      <c r="IWC16" s="476"/>
      <c r="IWD16" s="476"/>
      <c r="IWE16" s="477"/>
      <c r="IWF16" s="477"/>
      <c r="IWG16" s="463"/>
      <c r="IWH16" s="475"/>
      <c r="IWI16" s="476"/>
      <c r="IWJ16" s="476"/>
      <c r="IWK16" s="476"/>
      <c r="IWL16" s="476"/>
      <c r="IWM16" s="476"/>
      <c r="IWN16" s="476"/>
      <c r="IWO16" s="476"/>
      <c r="IWP16" s="476"/>
      <c r="IWQ16" s="476"/>
      <c r="IWR16" s="476"/>
      <c r="IWS16" s="476"/>
      <c r="IWT16" s="476"/>
      <c r="IWU16" s="477"/>
      <c r="IWV16" s="477"/>
      <c r="IWW16" s="463"/>
      <c r="IWX16" s="475"/>
      <c r="IWY16" s="476"/>
      <c r="IWZ16" s="476"/>
      <c r="IXA16" s="476"/>
      <c r="IXB16" s="476"/>
      <c r="IXC16" s="476"/>
      <c r="IXD16" s="476"/>
      <c r="IXE16" s="476"/>
      <c r="IXF16" s="476"/>
      <c r="IXG16" s="476"/>
      <c r="IXH16" s="476"/>
      <c r="IXI16" s="476"/>
      <c r="IXJ16" s="476"/>
      <c r="IXK16" s="477"/>
      <c r="IXL16" s="477"/>
      <c r="IXM16" s="463"/>
      <c r="IXN16" s="475"/>
      <c r="IXO16" s="476"/>
      <c r="IXP16" s="476"/>
      <c r="IXQ16" s="476"/>
      <c r="IXR16" s="476"/>
      <c r="IXS16" s="476"/>
      <c r="IXT16" s="476"/>
      <c r="IXU16" s="476"/>
      <c r="IXV16" s="476"/>
      <c r="IXW16" s="476"/>
      <c r="IXX16" s="476"/>
      <c r="IXY16" s="476"/>
      <c r="IXZ16" s="476"/>
      <c r="IYA16" s="477"/>
      <c r="IYB16" s="477"/>
      <c r="IYC16" s="463"/>
      <c r="IYD16" s="475"/>
      <c r="IYE16" s="476"/>
      <c r="IYF16" s="476"/>
      <c r="IYG16" s="476"/>
      <c r="IYH16" s="476"/>
      <c r="IYI16" s="476"/>
      <c r="IYJ16" s="476"/>
      <c r="IYK16" s="476"/>
      <c r="IYL16" s="476"/>
      <c r="IYM16" s="476"/>
      <c r="IYN16" s="476"/>
      <c r="IYO16" s="476"/>
      <c r="IYP16" s="476"/>
      <c r="IYQ16" s="477"/>
      <c r="IYR16" s="477"/>
      <c r="IYS16" s="463"/>
      <c r="IYT16" s="475"/>
      <c r="IYU16" s="476"/>
      <c r="IYV16" s="476"/>
      <c r="IYW16" s="476"/>
      <c r="IYX16" s="476"/>
      <c r="IYY16" s="476"/>
      <c r="IYZ16" s="476"/>
      <c r="IZA16" s="476"/>
      <c r="IZB16" s="476"/>
      <c r="IZC16" s="476"/>
      <c r="IZD16" s="476"/>
      <c r="IZE16" s="476"/>
      <c r="IZF16" s="476"/>
      <c r="IZG16" s="477"/>
      <c r="IZH16" s="477"/>
      <c r="IZI16" s="463"/>
      <c r="IZJ16" s="475"/>
      <c r="IZK16" s="476"/>
      <c r="IZL16" s="476"/>
      <c r="IZM16" s="476"/>
      <c r="IZN16" s="476"/>
      <c r="IZO16" s="476"/>
      <c r="IZP16" s="476"/>
      <c r="IZQ16" s="476"/>
      <c r="IZR16" s="476"/>
      <c r="IZS16" s="476"/>
      <c r="IZT16" s="476"/>
      <c r="IZU16" s="476"/>
      <c r="IZV16" s="476"/>
      <c r="IZW16" s="477"/>
      <c r="IZX16" s="477"/>
      <c r="IZY16" s="463"/>
      <c r="IZZ16" s="475"/>
      <c r="JAA16" s="476"/>
      <c r="JAB16" s="476"/>
      <c r="JAC16" s="476"/>
      <c r="JAD16" s="476"/>
      <c r="JAE16" s="476"/>
      <c r="JAF16" s="476"/>
      <c r="JAG16" s="476"/>
      <c r="JAH16" s="476"/>
      <c r="JAI16" s="476"/>
      <c r="JAJ16" s="476"/>
      <c r="JAK16" s="476"/>
      <c r="JAL16" s="476"/>
      <c r="JAM16" s="477"/>
      <c r="JAN16" s="477"/>
      <c r="JAO16" s="463"/>
      <c r="JAP16" s="475"/>
      <c r="JAQ16" s="476"/>
      <c r="JAR16" s="476"/>
      <c r="JAS16" s="476"/>
      <c r="JAT16" s="476"/>
      <c r="JAU16" s="476"/>
      <c r="JAV16" s="476"/>
      <c r="JAW16" s="476"/>
      <c r="JAX16" s="476"/>
      <c r="JAY16" s="476"/>
      <c r="JAZ16" s="476"/>
      <c r="JBA16" s="476"/>
      <c r="JBB16" s="476"/>
      <c r="JBC16" s="477"/>
      <c r="JBD16" s="477"/>
      <c r="JBE16" s="463"/>
      <c r="JBF16" s="475"/>
      <c r="JBG16" s="476"/>
      <c r="JBH16" s="476"/>
      <c r="JBI16" s="476"/>
      <c r="JBJ16" s="476"/>
      <c r="JBK16" s="476"/>
      <c r="JBL16" s="476"/>
      <c r="JBM16" s="476"/>
      <c r="JBN16" s="476"/>
      <c r="JBO16" s="476"/>
      <c r="JBP16" s="476"/>
      <c r="JBQ16" s="476"/>
      <c r="JBR16" s="476"/>
      <c r="JBS16" s="477"/>
      <c r="JBT16" s="477"/>
      <c r="JBU16" s="463"/>
      <c r="JBV16" s="475"/>
      <c r="JBW16" s="476"/>
      <c r="JBX16" s="476"/>
      <c r="JBY16" s="476"/>
      <c r="JBZ16" s="476"/>
      <c r="JCA16" s="476"/>
      <c r="JCB16" s="476"/>
      <c r="JCC16" s="476"/>
      <c r="JCD16" s="476"/>
      <c r="JCE16" s="476"/>
      <c r="JCF16" s="476"/>
      <c r="JCG16" s="476"/>
      <c r="JCH16" s="476"/>
      <c r="JCI16" s="477"/>
      <c r="JCJ16" s="477"/>
      <c r="JCK16" s="463"/>
      <c r="JCL16" s="475"/>
      <c r="JCM16" s="476"/>
      <c r="JCN16" s="476"/>
      <c r="JCO16" s="476"/>
      <c r="JCP16" s="476"/>
      <c r="JCQ16" s="476"/>
      <c r="JCR16" s="476"/>
      <c r="JCS16" s="476"/>
      <c r="JCT16" s="476"/>
      <c r="JCU16" s="476"/>
      <c r="JCV16" s="476"/>
      <c r="JCW16" s="476"/>
      <c r="JCX16" s="476"/>
      <c r="JCY16" s="477"/>
      <c r="JCZ16" s="477"/>
      <c r="JDA16" s="463"/>
      <c r="JDB16" s="475"/>
      <c r="JDC16" s="476"/>
      <c r="JDD16" s="476"/>
      <c r="JDE16" s="476"/>
      <c r="JDF16" s="476"/>
      <c r="JDG16" s="476"/>
      <c r="JDH16" s="476"/>
      <c r="JDI16" s="476"/>
      <c r="JDJ16" s="476"/>
      <c r="JDK16" s="476"/>
      <c r="JDL16" s="476"/>
      <c r="JDM16" s="476"/>
      <c r="JDN16" s="476"/>
      <c r="JDO16" s="477"/>
      <c r="JDP16" s="477"/>
      <c r="JDQ16" s="463"/>
      <c r="JDR16" s="475"/>
      <c r="JDS16" s="476"/>
      <c r="JDT16" s="476"/>
      <c r="JDU16" s="476"/>
      <c r="JDV16" s="476"/>
      <c r="JDW16" s="476"/>
      <c r="JDX16" s="476"/>
      <c r="JDY16" s="476"/>
      <c r="JDZ16" s="476"/>
      <c r="JEA16" s="476"/>
      <c r="JEB16" s="476"/>
      <c r="JEC16" s="476"/>
      <c r="JED16" s="476"/>
      <c r="JEE16" s="477"/>
      <c r="JEF16" s="477"/>
      <c r="JEG16" s="463"/>
      <c r="JEH16" s="475"/>
      <c r="JEI16" s="476"/>
      <c r="JEJ16" s="476"/>
      <c r="JEK16" s="476"/>
      <c r="JEL16" s="476"/>
      <c r="JEM16" s="476"/>
      <c r="JEN16" s="476"/>
      <c r="JEO16" s="476"/>
      <c r="JEP16" s="476"/>
      <c r="JEQ16" s="476"/>
      <c r="JER16" s="476"/>
      <c r="JES16" s="476"/>
      <c r="JET16" s="476"/>
      <c r="JEU16" s="477"/>
      <c r="JEV16" s="477"/>
      <c r="JEW16" s="463"/>
      <c r="JEX16" s="475"/>
      <c r="JEY16" s="476"/>
      <c r="JEZ16" s="476"/>
      <c r="JFA16" s="476"/>
      <c r="JFB16" s="476"/>
      <c r="JFC16" s="476"/>
      <c r="JFD16" s="476"/>
      <c r="JFE16" s="476"/>
      <c r="JFF16" s="476"/>
      <c r="JFG16" s="476"/>
      <c r="JFH16" s="476"/>
      <c r="JFI16" s="476"/>
      <c r="JFJ16" s="476"/>
      <c r="JFK16" s="477"/>
      <c r="JFL16" s="477"/>
      <c r="JFM16" s="463"/>
      <c r="JFN16" s="475"/>
      <c r="JFO16" s="476"/>
      <c r="JFP16" s="476"/>
      <c r="JFQ16" s="476"/>
      <c r="JFR16" s="476"/>
      <c r="JFS16" s="476"/>
      <c r="JFT16" s="476"/>
      <c r="JFU16" s="476"/>
      <c r="JFV16" s="476"/>
      <c r="JFW16" s="476"/>
      <c r="JFX16" s="476"/>
      <c r="JFY16" s="476"/>
      <c r="JFZ16" s="476"/>
      <c r="JGA16" s="477"/>
      <c r="JGB16" s="477"/>
      <c r="JGC16" s="463"/>
      <c r="JGD16" s="475"/>
      <c r="JGE16" s="476"/>
      <c r="JGF16" s="476"/>
      <c r="JGG16" s="476"/>
      <c r="JGH16" s="476"/>
      <c r="JGI16" s="476"/>
      <c r="JGJ16" s="476"/>
      <c r="JGK16" s="476"/>
      <c r="JGL16" s="476"/>
      <c r="JGM16" s="476"/>
      <c r="JGN16" s="476"/>
      <c r="JGO16" s="476"/>
      <c r="JGP16" s="476"/>
      <c r="JGQ16" s="477"/>
      <c r="JGR16" s="477"/>
      <c r="JGS16" s="463"/>
      <c r="JGT16" s="475"/>
      <c r="JGU16" s="476"/>
      <c r="JGV16" s="476"/>
      <c r="JGW16" s="476"/>
      <c r="JGX16" s="476"/>
      <c r="JGY16" s="476"/>
      <c r="JGZ16" s="476"/>
      <c r="JHA16" s="476"/>
      <c r="JHB16" s="476"/>
      <c r="JHC16" s="476"/>
      <c r="JHD16" s="476"/>
      <c r="JHE16" s="476"/>
      <c r="JHF16" s="476"/>
      <c r="JHG16" s="477"/>
      <c r="JHH16" s="477"/>
      <c r="JHI16" s="463"/>
      <c r="JHJ16" s="475"/>
      <c r="JHK16" s="476"/>
      <c r="JHL16" s="476"/>
      <c r="JHM16" s="476"/>
      <c r="JHN16" s="476"/>
      <c r="JHO16" s="476"/>
      <c r="JHP16" s="476"/>
      <c r="JHQ16" s="476"/>
      <c r="JHR16" s="476"/>
      <c r="JHS16" s="476"/>
      <c r="JHT16" s="476"/>
      <c r="JHU16" s="476"/>
      <c r="JHV16" s="476"/>
      <c r="JHW16" s="477"/>
      <c r="JHX16" s="477"/>
      <c r="JHY16" s="463"/>
      <c r="JHZ16" s="475"/>
      <c r="JIA16" s="476"/>
      <c r="JIB16" s="476"/>
      <c r="JIC16" s="476"/>
      <c r="JID16" s="476"/>
      <c r="JIE16" s="476"/>
      <c r="JIF16" s="476"/>
      <c r="JIG16" s="476"/>
      <c r="JIH16" s="476"/>
      <c r="JII16" s="476"/>
      <c r="JIJ16" s="476"/>
      <c r="JIK16" s="476"/>
      <c r="JIL16" s="476"/>
      <c r="JIM16" s="477"/>
      <c r="JIN16" s="477"/>
      <c r="JIO16" s="463"/>
      <c r="JIP16" s="475"/>
      <c r="JIQ16" s="476"/>
      <c r="JIR16" s="476"/>
      <c r="JIS16" s="476"/>
      <c r="JIT16" s="476"/>
      <c r="JIU16" s="476"/>
      <c r="JIV16" s="476"/>
      <c r="JIW16" s="476"/>
      <c r="JIX16" s="476"/>
      <c r="JIY16" s="476"/>
      <c r="JIZ16" s="476"/>
      <c r="JJA16" s="476"/>
      <c r="JJB16" s="476"/>
      <c r="JJC16" s="477"/>
      <c r="JJD16" s="477"/>
      <c r="JJE16" s="463"/>
      <c r="JJF16" s="475"/>
      <c r="JJG16" s="476"/>
      <c r="JJH16" s="476"/>
      <c r="JJI16" s="476"/>
      <c r="JJJ16" s="476"/>
      <c r="JJK16" s="476"/>
      <c r="JJL16" s="476"/>
      <c r="JJM16" s="476"/>
      <c r="JJN16" s="476"/>
      <c r="JJO16" s="476"/>
      <c r="JJP16" s="476"/>
      <c r="JJQ16" s="476"/>
      <c r="JJR16" s="476"/>
      <c r="JJS16" s="477"/>
      <c r="JJT16" s="477"/>
      <c r="JJU16" s="463"/>
      <c r="JJV16" s="475"/>
      <c r="JJW16" s="476"/>
      <c r="JJX16" s="476"/>
      <c r="JJY16" s="476"/>
      <c r="JJZ16" s="476"/>
      <c r="JKA16" s="476"/>
      <c r="JKB16" s="476"/>
      <c r="JKC16" s="476"/>
      <c r="JKD16" s="476"/>
      <c r="JKE16" s="476"/>
      <c r="JKF16" s="476"/>
      <c r="JKG16" s="476"/>
      <c r="JKH16" s="476"/>
      <c r="JKI16" s="477"/>
      <c r="JKJ16" s="477"/>
      <c r="JKK16" s="463"/>
      <c r="JKL16" s="475"/>
      <c r="JKM16" s="476"/>
      <c r="JKN16" s="476"/>
      <c r="JKO16" s="476"/>
      <c r="JKP16" s="476"/>
      <c r="JKQ16" s="476"/>
      <c r="JKR16" s="476"/>
      <c r="JKS16" s="476"/>
      <c r="JKT16" s="476"/>
      <c r="JKU16" s="476"/>
      <c r="JKV16" s="476"/>
      <c r="JKW16" s="476"/>
      <c r="JKX16" s="476"/>
      <c r="JKY16" s="477"/>
      <c r="JKZ16" s="477"/>
      <c r="JLA16" s="463"/>
      <c r="JLB16" s="475"/>
      <c r="JLC16" s="476"/>
      <c r="JLD16" s="476"/>
      <c r="JLE16" s="476"/>
      <c r="JLF16" s="476"/>
      <c r="JLG16" s="476"/>
      <c r="JLH16" s="476"/>
      <c r="JLI16" s="476"/>
      <c r="JLJ16" s="476"/>
      <c r="JLK16" s="476"/>
      <c r="JLL16" s="476"/>
      <c r="JLM16" s="476"/>
      <c r="JLN16" s="476"/>
      <c r="JLO16" s="477"/>
      <c r="JLP16" s="477"/>
      <c r="JLQ16" s="463"/>
      <c r="JLR16" s="475"/>
      <c r="JLS16" s="476"/>
      <c r="JLT16" s="476"/>
      <c r="JLU16" s="476"/>
      <c r="JLV16" s="476"/>
      <c r="JLW16" s="476"/>
      <c r="JLX16" s="476"/>
      <c r="JLY16" s="476"/>
      <c r="JLZ16" s="476"/>
      <c r="JMA16" s="476"/>
      <c r="JMB16" s="476"/>
      <c r="JMC16" s="476"/>
      <c r="JMD16" s="476"/>
      <c r="JME16" s="477"/>
      <c r="JMF16" s="477"/>
      <c r="JMG16" s="463"/>
      <c r="JMH16" s="475"/>
      <c r="JMI16" s="476"/>
      <c r="JMJ16" s="476"/>
      <c r="JMK16" s="476"/>
      <c r="JML16" s="476"/>
      <c r="JMM16" s="476"/>
      <c r="JMN16" s="476"/>
      <c r="JMO16" s="476"/>
      <c r="JMP16" s="476"/>
      <c r="JMQ16" s="476"/>
      <c r="JMR16" s="476"/>
      <c r="JMS16" s="476"/>
      <c r="JMT16" s="476"/>
      <c r="JMU16" s="477"/>
      <c r="JMV16" s="477"/>
      <c r="JMW16" s="463"/>
      <c r="JMX16" s="475"/>
      <c r="JMY16" s="476"/>
      <c r="JMZ16" s="476"/>
      <c r="JNA16" s="476"/>
      <c r="JNB16" s="476"/>
      <c r="JNC16" s="476"/>
      <c r="JND16" s="476"/>
      <c r="JNE16" s="476"/>
      <c r="JNF16" s="476"/>
      <c r="JNG16" s="476"/>
      <c r="JNH16" s="476"/>
      <c r="JNI16" s="476"/>
      <c r="JNJ16" s="476"/>
      <c r="JNK16" s="477"/>
      <c r="JNL16" s="477"/>
      <c r="JNM16" s="463"/>
      <c r="JNN16" s="475"/>
      <c r="JNO16" s="476"/>
      <c r="JNP16" s="476"/>
      <c r="JNQ16" s="476"/>
      <c r="JNR16" s="476"/>
      <c r="JNS16" s="476"/>
      <c r="JNT16" s="476"/>
      <c r="JNU16" s="476"/>
      <c r="JNV16" s="476"/>
      <c r="JNW16" s="476"/>
      <c r="JNX16" s="476"/>
      <c r="JNY16" s="476"/>
      <c r="JNZ16" s="476"/>
      <c r="JOA16" s="477"/>
      <c r="JOB16" s="477"/>
      <c r="JOC16" s="463"/>
      <c r="JOD16" s="475"/>
      <c r="JOE16" s="476"/>
      <c r="JOF16" s="476"/>
      <c r="JOG16" s="476"/>
      <c r="JOH16" s="476"/>
      <c r="JOI16" s="476"/>
      <c r="JOJ16" s="476"/>
      <c r="JOK16" s="476"/>
      <c r="JOL16" s="476"/>
      <c r="JOM16" s="476"/>
      <c r="JON16" s="476"/>
      <c r="JOO16" s="476"/>
      <c r="JOP16" s="476"/>
      <c r="JOQ16" s="477"/>
      <c r="JOR16" s="477"/>
      <c r="JOS16" s="463"/>
      <c r="JOT16" s="475"/>
      <c r="JOU16" s="476"/>
      <c r="JOV16" s="476"/>
      <c r="JOW16" s="476"/>
      <c r="JOX16" s="476"/>
      <c r="JOY16" s="476"/>
      <c r="JOZ16" s="476"/>
      <c r="JPA16" s="476"/>
      <c r="JPB16" s="476"/>
      <c r="JPC16" s="476"/>
      <c r="JPD16" s="476"/>
      <c r="JPE16" s="476"/>
      <c r="JPF16" s="476"/>
      <c r="JPG16" s="477"/>
      <c r="JPH16" s="477"/>
      <c r="JPI16" s="463"/>
      <c r="JPJ16" s="475"/>
      <c r="JPK16" s="476"/>
      <c r="JPL16" s="476"/>
      <c r="JPM16" s="476"/>
      <c r="JPN16" s="476"/>
      <c r="JPO16" s="476"/>
      <c r="JPP16" s="476"/>
      <c r="JPQ16" s="476"/>
      <c r="JPR16" s="476"/>
      <c r="JPS16" s="476"/>
      <c r="JPT16" s="476"/>
      <c r="JPU16" s="476"/>
      <c r="JPV16" s="476"/>
      <c r="JPW16" s="477"/>
      <c r="JPX16" s="477"/>
      <c r="JPY16" s="463"/>
      <c r="JPZ16" s="475"/>
      <c r="JQA16" s="476"/>
      <c r="JQB16" s="476"/>
      <c r="JQC16" s="476"/>
      <c r="JQD16" s="476"/>
      <c r="JQE16" s="476"/>
      <c r="JQF16" s="476"/>
      <c r="JQG16" s="476"/>
      <c r="JQH16" s="476"/>
      <c r="JQI16" s="476"/>
      <c r="JQJ16" s="476"/>
      <c r="JQK16" s="476"/>
      <c r="JQL16" s="476"/>
      <c r="JQM16" s="477"/>
      <c r="JQN16" s="477"/>
      <c r="JQO16" s="463"/>
      <c r="JQP16" s="475"/>
      <c r="JQQ16" s="476"/>
      <c r="JQR16" s="476"/>
      <c r="JQS16" s="476"/>
      <c r="JQT16" s="476"/>
      <c r="JQU16" s="476"/>
      <c r="JQV16" s="476"/>
      <c r="JQW16" s="476"/>
      <c r="JQX16" s="476"/>
      <c r="JQY16" s="476"/>
      <c r="JQZ16" s="476"/>
      <c r="JRA16" s="476"/>
      <c r="JRB16" s="476"/>
      <c r="JRC16" s="477"/>
      <c r="JRD16" s="477"/>
      <c r="JRE16" s="463"/>
      <c r="JRF16" s="475"/>
      <c r="JRG16" s="476"/>
      <c r="JRH16" s="476"/>
      <c r="JRI16" s="476"/>
      <c r="JRJ16" s="476"/>
      <c r="JRK16" s="476"/>
      <c r="JRL16" s="476"/>
      <c r="JRM16" s="476"/>
      <c r="JRN16" s="476"/>
      <c r="JRO16" s="476"/>
      <c r="JRP16" s="476"/>
      <c r="JRQ16" s="476"/>
      <c r="JRR16" s="476"/>
      <c r="JRS16" s="477"/>
      <c r="JRT16" s="477"/>
      <c r="JRU16" s="463"/>
      <c r="JRV16" s="475"/>
      <c r="JRW16" s="476"/>
      <c r="JRX16" s="476"/>
      <c r="JRY16" s="476"/>
      <c r="JRZ16" s="476"/>
      <c r="JSA16" s="476"/>
      <c r="JSB16" s="476"/>
      <c r="JSC16" s="476"/>
      <c r="JSD16" s="476"/>
      <c r="JSE16" s="476"/>
      <c r="JSF16" s="476"/>
      <c r="JSG16" s="476"/>
      <c r="JSH16" s="476"/>
      <c r="JSI16" s="477"/>
      <c r="JSJ16" s="477"/>
      <c r="JSK16" s="463"/>
      <c r="JSL16" s="475"/>
      <c r="JSM16" s="476"/>
      <c r="JSN16" s="476"/>
      <c r="JSO16" s="476"/>
      <c r="JSP16" s="476"/>
      <c r="JSQ16" s="476"/>
      <c r="JSR16" s="476"/>
      <c r="JSS16" s="476"/>
      <c r="JST16" s="476"/>
      <c r="JSU16" s="476"/>
      <c r="JSV16" s="476"/>
      <c r="JSW16" s="476"/>
      <c r="JSX16" s="476"/>
      <c r="JSY16" s="477"/>
      <c r="JSZ16" s="477"/>
      <c r="JTA16" s="463"/>
      <c r="JTB16" s="475"/>
      <c r="JTC16" s="476"/>
      <c r="JTD16" s="476"/>
      <c r="JTE16" s="476"/>
      <c r="JTF16" s="476"/>
      <c r="JTG16" s="476"/>
      <c r="JTH16" s="476"/>
      <c r="JTI16" s="476"/>
      <c r="JTJ16" s="476"/>
      <c r="JTK16" s="476"/>
      <c r="JTL16" s="476"/>
      <c r="JTM16" s="476"/>
      <c r="JTN16" s="476"/>
      <c r="JTO16" s="477"/>
      <c r="JTP16" s="477"/>
      <c r="JTQ16" s="463"/>
      <c r="JTR16" s="475"/>
      <c r="JTS16" s="476"/>
      <c r="JTT16" s="476"/>
      <c r="JTU16" s="476"/>
      <c r="JTV16" s="476"/>
      <c r="JTW16" s="476"/>
      <c r="JTX16" s="476"/>
      <c r="JTY16" s="476"/>
      <c r="JTZ16" s="476"/>
      <c r="JUA16" s="476"/>
      <c r="JUB16" s="476"/>
      <c r="JUC16" s="476"/>
      <c r="JUD16" s="476"/>
      <c r="JUE16" s="477"/>
      <c r="JUF16" s="477"/>
      <c r="JUG16" s="463"/>
      <c r="JUH16" s="475"/>
      <c r="JUI16" s="476"/>
      <c r="JUJ16" s="476"/>
      <c r="JUK16" s="476"/>
      <c r="JUL16" s="476"/>
      <c r="JUM16" s="476"/>
      <c r="JUN16" s="476"/>
      <c r="JUO16" s="476"/>
      <c r="JUP16" s="476"/>
      <c r="JUQ16" s="476"/>
      <c r="JUR16" s="476"/>
      <c r="JUS16" s="476"/>
      <c r="JUT16" s="476"/>
      <c r="JUU16" s="477"/>
      <c r="JUV16" s="477"/>
      <c r="JUW16" s="463"/>
      <c r="JUX16" s="475"/>
      <c r="JUY16" s="476"/>
      <c r="JUZ16" s="476"/>
      <c r="JVA16" s="476"/>
      <c r="JVB16" s="476"/>
      <c r="JVC16" s="476"/>
      <c r="JVD16" s="476"/>
      <c r="JVE16" s="476"/>
      <c r="JVF16" s="476"/>
      <c r="JVG16" s="476"/>
      <c r="JVH16" s="476"/>
      <c r="JVI16" s="476"/>
      <c r="JVJ16" s="476"/>
      <c r="JVK16" s="477"/>
      <c r="JVL16" s="477"/>
      <c r="JVM16" s="463"/>
      <c r="JVN16" s="475"/>
      <c r="JVO16" s="476"/>
      <c r="JVP16" s="476"/>
      <c r="JVQ16" s="476"/>
      <c r="JVR16" s="476"/>
      <c r="JVS16" s="476"/>
      <c r="JVT16" s="476"/>
      <c r="JVU16" s="476"/>
      <c r="JVV16" s="476"/>
      <c r="JVW16" s="476"/>
      <c r="JVX16" s="476"/>
      <c r="JVY16" s="476"/>
      <c r="JVZ16" s="476"/>
      <c r="JWA16" s="477"/>
      <c r="JWB16" s="477"/>
      <c r="JWC16" s="463"/>
      <c r="JWD16" s="475"/>
      <c r="JWE16" s="476"/>
      <c r="JWF16" s="476"/>
      <c r="JWG16" s="476"/>
      <c r="JWH16" s="476"/>
      <c r="JWI16" s="476"/>
      <c r="JWJ16" s="476"/>
      <c r="JWK16" s="476"/>
      <c r="JWL16" s="476"/>
      <c r="JWM16" s="476"/>
      <c r="JWN16" s="476"/>
      <c r="JWO16" s="476"/>
      <c r="JWP16" s="476"/>
      <c r="JWQ16" s="477"/>
      <c r="JWR16" s="477"/>
      <c r="JWS16" s="463"/>
      <c r="JWT16" s="475"/>
      <c r="JWU16" s="476"/>
      <c r="JWV16" s="476"/>
      <c r="JWW16" s="476"/>
      <c r="JWX16" s="476"/>
      <c r="JWY16" s="476"/>
      <c r="JWZ16" s="476"/>
      <c r="JXA16" s="476"/>
      <c r="JXB16" s="476"/>
      <c r="JXC16" s="476"/>
      <c r="JXD16" s="476"/>
      <c r="JXE16" s="476"/>
      <c r="JXF16" s="476"/>
      <c r="JXG16" s="477"/>
      <c r="JXH16" s="477"/>
      <c r="JXI16" s="463"/>
      <c r="JXJ16" s="475"/>
      <c r="JXK16" s="476"/>
      <c r="JXL16" s="476"/>
      <c r="JXM16" s="476"/>
      <c r="JXN16" s="476"/>
      <c r="JXO16" s="476"/>
      <c r="JXP16" s="476"/>
      <c r="JXQ16" s="476"/>
      <c r="JXR16" s="476"/>
      <c r="JXS16" s="476"/>
      <c r="JXT16" s="476"/>
      <c r="JXU16" s="476"/>
      <c r="JXV16" s="476"/>
      <c r="JXW16" s="477"/>
      <c r="JXX16" s="477"/>
      <c r="JXY16" s="463"/>
      <c r="JXZ16" s="475"/>
      <c r="JYA16" s="476"/>
      <c r="JYB16" s="476"/>
      <c r="JYC16" s="476"/>
      <c r="JYD16" s="476"/>
      <c r="JYE16" s="476"/>
      <c r="JYF16" s="476"/>
      <c r="JYG16" s="476"/>
      <c r="JYH16" s="476"/>
      <c r="JYI16" s="476"/>
      <c r="JYJ16" s="476"/>
      <c r="JYK16" s="476"/>
      <c r="JYL16" s="476"/>
      <c r="JYM16" s="477"/>
      <c r="JYN16" s="477"/>
      <c r="JYO16" s="463"/>
      <c r="JYP16" s="475"/>
      <c r="JYQ16" s="476"/>
      <c r="JYR16" s="476"/>
      <c r="JYS16" s="476"/>
      <c r="JYT16" s="476"/>
      <c r="JYU16" s="476"/>
      <c r="JYV16" s="476"/>
      <c r="JYW16" s="476"/>
      <c r="JYX16" s="476"/>
      <c r="JYY16" s="476"/>
      <c r="JYZ16" s="476"/>
      <c r="JZA16" s="476"/>
      <c r="JZB16" s="476"/>
      <c r="JZC16" s="477"/>
      <c r="JZD16" s="477"/>
      <c r="JZE16" s="463"/>
      <c r="JZF16" s="475"/>
      <c r="JZG16" s="476"/>
      <c r="JZH16" s="476"/>
      <c r="JZI16" s="476"/>
      <c r="JZJ16" s="476"/>
      <c r="JZK16" s="476"/>
      <c r="JZL16" s="476"/>
      <c r="JZM16" s="476"/>
      <c r="JZN16" s="476"/>
      <c r="JZO16" s="476"/>
      <c r="JZP16" s="476"/>
      <c r="JZQ16" s="476"/>
      <c r="JZR16" s="476"/>
      <c r="JZS16" s="477"/>
      <c r="JZT16" s="477"/>
      <c r="JZU16" s="463"/>
      <c r="JZV16" s="475"/>
      <c r="JZW16" s="476"/>
      <c r="JZX16" s="476"/>
      <c r="JZY16" s="476"/>
      <c r="JZZ16" s="476"/>
      <c r="KAA16" s="476"/>
      <c r="KAB16" s="476"/>
      <c r="KAC16" s="476"/>
      <c r="KAD16" s="476"/>
      <c r="KAE16" s="476"/>
      <c r="KAF16" s="476"/>
      <c r="KAG16" s="476"/>
      <c r="KAH16" s="476"/>
      <c r="KAI16" s="477"/>
      <c r="KAJ16" s="477"/>
      <c r="KAK16" s="463"/>
      <c r="KAL16" s="475"/>
      <c r="KAM16" s="476"/>
      <c r="KAN16" s="476"/>
      <c r="KAO16" s="476"/>
      <c r="KAP16" s="476"/>
      <c r="KAQ16" s="476"/>
      <c r="KAR16" s="476"/>
      <c r="KAS16" s="476"/>
      <c r="KAT16" s="476"/>
      <c r="KAU16" s="476"/>
      <c r="KAV16" s="476"/>
      <c r="KAW16" s="476"/>
      <c r="KAX16" s="476"/>
      <c r="KAY16" s="477"/>
      <c r="KAZ16" s="477"/>
      <c r="KBA16" s="463"/>
      <c r="KBB16" s="475"/>
      <c r="KBC16" s="476"/>
      <c r="KBD16" s="476"/>
      <c r="KBE16" s="476"/>
      <c r="KBF16" s="476"/>
      <c r="KBG16" s="476"/>
      <c r="KBH16" s="476"/>
      <c r="KBI16" s="476"/>
      <c r="KBJ16" s="476"/>
      <c r="KBK16" s="476"/>
      <c r="KBL16" s="476"/>
      <c r="KBM16" s="476"/>
      <c r="KBN16" s="476"/>
      <c r="KBO16" s="477"/>
      <c r="KBP16" s="477"/>
      <c r="KBQ16" s="463"/>
      <c r="KBR16" s="475"/>
      <c r="KBS16" s="476"/>
      <c r="KBT16" s="476"/>
      <c r="KBU16" s="476"/>
      <c r="KBV16" s="476"/>
      <c r="KBW16" s="476"/>
      <c r="KBX16" s="476"/>
      <c r="KBY16" s="476"/>
      <c r="KBZ16" s="476"/>
      <c r="KCA16" s="476"/>
      <c r="KCB16" s="476"/>
      <c r="KCC16" s="476"/>
      <c r="KCD16" s="476"/>
      <c r="KCE16" s="477"/>
      <c r="KCF16" s="477"/>
      <c r="KCG16" s="463"/>
      <c r="KCH16" s="475"/>
      <c r="KCI16" s="476"/>
      <c r="KCJ16" s="476"/>
      <c r="KCK16" s="476"/>
      <c r="KCL16" s="476"/>
      <c r="KCM16" s="476"/>
      <c r="KCN16" s="476"/>
      <c r="KCO16" s="476"/>
      <c r="KCP16" s="476"/>
      <c r="KCQ16" s="476"/>
      <c r="KCR16" s="476"/>
      <c r="KCS16" s="476"/>
      <c r="KCT16" s="476"/>
      <c r="KCU16" s="477"/>
      <c r="KCV16" s="477"/>
      <c r="KCW16" s="463"/>
      <c r="KCX16" s="475"/>
      <c r="KCY16" s="476"/>
      <c r="KCZ16" s="476"/>
      <c r="KDA16" s="476"/>
      <c r="KDB16" s="476"/>
      <c r="KDC16" s="476"/>
      <c r="KDD16" s="476"/>
      <c r="KDE16" s="476"/>
      <c r="KDF16" s="476"/>
      <c r="KDG16" s="476"/>
      <c r="KDH16" s="476"/>
      <c r="KDI16" s="476"/>
      <c r="KDJ16" s="476"/>
      <c r="KDK16" s="477"/>
      <c r="KDL16" s="477"/>
      <c r="KDM16" s="463"/>
      <c r="KDN16" s="475"/>
      <c r="KDO16" s="476"/>
      <c r="KDP16" s="476"/>
      <c r="KDQ16" s="476"/>
      <c r="KDR16" s="476"/>
      <c r="KDS16" s="476"/>
      <c r="KDT16" s="476"/>
      <c r="KDU16" s="476"/>
      <c r="KDV16" s="476"/>
      <c r="KDW16" s="476"/>
      <c r="KDX16" s="476"/>
      <c r="KDY16" s="476"/>
      <c r="KDZ16" s="476"/>
      <c r="KEA16" s="477"/>
      <c r="KEB16" s="477"/>
      <c r="KEC16" s="463"/>
      <c r="KED16" s="475"/>
      <c r="KEE16" s="476"/>
      <c r="KEF16" s="476"/>
      <c r="KEG16" s="476"/>
      <c r="KEH16" s="476"/>
      <c r="KEI16" s="476"/>
      <c r="KEJ16" s="476"/>
      <c r="KEK16" s="476"/>
      <c r="KEL16" s="476"/>
      <c r="KEM16" s="476"/>
      <c r="KEN16" s="476"/>
      <c r="KEO16" s="476"/>
      <c r="KEP16" s="476"/>
      <c r="KEQ16" s="477"/>
      <c r="KER16" s="477"/>
      <c r="KES16" s="463"/>
      <c r="KET16" s="475"/>
      <c r="KEU16" s="476"/>
      <c r="KEV16" s="476"/>
      <c r="KEW16" s="476"/>
      <c r="KEX16" s="476"/>
      <c r="KEY16" s="476"/>
      <c r="KEZ16" s="476"/>
      <c r="KFA16" s="476"/>
      <c r="KFB16" s="476"/>
      <c r="KFC16" s="476"/>
      <c r="KFD16" s="476"/>
      <c r="KFE16" s="476"/>
      <c r="KFF16" s="476"/>
      <c r="KFG16" s="477"/>
      <c r="KFH16" s="477"/>
      <c r="KFI16" s="463"/>
      <c r="KFJ16" s="475"/>
      <c r="KFK16" s="476"/>
      <c r="KFL16" s="476"/>
      <c r="KFM16" s="476"/>
      <c r="KFN16" s="476"/>
      <c r="KFO16" s="476"/>
      <c r="KFP16" s="476"/>
      <c r="KFQ16" s="476"/>
      <c r="KFR16" s="476"/>
      <c r="KFS16" s="476"/>
      <c r="KFT16" s="476"/>
      <c r="KFU16" s="476"/>
      <c r="KFV16" s="476"/>
      <c r="KFW16" s="477"/>
      <c r="KFX16" s="477"/>
      <c r="KFY16" s="463"/>
      <c r="KFZ16" s="475"/>
      <c r="KGA16" s="476"/>
      <c r="KGB16" s="476"/>
      <c r="KGC16" s="476"/>
      <c r="KGD16" s="476"/>
      <c r="KGE16" s="476"/>
      <c r="KGF16" s="476"/>
      <c r="KGG16" s="476"/>
      <c r="KGH16" s="476"/>
      <c r="KGI16" s="476"/>
      <c r="KGJ16" s="476"/>
      <c r="KGK16" s="476"/>
      <c r="KGL16" s="476"/>
      <c r="KGM16" s="477"/>
      <c r="KGN16" s="477"/>
      <c r="KGO16" s="463"/>
      <c r="KGP16" s="475"/>
      <c r="KGQ16" s="476"/>
      <c r="KGR16" s="476"/>
      <c r="KGS16" s="476"/>
      <c r="KGT16" s="476"/>
      <c r="KGU16" s="476"/>
      <c r="KGV16" s="476"/>
      <c r="KGW16" s="476"/>
      <c r="KGX16" s="476"/>
      <c r="KGY16" s="476"/>
      <c r="KGZ16" s="476"/>
      <c r="KHA16" s="476"/>
      <c r="KHB16" s="476"/>
      <c r="KHC16" s="477"/>
      <c r="KHD16" s="477"/>
      <c r="KHE16" s="463"/>
      <c r="KHF16" s="475"/>
      <c r="KHG16" s="476"/>
      <c r="KHH16" s="476"/>
      <c r="KHI16" s="476"/>
      <c r="KHJ16" s="476"/>
      <c r="KHK16" s="476"/>
      <c r="KHL16" s="476"/>
      <c r="KHM16" s="476"/>
      <c r="KHN16" s="476"/>
      <c r="KHO16" s="476"/>
      <c r="KHP16" s="476"/>
      <c r="KHQ16" s="476"/>
      <c r="KHR16" s="476"/>
      <c r="KHS16" s="477"/>
      <c r="KHT16" s="477"/>
      <c r="KHU16" s="463"/>
      <c r="KHV16" s="475"/>
      <c r="KHW16" s="476"/>
      <c r="KHX16" s="476"/>
      <c r="KHY16" s="476"/>
      <c r="KHZ16" s="476"/>
      <c r="KIA16" s="476"/>
      <c r="KIB16" s="476"/>
      <c r="KIC16" s="476"/>
      <c r="KID16" s="476"/>
      <c r="KIE16" s="476"/>
      <c r="KIF16" s="476"/>
      <c r="KIG16" s="476"/>
      <c r="KIH16" s="476"/>
      <c r="KII16" s="477"/>
      <c r="KIJ16" s="477"/>
      <c r="KIK16" s="463"/>
      <c r="KIL16" s="475"/>
      <c r="KIM16" s="476"/>
      <c r="KIN16" s="476"/>
      <c r="KIO16" s="476"/>
      <c r="KIP16" s="476"/>
      <c r="KIQ16" s="476"/>
      <c r="KIR16" s="476"/>
      <c r="KIS16" s="476"/>
      <c r="KIT16" s="476"/>
      <c r="KIU16" s="476"/>
      <c r="KIV16" s="476"/>
      <c r="KIW16" s="476"/>
      <c r="KIX16" s="476"/>
      <c r="KIY16" s="477"/>
      <c r="KIZ16" s="477"/>
      <c r="KJA16" s="463"/>
      <c r="KJB16" s="475"/>
      <c r="KJC16" s="476"/>
      <c r="KJD16" s="476"/>
      <c r="KJE16" s="476"/>
      <c r="KJF16" s="476"/>
      <c r="KJG16" s="476"/>
      <c r="KJH16" s="476"/>
      <c r="KJI16" s="476"/>
      <c r="KJJ16" s="476"/>
      <c r="KJK16" s="476"/>
      <c r="KJL16" s="476"/>
      <c r="KJM16" s="476"/>
      <c r="KJN16" s="476"/>
      <c r="KJO16" s="477"/>
      <c r="KJP16" s="477"/>
      <c r="KJQ16" s="463"/>
      <c r="KJR16" s="475"/>
      <c r="KJS16" s="476"/>
      <c r="KJT16" s="476"/>
      <c r="KJU16" s="476"/>
      <c r="KJV16" s="476"/>
      <c r="KJW16" s="476"/>
      <c r="KJX16" s="476"/>
      <c r="KJY16" s="476"/>
      <c r="KJZ16" s="476"/>
      <c r="KKA16" s="476"/>
      <c r="KKB16" s="476"/>
      <c r="KKC16" s="476"/>
      <c r="KKD16" s="476"/>
      <c r="KKE16" s="477"/>
      <c r="KKF16" s="477"/>
      <c r="KKG16" s="463"/>
      <c r="KKH16" s="475"/>
      <c r="KKI16" s="476"/>
      <c r="KKJ16" s="476"/>
      <c r="KKK16" s="476"/>
      <c r="KKL16" s="476"/>
      <c r="KKM16" s="476"/>
      <c r="KKN16" s="476"/>
      <c r="KKO16" s="476"/>
      <c r="KKP16" s="476"/>
      <c r="KKQ16" s="476"/>
      <c r="KKR16" s="476"/>
      <c r="KKS16" s="476"/>
      <c r="KKT16" s="476"/>
      <c r="KKU16" s="477"/>
      <c r="KKV16" s="477"/>
      <c r="KKW16" s="463"/>
      <c r="KKX16" s="475"/>
      <c r="KKY16" s="476"/>
      <c r="KKZ16" s="476"/>
      <c r="KLA16" s="476"/>
      <c r="KLB16" s="476"/>
      <c r="KLC16" s="476"/>
      <c r="KLD16" s="476"/>
      <c r="KLE16" s="476"/>
      <c r="KLF16" s="476"/>
      <c r="KLG16" s="476"/>
      <c r="KLH16" s="476"/>
      <c r="KLI16" s="476"/>
      <c r="KLJ16" s="476"/>
      <c r="KLK16" s="477"/>
      <c r="KLL16" s="477"/>
      <c r="KLM16" s="463"/>
      <c r="KLN16" s="475"/>
      <c r="KLO16" s="476"/>
      <c r="KLP16" s="476"/>
      <c r="KLQ16" s="476"/>
      <c r="KLR16" s="476"/>
      <c r="KLS16" s="476"/>
      <c r="KLT16" s="476"/>
      <c r="KLU16" s="476"/>
      <c r="KLV16" s="476"/>
      <c r="KLW16" s="476"/>
      <c r="KLX16" s="476"/>
      <c r="KLY16" s="476"/>
      <c r="KLZ16" s="476"/>
      <c r="KMA16" s="477"/>
      <c r="KMB16" s="477"/>
      <c r="KMC16" s="463"/>
      <c r="KMD16" s="475"/>
      <c r="KME16" s="476"/>
      <c r="KMF16" s="476"/>
      <c r="KMG16" s="476"/>
      <c r="KMH16" s="476"/>
      <c r="KMI16" s="476"/>
      <c r="KMJ16" s="476"/>
      <c r="KMK16" s="476"/>
      <c r="KML16" s="476"/>
      <c r="KMM16" s="476"/>
      <c r="KMN16" s="476"/>
      <c r="KMO16" s="476"/>
      <c r="KMP16" s="476"/>
      <c r="KMQ16" s="477"/>
      <c r="KMR16" s="477"/>
      <c r="KMS16" s="463"/>
      <c r="KMT16" s="475"/>
      <c r="KMU16" s="476"/>
      <c r="KMV16" s="476"/>
      <c r="KMW16" s="476"/>
      <c r="KMX16" s="476"/>
      <c r="KMY16" s="476"/>
      <c r="KMZ16" s="476"/>
      <c r="KNA16" s="476"/>
      <c r="KNB16" s="476"/>
      <c r="KNC16" s="476"/>
      <c r="KND16" s="476"/>
      <c r="KNE16" s="476"/>
      <c r="KNF16" s="476"/>
      <c r="KNG16" s="477"/>
      <c r="KNH16" s="477"/>
      <c r="KNI16" s="463"/>
      <c r="KNJ16" s="475"/>
      <c r="KNK16" s="476"/>
      <c r="KNL16" s="476"/>
      <c r="KNM16" s="476"/>
      <c r="KNN16" s="476"/>
      <c r="KNO16" s="476"/>
      <c r="KNP16" s="476"/>
      <c r="KNQ16" s="476"/>
      <c r="KNR16" s="476"/>
      <c r="KNS16" s="476"/>
      <c r="KNT16" s="476"/>
      <c r="KNU16" s="476"/>
      <c r="KNV16" s="476"/>
      <c r="KNW16" s="477"/>
      <c r="KNX16" s="477"/>
      <c r="KNY16" s="463"/>
      <c r="KNZ16" s="475"/>
      <c r="KOA16" s="476"/>
      <c r="KOB16" s="476"/>
      <c r="KOC16" s="476"/>
      <c r="KOD16" s="476"/>
      <c r="KOE16" s="476"/>
      <c r="KOF16" s="476"/>
      <c r="KOG16" s="476"/>
      <c r="KOH16" s="476"/>
      <c r="KOI16" s="476"/>
      <c r="KOJ16" s="476"/>
      <c r="KOK16" s="476"/>
      <c r="KOL16" s="476"/>
      <c r="KOM16" s="477"/>
      <c r="KON16" s="477"/>
      <c r="KOO16" s="463"/>
      <c r="KOP16" s="475"/>
      <c r="KOQ16" s="476"/>
      <c r="KOR16" s="476"/>
      <c r="KOS16" s="476"/>
      <c r="KOT16" s="476"/>
      <c r="KOU16" s="476"/>
      <c r="KOV16" s="476"/>
      <c r="KOW16" s="476"/>
      <c r="KOX16" s="476"/>
      <c r="KOY16" s="476"/>
      <c r="KOZ16" s="476"/>
      <c r="KPA16" s="476"/>
      <c r="KPB16" s="476"/>
      <c r="KPC16" s="477"/>
      <c r="KPD16" s="477"/>
      <c r="KPE16" s="463"/>
      <c r="KPF16" s="475"/>
      <c r="KPG16" s="476"/>
      <c r="KPH16" s="476"/>
      <c r="KPI16" s="476"/>
      <c r="KPJ16" s="476"/>
      <c r="KPK16" s="476"/>
      <c r="KPL16" s="476"/>
      <c r="KPM16" s="476"/>
      <c r="KPN16" s="476"/>
      <c r="KPO16" s="476"/>
      <c r="KPP16" s="476"/>
      <c r="KPQ16" s="476"/>
      <c r="KPR16" s="476"/>
      <c r="KPS16" s="477"/>
      <c r="KPT16" s="477"/>
      <c r="KPU16" s="463"/>
      <c r="KPV16" s="475"/>
      <c r="KPW16" s="476"/>
      <c r="KPX16" s="476"/>
      <c r="KPY16" s="476"/>
      <c r="KPZ16" s="476"/>
      <c r="KQA16" s="476"/>
      <c r="KQB16" s="476"/>
      <c r="KQC16" s="476"/>
      <c r="KQD16" s="476"/>
      <c r="KQE16" s="476"/>
      <c r="KQF16" s="476"/>
      <c r="KQG16" s="476"/>
      <c r="KQH16" s="476"/>
      <c r="KQI16" s="477"/>
      <c r="KQJ16" s="477"/>
      <c r="KQK16" s="463"/>
      <c r="KQL16" s="475"/>
      <c r="KQM16" s="476"/>
      <c r="KQN16" s="476"/>
      <c r="KQO16" s="476"/>
      <c r="KQP16" s="476"/>
      <c r="KQQ16" s="476"/>
      <c r="KQR16" s="476"/>
      <c r="KQS16" s="476"/>
      <c r="KQT16" s="476"/>
      <c r="KQU16" s="476"/>
      <c r="KQV16" s="476"/>
      <c r="KQW16" s="476"/>
      <c r="KQX16" s="476"/>
      <c r="KQY16" s="477"/>
      <c r="KQZ16" s="477"/>
      <c r="KRA16" s="463"/>
      <c r="KRB16" s="475"/>
      <c r="KRC16" s="476"/>
      <c r="KRD16" s="476"/>
      <c r="KRE16" s="476"/>
      <c r="KRF16" s="476"/>
      <c r="KRG16" s="476"/>
      <c r="KRH16" s="476"/>
      <c r="KRI16" s="476"/>
      <c r="KRJ16" s="476"/>
      <c r="KRK16" s="476"/>
      <c r="KRL16" s="476"/>
      <c r="KRM16" s="476"/>
      <c r="KRN16" s="476"/>
      <c r="KRO16" s="477"/>
      <c r="KRP16" s="477"/>
      <c r="KRQ16" s="463"/>
      <c r="KRR16" s="475"/>
      <c r="KRS16" s="476"/>
      <c r="KRT16" s="476"/>
      <c r="KRU16" s="476"/>
      <c r="KRV16" s="476"/>
      <c r="KRW16" s="476"/>
      <c r="KRX16" s="476"/>
      <c r="KRY16" s="476"/>
      <c r="KRZ16" s="476"/>
      <c r="KSA16" s="476"/>
      <c r="KSB16" s="476"/>
      <c r="KSC16" s="476"/>
      <c r="KSD16" s="476"/>
      <c r="KSE16" s="477"/>
      <c r="KSF16" s="477"/>
      <c r="KSG16" s="463"/>
      <c r="KSH16" s="475"/>
      <c r="KSI16" s="476"/>
      <c r="KSJ16" s="476"/>
      <c r="KSK16" s="476"/>
      <c r="KSL16" s="476"/>
      <c r="KSM16" s="476"/>
      <c r="KSN16" s="476"/>
      <c r="KSO16" s="476"/>
      <c r="KSP16" s="476"/>
      <c r="KSQ16" s="476"/>
      <c r="KSR16" s="476"/>
      <c r="KSS16" s="476"/>
      <c r="KST16" s="476"/>
      <c r="KSU16" s="477"/>
      <c r="KSV16" s="477"/>
      <c r="KSW16" s="463"/>
      <c r="KSX16" s="475"/>
      <c r="KSY16" s="476"/>
      <c r="KSZ16" s="476"/>
      <c r="KTA16" s="476"/>
      <c r="KTB16" s="476"/>
      <c r="KTC16" s="476"/>
      <c r="KTD16" s="476"/>
      <c r="KTE16" s="476"/>
      <c r="KTF16" s="476"/>
      <c r="KTG16" s="476"/>
      <c r="KTH16" s="476"/>
      <c r="KTI16" s="476"/>
      <c r="KTJ16" s="476"/>
      <c r="KTK16" s="477"/>
      <c r="KTL16" s="477"/>
      <c r="KTM16" s="463"/>
      <c r="KTN16" s="475"/>
      <c r="KTO16" s="476"/>
      <c r="KTP16" s="476"/>
      <c r="KTQ16" s="476"/>
      <c r="KTR16" s="476"/>
      <c r="KTS16" s="476"/>
      <c r="KTT16" s="476"/>
      <c r="KTU16" s="476"/>
      <c r="KTV16" s="476"/>
      <c r="KTW16" s="476"/>
      <c r="KTX16" s="476"/>
      <c r="KTY16" s="476"/>
      <c r="KTZ16" s="476"/>
      <c r="KUA16" s="477"/>
      <c r="KUB16" s="477"/>
      <c r="KUC16" s="463"/>
      <c r="KUD16" s="475"/>
      <c r="KUE16" s="476"/>
      <c r="KUF16" s="476"/>
      <c r="KUG16" s="476"/>
      <c r="KUH16" s="476"/>
      <c r="KUI16" s="476"/>
      <c r="KUJ16" s="476"/>
      <c r="KUK16" s="476"/>
      <c r="KUL16" s="476"/>
      <c r="KUM16" s="476"/>
      <c r="KUN16" s="476"/>
      <c r="KUO16" s="476"/>
      <c r="KUP16" s="476"/>
      <c r="KUQ16" s="477"/>
      <c r="KUR16" s="477"/>
      <c r="KUS16" s="463"/>
      <c r="KUT16" s="475"/>
      <c r="KUU16" s="476"/>
      <c r="KUV16" s="476"/>
      <c r="KUW16" s="476"/>
      <c r="KUX16" s="476"/>
      <c r="KUY16" s="476"/>
      <c r="KUZ16" s="476"/>
      <c r="KVA16" s="476"/>
      <c r="KVB16" s="476"/>
      <c r="KVC16" s="476"/>
      <c r="KVD16" s="476"/>
      <c r="KVE16" s="476"/>
      <c r="KVF16" s="476"/>
      <c r="KVG16" s="477"/>
      <c r="KVH16" s="477"/>
      <c r="KVI16" s="463"/>
      <c r="KVJ16" s="475"/>
      <c r="KVK16" s="476"/>
      <c r="KVL16" s="476"/>
      <c r="KVM16" s="476"/>
      <c r="KVN16" s="476"/>
      <c r="KVO16" s="476"/>
      <c r="KVP16" s="476"/>
      <c r="KVQ16" s="476"/>
      <c r="KVR16" s="476"/>
      <c r="KVS16" s="476"/>
      <c r="KVT16" s="476"/>
      <c r="KVU16" s="476"/>
      <c r="KVV16" s="476"/>
      <c r="KVW16" s="477"/>
      <c r="KVX16" s="477"/>
      <c r="KVY16" s="463"/>
      <c r="KVZ16" s="475"/>
      <c r="KWA16" s="476"/>
      <c r="KWB16" s="476"/>
      <c r="KWC16" s="476"/>
      <c r="KWD16" s="476"/>
      <c r="KWE16" s="476"/>
      <c r="KWF16" s="476"/>
      <c r="KWG16" s="476"/>
      <c r="KWH16" s="476"/>
      <c r="KWI16" s="476"/>
      <c r="KWJ16" s="476"/>
      <c r="KWK16" s="476"/>
      <c r="KWL16" s="476"/>
      <c r="KWM16" s="477"/>
      <c r="KWN16" s="477"/>
      <c r="KWO16" s="463"/>
      <c r="KWP16" s="475"/>
      <c r="KWQ16" s="476"/>
      <c r="KWR16" s="476"/>
      <c r="KWS16" s="476"/>
      <c r="KWT16" s="476"/>
      <c r="KWU16" s="476"/>
      <c r="KWV16" s="476"/>
      <c r="KWW16" s="476"/>
      <c r="KWX16" s="476"/>
      <c r="KWY16" s="476"/>
      <c r="KWZ16" s="476"/>
      <c r="KXA16" s="476"/>
      <c r="KXB16" s="476"/>
      <c r="KXC16" s="477"/>
      <c r="KXD16" s="477"/>
      <c r="KXE16" s="463"/>
      <c r="KXF16" s="475"/>
      <c r="KXG16" s="476"/>
      <c r="KXH16" s="476"/>
      <c r="KXI16" s="476"/>
      <c r="KXJ16" s="476"/>
      <c r="KXK16" s="476"/>
      <c r="KXL16" s="476"/>
      <c r="KXM16" s="476"/>
      <c r="KXN16" s="476"/>
      <c r="KXO16" s="476"/>
      <c r="KXP16" s="476"/>
      <c r="KXQ16" s="476"/>
      <c r="KXR16" s="476"/>
      <c r="KXS16" s="477"/>
      <c r="KXT16" s="477"/>
      <c r="KXU16" s="463"/>
      <c r="KXV16" s="475"/>
      <c r="KXW16" s="476"/>
      <c r="KXX16" s="476"/>
      <c r="KXY16" s="476"/>
      <c r="KXZ16" s="476"/>
      <c r="KYA16" s="476"/>
      <c r="KYB16" s="476"/>
      <c r="KYC16" s="476"/>
      <c r="KYD16" s="476"/>
      <c r="KYE16" s="476"/>
      <c r="KYF16" s="476"/>
      <c r="KYG16" s="476"/>
      <c r="KYH16" s="476"/>
      <c r="KYI16" s="477"/>
      <c r="KYJ16" s="477"/>
      <c r="KYK16" s="463"/>
      <c r="KYL16" s="475"/>
      <c r="KYM16" s="476"/>
      <c r="KYN16" s="476"/>
      <c r="KYO16" s="476"/>
      <c r="KYP16" s="476"/>
      <c r="KYQ16" s="476"/>
      <c r="KYR16" s="476"/>
      <c r="KYS16" s="476"/>
      <c r="KYT16" s="476"/>
      <c r="KYU16" s="476"/>
      <c r="KYV16" s="476"/>
      <c r="KYW16" s="476"/>
      <c r="KYX16" s="476"/>
      <c r="KYY16" s="477"/>
      <c r="KYZ16" s="477"/>
      <c r="KZA16" s="463"/>
      <c r="KZB16" s="475"/>
      <c r="KZC16" s="476"/>
      <c r="KZD16" s="476"/>
      <c r="KZE16" s="476"/>
      <c r="KZF16" s="476"/>
      <c r="KZG16" s="476"/>
      <c r="KZH16" s="476"/>
      <c r="KZI16" s="476"/>
      <c r="KZJ16" s="476"/>
      <c r="KZK16" s="476"/>
      <c r="KZL16" s="476"/>
      <c r="KZM16" s="476"/>
      <c r="KZN16" s="476"/>
      <c r="KZO16" s="477"/>
      <c r="KZP16" s="477"/>
      <c r="KZQ16" s="463"/>
      <c r="KZR16" s="475"/>
      <c r="KZS16" s="476"/>
      <c r="KZT16" s="476"/>
      <c r="KZU16" s="476"/>
      <c r="KZV16" s="476"/>
      <c r="KZW16" s="476"/>
      <c r="KZX16" s="476"/>
      <c r="KZY16" s="476"/>
      <c r="KZZ16" s="476"/>
      <c r="LAA16" s="476"/>
      <c r="LAB16" s="476"/>
      <c r="LAC16" s="476"/>
      <c r="LAD16" s="476"/>
      <c r="LAE16" s="477"/>
      <c r="LAF16" s="477"/>
      <c r="LAG16" s="463"/>
      <c r="LAH16" s="475"/>
      <c r="LAI16" s="476"/>
      <c r="LAJ16" s="476"/>
      <c r="LAK16" s="476"/>
      <c r="LAL16" s="476"/>
      <c r="LAM16" s="476"/>
      <c r="LAN16" s="476"/>
      <c r="LAO16" s="476"/>
      <c r="LAP16" s="476"/>
      <c r="LAQ16" s="476"/>
      <c r="LAR16" s="476"/>
      <c r="LAS16" s="476"/>
      <c r="LAT16" s="476"/>
      <c r="LAU16" s="477"/>
      <c r="LAV16" s="477"/>
      <c r="LAW16" s="463"/>
      <c r="LAX16" s="475"/>
      <c r="LAY16" s="476"/>
      <c r="LAZ16" s="476"/>
      <c r="LBA16" s="476"/>
      <c r="LBB16" s="476"/>
      <c r="LBC16" s="476"/>
      <c r="LBD16" s="476"/>
      <c r="LBE16" s="476"/>
      <c r="LBF16" s="476"/>
      <c r="LBG16" s="476"/>
      <c r="LBH16" s="476"/>
      <c r="LBI16" s="476"/>
      <c r="LBJ16" s="476"/>
      <c r="LBK16" s="477"/>
      <c r="LBL16" s="477"/>
      <c r="LBM16" s="463"/>
      <c r="LBN16" s="475"/>
      <c r="LBO16" s="476"/>
      <c r="LBP16" s="476"/>
      <c r="LBQ16" s="476"/>
      <c r="LBR16" s="476"/>
      <c r="LBS16" s="476"/>
      <c r="LBT16" s="476"/>
      <c r="LBU16" s="476"/>
      <c r="LBV16" s="476"/>
      <c r="LBW16" s="476"/>
      <c r="LBX16" s="476"/>
      <c r="LBY16" s="476"/>
      <c r="LBZ16" s="476"/>
      <c r="LCA16" s="477"/>
      <c r="LCB16" s="477"/>
      <c r="LCC16" s="463"/>
      <c r="LCD16" s="475"/>
      <c r="LCE16" s="476"/>
      <c r="LCF16" s="476"/>
      <c r="LCG16" s="476"/>
      <c r="LCH16" s="476"/>
      <c r="LCI16" s="476"/>
      <c r="LCJ16" s="476"/>
      <c r="LCK16" s="476"/>
      <c r="LCL16" s="476"/>
      <c r="LCM16" s="476"/>
      <c r="LCN16" s="476"/>
      <c r="LCO16" s="476"/>
      <c r="LCP16" s="476"/>
      <c r="LCQ16" s="477"/>
      <c r="LCR16" s="477"/>
      <c r="LCS16" s="463"/>
      <c r="LCT16" s="475"/>
      <c r="LCU16" s="476"/>
      <c r="LCV16" s="476"/>
      <c r="LCW16" s="476"/>
      <c r="LCX16" s="476"/>
      <c r="LCY16" s="476"/>
      <c r="LCZ16" s="476"/>
      <c r="LDA16" s="476"/>
      <c r="LDB16" s="476"/>
      <c r="LDC16" s="476"/>
      <c r="LDD16" s="476"/>
      <c r="LDE16" s="476"/>
      <c r="LDF16" s="476"/>
      <c r="LDG16" s="477"/>
      <c r="LDH16" s="477"/>
      <c r="LDI16" s="463"/>
      <c r="LDJ16" s="475"/>
      <c r="LDK16" s="476"/>
      <c r="LDL16" s="476"/>
      <c r="LDM16" s="476"/>
      <c r="LDN16" s="476"/>
      <c r="LDO16" s="476"/>
      <c r="LDP16" s="476"/>
      <c r="LDQ16" s="476"/>
      <c r="LDR16" s="476"/>
      <c r="LDS16" s="476"/>
      <c r="LDT16" s="476"/>
      <c r="LDU16" s="476"/>
      <c r="LDV16" s="476"/>
      <c r="LDW16" s="477"/>
      <c r="LDX16" s="477"/>
      <c r="LDY16" s="463"/>
      <c r="LDZ16" s="475"/>
      <c r="LEA16" s="476"/>
      <c r="LEB16" s="476"/>
      <c r="LEC16" s="476"/>
      <c r="LED16" s="476"/>
      <c r="LEE16" s="476"/>
      <c r="LEF16" s="476"/>
      <c r="LEG16" s="476"/>
      <c r="LEH16" s="476"/>
      <c r="LEI16" s="476"/>
      <c r="LEJ16" s="476"/>
      <c r="LEK16" s="476"/>
      <c r="LEL16" s="476"/>
      <c r="LEM16" s="477"/>
      <c r="LEN16" s="477"/>
      <c r="LEO16" s="463"/>
      <c r="LEP16" s="475"/>
      <c r="LEQ16" s="476"/>
      <c r="LER16" s="476"/>
      <c r="LES16" s="476"/>
      <c r="LET16" s="476"/>
      <c r="LEU16" s="476"/>
      <c r="LEV16" s="476"/>
      <c r="LEW16" s="476"/>
      <c r="LEX16" s="476"/>
      <c r="LEY16" s="476"/>
      <c r="LEZ16" s="476"/>
      <c r="LFA16" s="476"/>
      <c r="LFB16" s="476"/>
      <c r="LFC16" s="477"/>
      <c r="LFD16" s="477"/>
      <c r="LFE16" s="463"/>
      <c r="LFF16" s="475"/>
      <c r="LFG16" s="476"/>
      <c r="LFH16" s="476"/>
      <c r="LFI16" s="476"/>
      <c r="LFJ16" s="476"/>
      <c r="LFK16" s="476"/>
      <c r="LFL16" s="476"/>
      <c r="LFM16" s="476"/>
      <c r="LFN16" s="476"/>
      <c r="LFO16" s="476"/>
      <c r="LFP16" s="476"/>
      <c r="LFQ16" s="476"/>
      <c r="LFR16" s="476"/>
      <c r="LFS16" s="477"/>
      <c r="LFT16" s="477"/>
      <c r="LFU16" s="463"/>
      <c r="LFV16" s="475"/>
      <c r="LFW16" s="476"/>
      <c r="LFX16" s="476"/>
      <c r="LFY16" s="476"/>
      <c r="LFZ16" s="476"/>
      <c r="LGA16" s="476"/>
      <c r="LGB16" s="476"/>
      <c r="LGC16" s="476"/>
      <c r="LGD16" s="476"/>
      <c r="LGE16" s="476"/>
      <c r="LGF16" s="476"/>
      <c r="LGG16" s="476"/>
      <c r="LGH16" s="476"/>
      <c r="LGI16" s="477"/>
      <c r="LGJ16" s="477"/>
      <c r="LGK16" s="463"/>
      <c r="LGL16" s="475"/>
      <c r="LGM16" s="476"/>
      <c r="LGN16" s="476"/>
      <c r="LGO16" s="476"/>
      <c r="LGP16" s="476"/>
      <c r="LGQ16" s="476"/>
      <c r="LGR16" s="476"/>
      <c r="LGS16" s="476"/>
      <c r="LGT16" s="476"/>
      <c r="LGU16" s="476"/>
      <c r="LGV16" s="476"/>
      <c r="LGW16" s="476"/>
      <c r="LGX16" s="476"/>
      <c r="LGY16" s="477"/>
      <c r="LGZ16" s="477"/>
      <c r="LHA16" s="463"/>
      <c r="LHB16" s="475"/>
      <c r="LHC16" s="476"/>
      <c r="LHD16" s="476"/>
      <c r="LHE16" s="476"/>
      <c r="LHF16" s="476"/>
      <c r="LHG16" s="476"/>
      <c r="LHH16" s="476"/>
      <c r="LHI16" s="476"/>
      <c r="LHJ16" s="476"/>
      <c r="LHK16" s="476"/>
      <c r="LHL16" s="476"/>
      <c r="LHM16" s="476"/>
      <c r="LHN16" s="476"/>
      <c r="LHO16" s="477"/>
      <c r="LHP16" s="477"/>
      <c r="LHQ16" s="463"/>
      <c r="LHR16" s="475"/>
      <c r="LHS16" s="476"/>
      <c r="LHT16" s="476"/>
      <c r="LHU16" s="476"/>
      <c r="LHV16" s="476"/>
      <c r="LHW16" s="476"/>
      <c r="LHX16" s="476"/>
      <c r="LHY16" s="476"/>
      <c r="LHZ16" s="476"/>
      <c r="LIA16" s="476"/>
      <c r="LIB16" s="476"/>
      <c r="LIC16" s="476"/>
      <c r="LID16" s="476"/>
      <c r="LIE16" s="477"/>
      <c r="LIF16" s="477"/>
      <c r="LIG16" s="463"/>
      <c r="LIH16" s="475"/>
      <c r="LII16" s="476"/>
      <c r="LIJ16" s="476"/>
      <c r="LIK16" s="476"/>
      <c r="LIL16" s="476"/>
      <c r="LIM16" s="476"/>
      <c r="LIN16" s="476"/>
      <c r="LIO16" s="476"/>
      <c r="LIP16" s="476"/>
      <c r="LIQ16" s="476"/>
      <c r="LIR16" s="476"/>
      <c r="LIS16" s="476"/>
      <c r="LIT16" s="476"/>
      <c r="LIU16" s="477"/>
      <c r="LIV16" s="477"/>
      <c r="LIW16" s="463"/>
      <c r="LIX16" s="475"/>
      <c r="LIY16" s="476"/>
      <c r="LIZ16" s="476"/>
      <c r="LJA16" s="476"/>
      <c r="LJB16" s="476"/>
      <c r="LJC16" s="476"/>
      <c r="LJD16" s="476"/>
      <c r="LJE16" s="476"/>
      <c r="LJF16" s="476"/>
      <c r="LJG16" s="476"/>
      <c r="LJH16" s="476"/>
      <c r="LJI16" s="476"/>
      <c r="LJJ16" s="476"/>
      <c r="LJK16" s="477"/>
      <c r="LJL16" s="477"/>
      <c r="LJM16" s="463"/>
      <c r="LJN16" s="475"/>
      <c r="LJO16" s="476"/>
      <c r="LJP16" s="476"/>
      <c r="LJQ16" s="476"/>
      <c r="LJR16" s="476"/>
      <c r="LJS16" s="476"/>
      <c r="LJT16" s="476"/>
      <c r="LJU16" s="476"/>
      <c r="LJV16" s="476"/>
      <c r="LJW16" s="476"/>
      <c r="LJX16" s="476"/>
      <c r="LJY16" s="476"/>
      <c r="LJZ16" s="476"/>
      <c r="LKA16" s="477"/>
      <c r="LKB16" s="477"/>
      <c r="LKC16" s="463"/>
      <c r="LKD16" s="475"/>
      <c r="LKE16" s="476"/>
      <c r="LKF16" s="476"/>
      <c r="LKG16" s="476"/>
      <c r="LKH16" s="476"/>
      <c r="LKI16" s="476"/>
      <c r="LKJ16" s="476"/>
      <c r="LKK16" s="476"/>
      <c r="LKL16" s="476"/>
      <c r="LKM16" s="476"/>
      <c r="LKN16" s="476"/>
      <c r="LKO16" s="476"/>
      <c r="LKP16" s="476"/>
      <c r="LKQ16" s="477"/>
      <c r="LKR16" s="477"/>
      <c r="LKS16" s="463"/>
      <c r="LKT16" s="475"/>
      <c r="LKU16" s="476"/>
      <c r="LKV16" s="476"/>
      <c r="LKW16" s="476"/>
      <c r="LKX16" s="476"/>
      <c r="LKY16" s="476"/>
      <c r="LKZ16" s="476"/>
      <c r="LLA16" s="476"/>
      <c r="LLB16" s="476"/>
      <c r="LLC16" s="476"/>
      <c r="LLD16" s="476"/>
      <c r="LLE16" s="476"/>
      <c r="LLF16" s="476"/>
      <c r="LLG16" s="477"/>
      <c r="LLH16" s="477"/>
      <c r="LLI16" s="463"/>
      <c r="LLJ16" s="475"/>
      <c r="LLK16" s="476"/>
      <c r="LLL16" s="476"/>
      <c r="LLM16" s="476"/>
      <c r="LLN16" s="476"/>
      <c r="LLO16" s="476"/>
      <c r="LLP16" s="476"/>
      <c r="LLQ16" s="476"/>
      <c r="LLR16" s="476"/>
      <c r="LLS16" s="476"/>
      <c r="LLT16" s="476"/>
      <c r="LLU16" s="476"/>
      <c r="LLV16" s="476"/>
      <c r="LLW16" s="477"/>
      <c r="LLX16" s="477"/>
      <c r="LLY16" s="463"/>
      <c r="LLZ16" s="475"/>
      <c r="LMA16" s="476"/>
      <c r="LMB16" s="476"/>
      <c r="LMC16" s="476"/>
      <c r="LMD16" s="476"/>
      <c r="LME16" s="476"/>
      <c r="LMF16" s="476"/>
      <c r="LMG16" s="476"/>
      <c r="LMH16" s="476"/>
      <c r="LMI16" s="476"/>
      <c r="LMJ16" s="476"/>
      <c r="LMK16" s="476"/>
      <c r="LML16" s="476"/>
      <c r="LMM16" s="477"/>
      <c r="LMN16" s="477"/>
      <c r="LMO16" s="463"/>
      <c r="LMP16" s="475"/>
      <c r="LMQ16" s="476"/>
      <c r="LMR16" s="476"/>
      <c r="LMS16" s="476"/>
      <c r="LMT16" s="476"/>
      <c r="LMU16" s="476"/>
      <c r="LMV16" s="476"/>
      <c r="LMW16" s="476"/>
      <c r="LMX16" s="476"/>
      <c r="LMY16" s="476"/>
      <c r="LMZ16" s="476"/>
      <c r="LNA16" s="476"/>
      <c r="LNB16" s="476"/>
      <c r="LNC16" s="477"/>
      <c r="LND16" s="477"/>
      <c r="LNE16" s="463"/>
      <c r="LNF16" s="475"/>
      <c r="LNG16" s="476"/>
      <c r="LNH16" s="476"/>
      <c r="LNI16" s="476"/>
      <c r="LNJ16" s="476"/>
      <c r="LNK16" s="476"/>
      <c r="LNL16" s="476"/>
      <c r="LNM16" s="476"/>
      <c r="LNN16" s="476"/>
      <c r="LNO16" s="476"/>
      <c r="LNP16" s="476"/>
      <c r="LNQ16" s="476"/>
      <c r="LNR16" s="476"/>
      <c r="LNS16" s="477"/>
      <c r="LNT16" s="477"/>
      <c r="LNU16" s="463"/>
      <c r="LNV16" s="475"/>
      <c r="LNW16" s="476"/>
      <c r="LNX16" s="476"/>
      <c r="LNY16" s="476"/>
      <c r="LNZ16" s="476"/>
      <c r="LOA16" s="476"/>
      <c r="LOB16" s="476"/>
      <c r="LOC16" s="476"/>
      <c r="LOD16" s="476"/>
      <c r="LOE16" s="476"/>
      <c r="LOF16" s="476"/>
      <c r="LOG16" s="476"/>
      <c r="LOH16" s="476"/>
      <c r="LOI16" s="477"/>
      <c r="LOJ16" s="477"/>
      <c r="LOK16" s="463"/>
      <c r="LOL16" s="475"/>
      <c r="LOM16" s="476"/>
      <c r="LON16" s="476"/>
      <c r="LOO16" s="476"/>
      <c r="LOP16" s="476"/>
      <c r="LOQ16" s="476"/>
      <c r="LOR16" s="476"/>
      <c r="LOS16" s="476"/>
      <c r="LOT16" s="476"/>
      <c r="LOU16" s="476"/>
      <c r="LOV16" s="476"/>
      <c r="LOW16" s="476"/>
      <c r="LOX16" s="476"/>
      <c r="LOY16" s="477"/>
      <c r="LOZ16" s="477"/>
      <c r="LPA16" s="463"/>
      <c r="LPB16" s="475"/>
      <c r="LPC16" s="476"/>
      <c r="LPD16" s="476"/>
      <c r="LPE16" s="476"/>
      <c r="LPF16" s="476"/>
      <c r="LPG16" s="476"/>
      <c r="LPH16" s="476"/>
      <c r="LPI16" s="476"/>
      <c r="LPJ16" s="476"/>
      <c r="LPK16" s="476"/>
      <c r="LPL16" s="476"/>
      <c r="LPM16" s="476"/>
      <c r="LPN16" s="476"/>
      <c r="LPO16" s="477"/>
      <c r="LPP16" s="477"/>
      <c r="LPQ16" s="463"/>
      <c r="LPR16" s="475"/>
      <c r="LPS16" s="476"/>
      <c r="LPT16" s="476"/>
      <c r="LPU16" s="476"/>
      <c r="LPV16" s="476"/>
      <c r="LPW16" s="476"/>
      <c r="LPX16" s="476"/>
      <c r="LPY16" s="476"/>
      <c r="LPZ16" s="476"/>
      <c r="LQA16" s="476"/>
      <c r="LQB16" s="476"/>
      <c r="LQC16" s="476"/>
      <c r="LQD16" s="476"/>
      <c r="LQE16" s="477"/>
      <c r="LQF16" s="477"/>
      <c r="LQG16" s="463"/>
      <c r="LQH16" s="475"/>
      <c r="LQI16" s="476"/>
      <c r="LQJ16" s="476"/>
      <c r="LQK16" s="476"/>
      <c r="LQL16" s="476"/>
      <c r="LQM16" s="476"/>
      <c r="LQN16" s="476"/>
      <c r="LQO16" s="476"/>
      <c r="LQP16" s="476"/>
      <c r="LQQ16" s="476"/>
      <c r="LQR16" s="476"/>
      <c r="LQS16" s="476"/>
      <c r="LQT16" s="476"/>
      <c r="LQU16" s="477"/>
      <c r="LQV16" s="477"/>
      <c r="LQW16" s="463"/>
      <c r="LQX16" s="475"/>
      <c r="LQY16" s="476"/>
      <c r="LQZ16" s="476"/>
      <c r="LRA16" s="476"/>
      <c r="LRB16" s="476"/>
      <c r="LRC16" s="476"/>
      <c r="LRD16" s="476"/>
      <c r="LRE16" s="476"/>
      <c r="LRF16" s="476"/>
      <c r="LRG16" s="476"/>
      <c r="LRH16" s="476"/>
      <c r="LRI16" s="476"/>
      <c r="LRJ16" s="476"/>
      <c r="LRK16" s="477"/>
      <c r="LRL16" s="477"/>
      <c r="LRM16" s="463"/>
      <c r="LRN16" s="475"/>
      <c r="LRO16" s="476"/>
      <c r="LRP16" s="476"/>
      <c r="LRQ16" s="476"/>
      <c r="LRR16" s="476"/>
      <c r="LRS16" s="476"/>
      <c r="LRT16" s="476"/>
      <c r="LRU16" s="476"/>
      <c r="LRV16" s="476"/>
      <c r="LRW16" s="476"/>
      <c r="LRX16" s="476"/>
      <c r="LRY16" s="476"/>
      <c r="LRZ16" s="476"/>
      <c r="LSA16" s="477"/>
      <c r="LSB16" s="477"/>
      <c r="LSC16" s="463"/>
      <c r="LSD16" s="475"/>
      <c r="LSE16" s="476"/>
      <c r="LSF16" s="476"/>
      <c r="LSG16" s="476"/>
      <c r="LSH16" s="476"/>
      <c r="LSI16" s="476"/>
      <c r="LSJ16" s="476"/>
      <c r="LSK16" s="476"/>
      <c r="LSL16" s="476"/>
      <c r="LSM16" s="476"/>
      <c r="LSN16" s="476"/>
      <c r="LSO16" s="476"/>
      <c r="LSP16" s="476"/>
      <c r="LSQ16" s="477"/>
      <c r="LSR16" s="477"/>
      <c r="LSS16" s="463"/>
      <c r="LST16" s="475"/>
      <c r="LSU16" s="476"/>
      <c r="LSV16" s="476"/>
      <c r="LSW16" s="476"/>
      <c r="LSX16" s="476"/>
      <c r="LSY16" s="476"/>
      <c r="LSZ16" s="476"/>
      <c r="LTA16" s="476"/>
      <c r="LTB16" s="476"/>
      <c r="LTC16" s="476"/>
      <c r="LTD16" s="476"/>
      <c r="LTE16" s="476"/>
      <c r="LTF16" s="476"/>
      <c r="LTG16" s="477"/>
      <c r="LTH16" s="477"/>
      <c r="LTI16" s="463"/>
      <c r="LTJ16" s="475"/>
      <c r="LTK16" s="476"/>
      <c r="LTL16" s="476"/>
      <c r="LTM16" s="476"/>
      <c r="LTN16" s="476"/>
      <c r="LTO16" s="476"/>
      <c r="LTP16" s="476"/>
      <c r="LTQ16" s="476"/>
      <c r="LTR16" s="476"/>
      <c r="LTS16" s="476"/>
      <c r="LTT16" s="476"/>
      <c r="LTU16" s="476"/>
      <c r="LTV16" s="476"/>
      <c r="LTW16" s="477"/>
      <c r="LTX16" s="477"/>
      <c r="LTY16" s="463"/>
      <c r="LTZ16" s="475"/>
      <c r="LUA16" s="476"/>
      <c r="LUB16" s="476"/>
      <c r="LUC16" s="476"/>
      <c r="LUD16" s="476"/>
      <c r="LUE16" s="476"/>
      <c r="LUF16" s="476"/>
      <c r="LUG16" s="476"/>
      <c r="LUH16" s="476"/>
      <c r="LUI16" s="476"/>
      <c r="LUJ16" s="476"/>
      <c r="LUK16" s="476"/>
      <c r="LUL16" s="476"/>
      <c r="LUM16" s="477"/>
      <c r="LUN16" s="477"/>
      <c r="LUO16" s="463"/>
      <c r="LUP16" s="475"/>
      <c r="LUQ16" s="476"/>
      <c r="LUR16" s="476"/>
      <c r="LUS16" s="476"/>
      <c r="LUT16" s="476"/>
      <c r="LUU16" s="476"/>
      <c r="LUV16" s="476"/>
      <c r="LUW16" s="476"/>
      <c r="LUX16" s="476"/>
      <c r="LUY16" s="476"/>
      <c r="LUZ16" s="476"/>
      <c r="LVA16" s="476"/>
      <c r="LVB16" s="476"/>
      <c r="LVC16" s="477"/>
      <c r="LVD16" s="477"/>
      <c r="LVE16" s="463"/>
      <c r="LVF16" s="475"/>
      <c r="LVG16" s="476"/>
      <c r="LVH16" s="476"/>
      <c r="LVI16" s="476"/>
      <c r="LVJ16" s="476"/>
      <c r="LVK16" s="476"/>
      <c r="LVL16" s="476"/>
      <c r="LVM16" s="476"/>
      <c r="LVN16" s="476"/>
      <c r="LVO16" s="476"/>
      <c r="LVP16" s="476"/>
      <c r="LVQ16" s="476"/>
      <c r="LVR16" s="476"/>
      <c r="LVS16" s="477"/>
      <c r="LVT16" s="477"/>
      <c r="LVU16" s="463"/>
      <c r="LVV16" s="475"/>
      <c r="LVW16" s="476"/>
      <c r="LVX16" s="476"/>
      <c r="LVY16" s="476"/>
      <c r="LVZ16" s="476"/>
      <c r="LWA16" s="476"/>
      <c r="LWB16" s="476"/>
      <c r="LWC16" s="476"/>
      <c r="LWD16" s="476"/>
      <c r="LWE16" s="476"/>
      <c r="LWF16" s="476"/>
      <c r="LWG16" s="476"/>
      <c r="LWH16" s="476"/>
      <c r="LWI16" s="477"/>
      <c r="LWJ16" s="477"/>
      <c r="LWK16" s="463"/>
      <c r="LWL16" s="475"/>
      <c r="LWM16" s="476"/>
      <c r="LWN16" s="476"/>
      <c r="LWO16" s="476"/>
      <c r="LWP16" s="476"/>
      <c r="LWQ16" s="476"/>
      <c r="LWR16" s="476"/>
      <c r="LWS16" s="476"/>
      <c r="LWT16" s="476"/>
      <c r="LWU16" s="476"/>
      <c r="LWV16" s="476"/>
      <c r="LWW16" s="476"/>
      <c r="LWX16" s="476"/>
      <c r="LWY16" s="477"/>
      <c r="LWZ16" s="477"/>
      <c r="LXA16" s="463"/>
      <c r="LXB16" s="475"/>
      <c r="LXC16" s="476"/>
      <c r="LXD16" s="476"/>
      <c r="LXE16" s="476"/>
      <c r="LXF16" s="476"/>
      <c r="LXG16" s="476"/>
      <c r="LXH16" s="476"/>
      <c r="LXI16" s="476"/>
      <c r="LXJ16" s="476"/>
      <c r="LXK16" s="476"/>
      <c r="LXL16" s="476"/>
      <c r="LXM16" s="476"/>
      <c r="LXN16" s="476"/>
      <c r="LXO16" s="477"/>
      <c r="LXP16" s="477"/>
      <c r="LXQ16" s="463"/>
      <c r="LXR16" s="475"/>
      <c r="LXS16" s="476"/>
      <c r="LXT16" s="476"/>
      <c r="LXU16" s="476"/>
      <c r="LXV16" s="476"/>
      <c r="LXW16" s="476"/>
      <c r="LXX16" s="476"/>
      <c r="LXY16" s="476"/>
      <c r="LXZ16" s="476"/>
      <c r="LYA16" s="476"/>
      <c r="LYB16" s="476"/>
      <c r="LYC16" s="476"/>
      <c r="LYD16" s="476"/>
      <c r="LYE16" s="477"/>
      <c r="LYF16" s="477"/>
      <c r="LYG16" s="463"/>
      <c r="LYH16" s="475"/>
      <c r="LYI16" s="476"/>
      <c r="LYJ16" s="476"/>
      <c r="LYK16" s="476"/>
      <c r="LYL16" s="476"/>
      <c r="LYM16" s="476"/>
      <c r="LYN16" s="476"/>
      <c r="LYO16" s="476"/>
      <c r="LYP16" s="476"/>
      <c r="LYQ16" s="476"/>
      <c r="LYR16" s="476"/>
      <c r="LYS16" s="476"/>
      <c r="LYT16" s="476"/>
      <c r="LYU16" s="477"/>
      <c r="LYV16" s="477"/>
      <c r="LYW16" s="463"/>
      <c r="LYX16" s="475"/>
      <c r="LYY16" s="476"/>
      <c r="LYZ16" s="476"/>
      <c r="LZA16" s="476"/>
      <c r="LZB16" s="476"/>
      <c r="LZC16" s="476"/>
      <c r="LZD16" s="476"/>
      <c r="LZE16" s="476"/>
      <c r="LZF16" s="476"/>
      <c r="LZG16" s="476"/>
      <c r="LZH16" s="476"/>
      <c r="LZI16" s="476"/>
      <c r="LZJ16" s="476"/>
      <c r="LZK16" s="477"/>
      <c r="LZL16" s="477"/>
      <c r="LZM16" s="463"/>
      <c r="LZN16" s="475"/>
      <c r="LZO16" s="476"/>
      <c r="LZP16" s="476"/>
      <c r="LZQ16" s="476"/>
      <c r="LZR16" s="476"/>
      <c r="LZS16" s="476"/>
      <c r="LZT16" s="476"/>
      <c r="LZU16" s="476"/>
      <c r="LZV16" s="476"/>
      <c r="LZW16" s="476"/>
      <c r="LZX16" s="476"/>
      <c r="LZY16" s="476"/>
      <c r="LZZ16" s="476"/>
      <c r="MAA16" s="477"/>
      <c r="MAB16" s="477"/>
      <c r="MAC16" s="463"/>
      <c r="MAD16" s="475"/>
      <c r="MAE16" s="476"/>
      <c r="MAF16" s="476"/>
      <c r="MAG16" s="476"/>
      <c r="MAH16" s="476"/>
      <c r="MAI16" s="476"/>
      <c r="MAJ16" s="476"/>
      <c r="MAK16" s="476"/>
      <c r="MAL16" s="476"/>
      <c r="MAM16" s="476"/>
      <c r="MAN16" s="476"/>
      <c r="MAO16" s="476"/>
      <c r="MAP16" s="476"/>
      <c r="MAQ16" s="477"/>
      <c r="MAR16" s="477"/>
      <c r="MAS16" s="463"/>
      <c r="MAT16" s="475"/>
      <c r="MAU16" s="476"/>
      <c r="MAV16" s="476"/>
      <c r="MAW16" s="476"/>
      <c r="MAX16" s="476"/>
      <c r="MAY16" s="476"/>
      <c r="MAZ16" s="476"/>
      <c r="MBA16" s="476"/>
      <c r="MBB16" s="476"/>
      <c r="MBC16" s="476"/>
      <c r="MBD16" s="476"/>
      <c r="MBE16" s="476"/>
      <c r="MBF16" s="476"/>
      <c r="MBG16" s="477"/>
      <c r="MBH16" s="477"/>
      <c r="MBI16" s="463"/>
      <c r="MBJ16" s="475"/>
      <c r="MBK16" s="476"/>
      <c r="MBL16" s="476"/>
      <c r="MBM16" s="476"/>
      <c r="MBN16" s="476"/>
      <c r="MBO16" s="476"/>
      <c r="MBP16" s="476"/>
      <c r="MBQ16" s="476"/>
      <c r="MBR16" s="476"/>
      <c r="MBS16" s="476"/>
      <c r="MBT16" s="476"/>
      <c r="MBU16" s="476"/>
      <c r="MBV16" s="476"/>
      <c r="MBW16" s="477"/>
      <c r="MBX16" s="477"/>
      <c r="MBY16" s="463"/>
      <c r="MBZ16" s="475"/>
      <c r="MCA16" s="476"/>
      <c r="MCB16" s="476"/>
      <c r="MCC16" s="476"/>
      <c r="MCD16" s="476"/>
      <c r="MCE16" s="476"/>
      <c r="MCF16" s="476"/>
      <c r="MCG16" s="476"/>
      <c r="MCH16" s="476"/>
      <c r="MCI16" s="476"/>
      <c r="MCJ16" s="476"/>
      <c r="MCK16" s="476"/>
      <c r="MCL16" s="476"/>
      <c r="MCM16" s="477"/>
      <c r="MCN16" s="477"/>
      <c r="MCO16" s="463"/>
      <c r="MCP16" s="475"/>
      <c r="MCQ16" s="476"/>
      <c r="MCR16" s="476"/>
      <c r="MCS16" s="476"/>
      <c r="MCT16" s="476"/>
      <c r="MCU16" s="476"/>
      <c r="MCV16" s="476"/>
      <c r="MCW16" s="476"/>
      <c r="MCX16" s="476"/>
      <c r="MCY16" s="476"/>
      <c r="MCZ16" s="476"/>
      <c r="MDA16" s="476"/>
      <c r="MDB16" s="476"/>
      <c r="MDC16" s="477"/>
      <c r="MDD16" s="477"/>
      <c r="MDE16" s="463"/>
      <c r="MDF16" s="475"/>
      <c r="MDG16" s="476"/>
      <c r="MDH16" s="476"/>
      <c r="MDI16" s="476"/>
      <c r="MDJ16" s="476"/>
      <c r="MDK16" s="476"/>
      <c r="MDL16" s="476"/>
      <c r="MDM16" s="476"/>
      <c r="MDN16" s="476"/>
      <c r="MDO16" s="476"/>
      <c r="MDP16" s="476"/>
      <c r="MDQ16" s="476"/>
      <c r="MDR16" s="476"/>
      <c r="MDS16" s="477"/>
      <c r="MDT16" s="477"/>
      <c r="MDU16" s="463"/>
      <c r="MDV16" s="475"/>
      <c r="MDW16" s="476"/>
      <c r="MDX16" s="476"/>
      <c r="MDY16" s="476"/>
      <c r="MDZ16" s="476"/>
      <c r="MEA16" s="476"/>
      <c r="MEB16" s="476"/>
      <c r="MEC16" s="476"/>
      <c r="MED16" s="476"/>
      <c r="MEE16" s="476"/>
      <c r="MEF16" s="476"/>
      <c r="MEG16" s="476"/>
      <c r="MEH16" s="476"/>
      <c r="MEI16" s="477"/>
      <c r="MEJ16" s="477"/>
      <c r="MEK16" s="463"/>
      <c r="MEL16" s="475"/>
      <c r="MEM16" s="476"/>
      <c r="MEN16" s="476"/>
      <c r="MEO16" s="476"/>
      <c r="MEP16" s="476"/>
      <c r="MEQ16" s="476"/>
      <c r="MER16" s="476"/>
      <c r="MES16" s="476"/>
      <c r="MET16" s="476"/>
      <c r="MEU16" s="476"/>
      <c r="MEV16" s="476"/>
      <c r="MEW16" s="476"/>
      <c r="MEX16" s="476"/>
      <c r="MEY16" s="477"/>
      <c r="MEZ16" s="477"/>
      <c r="MFA16" s="463"/>
      <c r="MFB16" s="475"/>
      <c r="MFC16" s="476"/>
      <c r="MFD16" s="476"/>
      <c r="MFE16" s="476"/>
      <c r="MFF16" s="476"/>
      <c r="MFG16" s="476"/>
      <c r="MFH16" s="476"/>
      <c r="MFI16" s="476"/>
      <c r="MFJ16" s="476"/>
      <c r="MFK16" s="476"/>
      <c r="MFL16" s="476"/>
      <c r="MFM16" s="476"/>
      <c r="MFN16" s="476"/>
      <c r="MFO16" s="477"/>
      <c r="MFP16" s="477"/>
      <c r="MFQ16" s="463"/>
      <c r="MFR16" s="475"/>
      <c r="MFS16" s="476"/>
      <c r="MFT16" s="476"/>
      <c r="MFU16" s="476"/>
      <c r="MFV16" s="476"/>
      <c r="MFW16" s="476"/>
      <c r="MFX16" s="476"/>
      <c r="MFY16" s="476"/>
      <c r="MFZ16" s="476"/>
      <c r="MGA16" s="476"/>
      <c r="MGB16" s="476"/>
      <c r="MGC16" s="476"/>
      <c r="MGD16" s="476"/>
      <c r="MGE16" s="477"/>
      <c r="MGF16" s="477"/>
      <c r="MGG16" s="463"/>
      <c r="MGH16" s="475"/>
      <c r="MGI16" s="476"/>
      <c r="MGJ16" s="476"/>
      <c r="MGK16" s="476"/>
      <c r="MGL16" s="476"/>
      <c r="MGM16" s="476"/>
      <c r="MGN16" s="476"/>
      <c r="MGO16" s="476"/>
      <c r="MGP16" s="476"/>
      <c r="MGQ16" s="476"/>
      <c r="MGR16" s="476"/>
      <c r="MGS16" s="476"/>
      <c r="MGT16" s="476"/>
      <c r="MGU16" s="477"/>
      <c r="MGV16" s="477"/>
      <c r="MGW16" s="463"/>
      <c r="MGX16" s="475"/>
      <c r="MGY16" s="476"/>
      <c r="MGZ16" s="476"/>
      <c r="MHA16" s="476"/>
      <c r="MHB16" s="476"/>
      <c r="MHC16" s="476"/>
      <c r="MHD16" s="476"/>
      <c r="MHE16" s="476"/>
      <c r="MHF16" s="476"/>
      <c r="MHG16" s="476"/>
      <c r="MHH16" s="476"/>
      <c r="MHI16" s="476"/>
      <c r="MHJ16" s="476"/>
      <c r="MHK16" s="477"/>
      <c r="MHL16" s="477"/>
      <c r="MHM16" s="463"/>
      <c r="MHN16" s="475"/>
      <c r="MHO16" s="476"/>
      <c r="MHP16" s="476"/>
      <c r="MHQ16" s="476"/>
      <c r="MHR16" s="476"/>
      <c r="MHS16" s="476"/>
      <c r="MHT16" s="476"/>
      <c r="MHU16" s="476"/>
      <c r="MHV16" s="476"/>
      <c r="MHW16" s="476"/>
      <c r="MHX16" s="476"/>
      <c r="MHY16" s="476"/>
      <c r="MHZ16" s="476"/>
      <c r="MIA16" s="477"/>
      <c r="MIB16" s="477"/>
      <c r="MIC16" s="463"/>
      <c r="MID16" s="475"/>
      <c r="MIE16" s="476"/>
      <c r="MIF16" s="476"/>
      <c r="MIG16" s="476"/>
      <c r="MIH16" s="476"/>
      <c r="MII16" s="476"/>
      <c r="MIJ16" s="476"/>
      <c r="MIK16" s="476"/>
      <c r="MIL16" s="476"/>
      <c r="MIM16" s="476"/>
      <c r="MIN16" s="476"/>
      <c r="MIO16" s="476"/>
      <c r="MIP16" s="476"/>
      <c r="MIQ16" s="477"/>
      <c r="MIR16" s="477"/>
      <c r="MIS16" s="463"/>
      <c r="MIT16" s="475"/>
      <c r="MIU16" s="476"/>
      <c r="MIV16" s="476"/>
      <c r="MIW16" s="476"/>
      <c r="MIX16" s="476"/>
      <c r="MIY16" s="476"/>
      <c r="MIZ16" s="476"/>
      <c r="MJA16" s="476"/>
      <c r="MJB16" s="476"/>
      <c r="MJC16" s="476"/>
      <c r="MJD16" s="476"/>
      <c r="MJE16" s="476"/>
      <c r="MJF16" s="476"/>
      <c r="MJG16" s="477"/>
      <c r="MJH16" s="477"/>
      <c r="MJI16" s="463"/>
      <c r="MJJ16" s="475"/>
      <c r="MJK16" s="476"/>
      <c r="MJL16" s="476"/>
      <c r="MJM16" s="476"/>
      <c r="MJN16" s="476"/>
      <c r="MJO16" s="476"/>
      <c r="MJP16" s="476"/>
      <c r="MJQ16" s="476"/>
      <c r="MJR16" s="476"/>
      <c r="MJS16" s="476"/>
      <c r="MJT16" s="476"/>
      <c r="MJU16" s="476"/>
      <c r="MJV16" s="476"/>
      <c r="MJW16" s="477"/>
      <c r="MJX16" s="477"/>
      <c r="MJY16" s="463"/>
      <c r="MJZ16" s="475"/>
      <c r="MKA16" s="476"/>
      <c r="MKB16" s="476"/>
      <c r="MKC16" s="476"/>
      <c r="MKD16" s="476"/>
      <c r="MKE16" s="476"/>
      <c r="MKF16" s="476"/>
      <c r="MKG16" s="476"/>
      <c r="MKH16" s="476"/>
      <c r="MKI16" s="476"/>
      <c r="MKJ16" s="476"/>
      <c r="MKK16" s="476"/>
      <c r="MKL16" s="476"/>
      <c r="MKM16" s="477"/>
      <c r="MKN16" s="477"/>
      <c r="MKO16" s="463"/>
      <c r="MKP16" s="475"/>
      <c r="MKQ16" s="476"/>
      <c r="MKR16" s="476"/>
      <c r="MKS16" s="476"/>
      <c r="MKT16" s="476"/>
      <c r="MKU16" s="476"/>
      <c r="MKV16" s="476"/>
      <c r="MKW16" s="476"/>
      <c r="MKX16" s="476"/>
      <c r="MKY16" s="476"/>
      <c r="MKZ16" s="476"/>
      <c r="MLA16" s="476"/>
      <c r="MLB16" s="476"/>
      <c r="MLC16" s="477"/>
      <c r="MLD16" s="477"/>
      <c r="MLE16" s="463"/>
      <c r="MLF16" s="475"/>
      <c r="MLG16" s="476"/>
      <c r="MLH16" s="476"/>
      <c r="MLI16" s="476"/>
      <c r="MLJ16" s="476"/>
      <c r="MLK16" s="476"/>
      <c r="MLL16" s="476"/>
      <c r="MLM16" s="476"/>
      <c r="MLN16" s="476"/>
      <c r="MLO16" s="476"/>
      <c r="MLP16" s="476"/>
      <c r="MLQ16" s="476"/>
      <c r="MLR16" s="476"/>
      <c r="MLS16" s="477"/>
      <c r="MLT16" s="477"/>
      <c r="MLU16" s="463"/>
      <c r="MLV16" s="475"/>
      <c r="MLW16" s="476"/>
      <c r="MLX16" s="476"/>
      <c r="MLY16" s="476"/>
      <c r="MLZ16" s="476"/>
      <c r="MMA16" s="476"/>
      <c r="MMB16" s="476"/>
      <c r="MMC16" s="476"/>
      <c r="MMD16" s="476"/>
      <c r="MME16" s="476"/>
      <c r="MMF16" s="476"/>
      <c r="MMG16" s="476"/>
      <c r="MMH16" s="476"/>
      <c r="MMI16" s="477"/>
      <c r="MMJ16" s="477"/>
      <c r="MMK16" s="463"/>
      <c r="MML16" s="475"/>
      <c r="MMM16" s="476"/>
      <c r="MMN16" s="476"/>
      <c r="MMO16" s="476"/>
      <c r="MMP16" s="476"/>
      <c r="MMQ16" s="476"/>
      <c r="MMR16" s="476"/>
      <c r="MMS16" s="476"/>
      <c r="MMT16" s="476"/>
      <c r="MMU16" s="476"/>
      <c r="MMV16" s="476"/>
      <c r="MMW16" s="476"/>
      <c r="MMX16" s="476"/>
      <c r="MMY16" s="477"/>
      <c r="MMZ16" s="477"/>
      <c r="MNA16" s="463"/>
      <c r="MNB16" s="475"/>
      <c r="MNC16" s="476"/>
      <c r="MND16" s="476"/>
      <c r="MNE16" s="476"/>
      <c r="MNF16" s="476"/>
      <c r="MNG16" s="476"/>
      <c r="MNH16" s="476"/>
      <c r="MNI16" s="476"/>
      <c r="MNJ16" s="476"/>
      <c r="MNK16" s="476"/>
      <c r="MNL16" s="476"/>
      <c r="MNM16" s="476"/>
      <c r="MNN16" s="476"/>
      <c r="MNO16" s="477"/>
      <c r="MNP16" s="477"/>
      <c r="MNQ16" s="463"/>
      <c r="MNR16" s="475"/>
      <c r="MNS16" s="476"/>
      <c r="MNT16" s="476"/>
      <c r="MNU16" s="476"/>
      <c r="MNV16" s="476"/>
      <c r="MNW16" s="476"/>
      <c r="MNX16" s="476"/>
      <c r="MNY16" s="476"/>
      <c r="MNZ16" s="476"/>
      <c r="MOA16" s="476"/>
      <c r="MOB16" s="476"/>
      <c r="MOC16" s="476"/>
      <c r="MOD16" s="476"/>
      <c r="MOE16" s="477"/>
      <c r="MOF16" s="477"/>
      <c r="MOG16" s="463"/>
      <c r="MOH16" s="475"/>
      <c r="MOI16" s="476"/>
      <c r="MOJ16" s="476"/>
      <c r="MOK16" s="476"/>
      <c r="MOL16" s="476"/>
      <c r="MOM16" s="476"/>
      <c r="MON16" s="476"/>
      <c r="MOO16" s="476"/>
      <c r="MOP16" s="476"/>
      <c r="MOQ16" s="476"/>
      <c r="MOR16" s="476"/>
      <c r="MOS16" s="476"/>
      <c r="MOT16" s="476"/>
      <c r="MOU16" s="477"/>
      <c r="MOV16" s="477"/>
      <c r="MOW16" s="463"/>
      <c r="MOX16" s="475"/>
      <c r="MOY16" s="476"/>
      <c r="MOZ16" s="476"/>
      <c r="MPA16" s="476"/>
      <c r="MPB16" s="476"/>
      <c r="MPC16" s="476"/>
      <c r="MPD16" s="476"/>
      <c r="MPE16" s="476"/>
      <c r="MPF16" s="476"/>
      <c r="MPG16" s="476"/>
      <c r="MPH16" s="476"/>
      <c r="MPI16" s="476"/>
      <c r="MPJ16" s="476"/>
      <c r="MPK16" s="477"/>
      <c r="MPL16" s="477"/>
      <c r="MPM16" s="463"/>
      <c r="MPN16" s="475"/>
      <c r="MPO16" s="476"/>
      <c r="MPP16" s="476"/>
      <c r="MPQ16" s="476"/>
      <c r="MPR16" s="476"/>
      <c r="MPS16" s="476"/>
      <c r="MPT16" s="476"/>
      <c r="MPU16" s="476"/>
      <c r="MPV16" s="476"/>
      <c r="MPW16" s="476"/>
      <c r="MPX16" s="476"/>
      <c r="MPY16" s="476"/>
      <c r="MPZ16" s="476"/>
      <c r="MQA16" s="477"/>
      <c r="MQB16" s="477"/>
      <c r="MQC16" s="463"/>
      <c r="MQD16" s="475"/>
      <c r="MQE16" s="476"/>
      <c r="MQF16" s="476"/>
      <c r="MQG16" s="476"/>
      <c r="MQH16" s="476"/>
      <c r="MQI16" s="476"/>
      <c r="MQJ16" s="476"/>
      <c r="MQK16" s="476"/>
      <c r="MQL16" s="476"/>
      <c r="MQM16" s="476"/>
      <c r="MQN16" s="476"/>
      <c r="MQO16" s="476"/>
      <c r="MQP16" s="476"/>
      <c r="MQQ16" s="477"/>
      <c r="MQR16" s="477"/>
      <c r="MQS16" s="463"/>
      <c r="MQT16" s="475"/>
      <c r="MQU16" s="476"/>
      <c r="MQV16" s="476"/>
      <c r="MQW16" s="476"/>
      <c r="MQX16" s="476"/>
      <c r="MQY16" s="476"/>
      <c r="MQZ16" s="476"/>
      <c r="MRA16" s="476"/>
      <c r="MRB16" s="476"/>
      <c r="MRC16" s="476"/>
      <c r="MRD16" s="476"/>
      <c r="MRE16" s="476"/>
      <c r="MRF16" s="476"/>
      <c r="MRG16" s="477"/>
      <c r="MRH16" s="477"/>
      <c r="MRI16" s="463"/>
      <c r="MRJ16" s="475"/>
      <c r="MRK16" s="476"/>
      <c r="MRL16" s="476"/>
      <c r="MRM16" s="476"/>
      <c r="MRN16" s="476"/>
      <c r="MRO16" s="476"/>
      <c r="MRP16" s="476"/>
      <c r="MRQ16" s="476"/>
      <c r="MRR16" s="476"/>
      <c r="MRS16" s="476"/>
      <c r="MRT16" s="476"/>
      <c r="MRU16" s="476"/>
      <c r="MRV16" s="476"/>
      <c r="MRW16" s="477"/>
      <c r="MRX16" s="477"/>
      <c r="MRY16" s="463"/>
      <c r="MRZ16" s="475"/>
      <c r="MSA16" s="476"/>
      <c r="MSB16" s="476"/>
      <c r="MSC16" s="476"/>
      <c r="MSD16" s="476"/>
      <c r="MSE16" s="476"/>
      <c r="MSF16" s="476"/>
      <c r="MSG16" s="476"/>
      <c r="MSH16" s="476"/>
      <c r="MSI16" s="476"/>
      <c r="MSJ16" s="476"/>
      <c r="MSK16" s="476"/>
      <c r="MSL16" s="476"/>
      <c r="MSM16" s="477"/>
      <c r="MSN16" s="477"/>
      <c r="MSO16" s="463"/>
      <c r="MSP16" s="475"/>
      <c r="MSQ16" s="476"/>
      <c r="MSR16" s="476"/>
      <c r="MSS16" s="476"/>
      <c r="MST16" s="476"/>
      <c r="MSU16" s="476"/>
      <c r="MSV16" s="476"/>
      <c r="MSW16" s="476"/>
      <c r="MSX16" s="476"/>
      <c r="MSY16" s="476"/>
      <c r="MSZ16" s="476"/>
      <c r="MTA16" s="476"/>
      <c r="MTB16" s="476"/>
      <c r="MTC16" s="477"/>
      <c r="MTD16" s="477"/>
      <c r="MTE16" s="463"/>
      <c r="MTF16" s="475"/>
      <c r="MTG16" s="476"/>
      <c r="MTH16" s="476"/>
      <c r="MTI16" s="476"/>
      <c r="MTJ16" s="476"/>
      <c r="MTK16" s="476"/>
      <c r="MTL16" s="476"/>
      <c r="MTM16" s="476"/>
      <c r="MTN16" s="476"/>
      <c r="MTO16" s="476"/>
      <c r="MTP16" s="476"/>
      <c r="MTQ16" s="476"/>
      <c r="MTR16" s="476"/>
      <c r="MTS16" s="477"/>
      <c r="MTT16" s="477"/>
      <c r="MTU16" s="463"/>
      <c r="MTV16" s="475"/>
      <c r="MTW16" s="476"/>
      <c r="MTX16" s="476"/>
      <c r="MTY16" s="476"/>
      <c r="MTZ16" s="476"/>
      <c r="MUA16" s="476"/>
      <c r="MUB16" s="476"/>
      <c r="MUC16" s="476"/>
      <c r="MUD16" s="476"/>
      <c r="MUE16" s="476"/>
      <c r="MUF16" s="476"/>
      <c r="MUG16" s="476"/>
      <c r="MUH16" s="476"/>
      <c r="MUI16" s="477"/>
      <c r="MUJ16" s="477"/>
      <c r="MUK16" s="463"/>
      <c r="MUL16" s="475"/>
      <c r="MUM16" s="476"/>
      <c r="MUN16" s="476"/>
      <c r="MUO16" s="476"/>
      <c r="MUP16" s="476"/>
      <c r="MUQ16" s="476"/>
      <c r="MUR16" s="476"/>
      <c r="MUS16" s="476"/>
      <c r="MUT16" s="476"/>
      <c r="MUU16" s="476"/>
      <c r="MUV16" s="476"/>
      <c r="MUW16" s="476"/>
      <c r="MUX16" s="476"/>
      <c r="MUY16" s="477"/>
      <c r="MUZ16" s="477"/>
      <c r="MVA16" s="463"/>
      <c r="MVB16" s="475"/>
      <c r="MVC16" s="476"/>
      <c r="MVD16" s="476"/>
      <c r="MVE16" s="476"/>
      <c r="MVF16" s="476"/>
      <c r="MVG16" s="476"/>
      <c r="MVH16" s="476"/>
      <c r="MVI16" s="476"/>
      <c r="MVJ16" s="476"/>
      <c r="MVK16" s="476"/>
      <c r="MVL16" s="476"/>
      <c r="MVM16" s="476"/>
      <c r="MVN16" s="476"/>
      <c r="MVO16" s="477"/>
      <c r="MVP16" s="477"/>
      <c r="MVQ16" s="463"/>
      <c r="MVR16" s="475"/>
      <c r="MVS16" s="476"/>
      <c r="MVT16" s="476"/>
      <c r="MVU16" s="476"/>
      <c r="MVV16" s="476"/>
      <c r="MVW16" s="476"/>
      <c r="MVX16" s="476"/>
      <c r="MVY16" s="476"/>
      <c r="MVZ16" s="476"/>
      <c r="MWA16" s="476"/>
      <c r="MWB16" s="476"/>
      <c r="MWC16" s="476"/>
      <c r="MWD16" s="476"/>
      <c r="MWE16" s="477"/>
      <c r="MWF16" s="477"/>
      <c r="MWG16" s="463"/>
      <c r="MWH16" s="475"/>
      <c r="MWI16" s="476"/>
      <c r="MWJ16" s="476"/>
      <c r="MWK16" s="476"/>
      <c r="MWL16" s="476"/>
      <c r="MWM16" s="476"/>
      <c r="MWN16" s="476"/>
      <c r="MWO16" s="476"/>
      <c r="MWP16" s="476"/>
      <c r="MWQ16" s="476"/>
      <c r="MWR16" s="476"/>
      <c r="MWS16" s="476"/>
      <c r="MWT16" s="476"/>
      <c r="MWU16" s="477"/>
      <c r="MWV16" s="477"/>
      <c r="MWW16" s="463"/>
      <c r="MWX16" s="475"/>
      <c r="MWY16" s="476"/>
      <c r="MWZ16" s="476"/>
      <c r="MXA16" s="476"/>
      <c r="MXB16" s="476"/>
      <c r="MXC16" s="476"/>
      <c r="MXD16" s="476"/>
      <c r="MXE16" s="476"/>
      <c r="MXF16" s="476"/>
      <c r="MXG16" s="476"/>
      <c r="MXH16" s="476"/>
      <c r="MXI16" s="476"/>
      <c r="MXJ16" s="476"/>
      <c r="MXK16" s="477"/>
      <c r="MXL16" s="477"/>
      <c r="MXM16" s="463"/>
      <c r="MXN16" s="475"/>
      <c r="MXO16" s="476"/>
      <c r="MXP16" s="476"/>
      <c r="MXQ16" s="476"/>
      <c r="MXR16" s="476"/>
      <c r="MXS16" s="476"/>
      <c r="MXT16" s="476"/>
      <c r="MXU16" s="476"/>
      <c r="MXV16" s="476"/>
      <c r="MXW16" s="476"/>
      <c r="MXX16" s="476"/>
      <c r="MXY16" s="476"/>
      <c r="MXZ16" s="476"/>
      <c r="MYA16" s="477"/>
      <c r="MYB16" s="477"/>
      <c r="MYC16" s="463"/>
      <c r="MYD16" s="475"/>
      <c r="MYE16" s="476"/>
      <c r="MYF16" s="476"/>
      <c r="MYG16" s="476"/>
      <c r="MYH16" s="476"/>
      <c r="MYI16" s="476"/>
      <c r="MYJ16" s="476"/>
      <c r="MYK16" s="476"/>
      <c r="MYL16" s="476"/>
      <c r="MYM16" s="476"/>
      <c r="MYN16" s="476"/>
      <c r="MYO16" s="476"/>
      <c r="MYP16" s="476"/>
      <c r="MYQ16" s="477"/>
      <c r="MYR16" s="477"/>
      <c r="MYS16" s="463"/>
      <c r="MYT16" s="475"/>
      <c r="MYU16" s="476"/>
      <c r="MYV16" s="476"/>
      <c r="MYW16" s="476"/>
      <c r="MYX16" s="476"/>
      <c r="MYY16" s="476"/>
      <c r="MYZ16" s="476"/>
      <c r="MZA16" s="476"/>
      <c r="MZB16" s="476"/>
      <c r="MZC16" s="476"/>
      <c r="MZD16" s="476"/>
      <c r="MZE16" s="476"/>
      <c r="MZF16" s="476"/>
      <c r="MZG16" s="477"/>
      <c r="MZH16" s="477"/>
      <c r="MZI16" s="463"/>
      <c r="MZJ16" s="475"/>
      <c r="MZK16" s="476"/>
      <c r="MZL16" s="476"/>
      <c r="MZM16" s="476"/>
      <c r="MZN16" s="476"/>
      <c r="MZO16" s="476"/>
      <c r="MZP16" s="476"/>
      <c r="MZQ16" s="476"/>
      <c r="MZR16" s="476"/>
      <c r="MZS16" s="476"/>
      <c r="MZT16" s="476"/>
      <c r="MZU16" s="476"/>
      <c r="MZV16" s="476"/>
      <c r="MZW16" s="477"/>
      <c r="MZX16" s="477"/>
      <c r="MZY16" s="463"/>
      <c r="MZZ16" s="475"/>
      <c r="NAA16" s="476"/>
      <c r="NAB16" s="476"/>
      <c r="NAC16" s="476"/>
      <c r="NAD16" s="476"/>
      <c r="NAE16" s="476"/>
      <c r="NAF16" s="476"/>
      <c r="NAG16" s="476"/>
      <c r="NAH16" s="476"/>
      <c r="NAI16" s="476"/>
      <c r="NAJ16" s="476"/>
      <c r="NAK16" s="476"/>
      <c r="NAL16" s="476"/>
      <c r="NAM16" s="477"/>
      <c r="NAN16" s="477"/>
      <c r="NAO16" s="463"/>
      <c r="NAP16" s="475"/>
      <c r="NAQ16" s="476"/>
      <c r="NAR16" s="476"/>
      <c r="NAS16" s="476"/>
      <c r="NAT16" s="476"/>
      <c r="NAU16" s="476"/>
      <c r="NAV16" s="476"/>
      <c r="NAW16" s="476"/>
      <c r="NAX16" s="476"/>
      <c r="NAY16" s="476"/>
      <c r="NAZ16" s="476"/>
      <c r="NBA16" s="476"/>
      <c r="NBB16" s="476"/>
      <c r="NBC16" s="477"/>
      <c r="NBD16" s="477"/>
      <c r="NBE16" s="463"/>
      <c r="NBF16" s="475"/>
      <c r="NBG16" s="476"/>
      <c r="NBH16" s="476"/>
      <c r="NBI16" s="476"/>
      <c r="NBJ16" s="476"/>
      <c r="NBK16" s="476"/>
      <c r="NBL16" s="476"/>
      <c r="NBM16" s="476"/>
      <c r="NBN16" s="476"/>
      <c r="NBO16" s="476"/>
      <c r="NBP16" s="476"/>
      <c r="NBQ16" s="476"/>
      <c r="NBR16" s="476"/>
      <c r="NBS16" s="477"/>
      <c r="NBT16" s="477"/>
      <c r="NBU16" s="463"/>
      <c r="NBV16" s="475"/>
      <c r="NBW16" s="476"/>
      <c r="NBX16" s="476"/>
      <c r="NBY16" s="476"/>
      <c r="NBZ16" s="476"/>
      <c r="NCA16" s="476"/>
      <c r="NCB16" s="476"/>
      <c r="NCC16" s="476"/>
      <c r="NCD16" s="476"/>
      <c r="NCE16" s="476"/>
      <c r="NCF16" s="476"/>
      <c r="NCG16" s="476"/>
      <c r="NCH16" s="476"/>
      <c r="NCI16" s="477"/>
      <c r="NCJ16" s="477"/>
      <c r="NCK16" s="463"/>
      <c r="NCL16" s="475"/>
      <c r="NCM16" s="476"/>
      <c r="NCN16" s="476"/>
      <c r="NCO16" s="476"/>
      <c r="NCP16" s="476"/>
      <c r="NCQ16" s="476"/>
      <c r="NCR16" s="476"/>
      <c r="NCS16" s="476"/>
      <c r="NCT16" s="476"/>
      <c r="NCU16" s="476"/>
      <c r="NCV16" s="476"/>
      <c r="NCW16" s="476"/>
      <c r="NCX16" s="476"/>
      <c r="NCY16" s="477"/>
      <c r="NCZ16" s="477"/>
      <c r="NDA16" s="463"/>
      <c r="NDB16" s="475"/>
      <c r="NDC16" s="476"/>
      <c r="NDD16" s="476"/>
      <c r="NDE16" s="476"/>
      <c r="NDF16" s="476"/>
      <c r="NDG16" s="476"/>
      <c r="NDH16" s="476"/>
      <c r="NDI16" s="476"/>
      <c r="NDJ16" s="476"/>
      <c r="NDK16" s="476"/>
      <c r="NDL16" s="476"/>
      <c r="NDM16" s="476"/>
      <c r="NDN16" s="476"/>
      <c r="NDO16" s="477"/>
      <c r="NDP16" s="477"/>
      <c r="NDQ16" s="463"/>
      <c r="NDR16" s="475"/>
      <c r="NDS16" s="476"/>
      <c r="NDT16" s="476"/>
      <c r="NDU16" s="476"/>
      <c r="NDV16" s="476"/>
      <c r="NDW16" s="476"/>
      <c r="NDX16" s="476"/>
      <c r="NDY16" s="476"/>
      <c r="NDZ16" s="476"/>
      <c r="NEA16" s="476"/>
      <c r="NEB16" s="476"/>
      <c r="NEC16" s="476"/>
      <c r="NED16" s="476"/>
      <c r="NEE16" s="477"/>
      <c r="NEF16" s="477"/>
      <c r="NEG16" s="463"/>
      <c r="NEH16" s="475"/>
      <c r="NEI16" s="476"/>
      <c r="NEJ16" s="476"/>
      <c r="NEK16" s="476"/>
      <c r="NEL16" s="476"/>
      <c r="NEM16" s="476"/>
      <c r="NEN16" s="476"/>
      <c r="NEO16" s="476"/>
      <c r="NEP16" s="476"/>
      <c r="NEQ16" s="476"/>
      <c r="NER16" s="476"/>
      <c r="NES16" s="476"/>
      <c r="NET16" s="476"/>
      <c r="NEU16" s="477"/>
      <c r="NEV16" s="477"/>
      <c r="NEW16" s="463"/>
      <c r="NEX16" s="475"/>
      <c r="NEY16" s="476"/>
      <c r="NEZ16" s="476"/>
      <c r="NFA16" s="476"/>
      <c r="NFB16" s="476"/>
      <c r="NFC16" s="476"/>
      <c r="NFD16" s="476"/>
      <c r="NFE16" s="476"/>
      <c r="NFF16" s="476"/>
      <c r="NFG16" s="476"/>
      <c r="NFH16" s="476"/>
      <c r="NFI16" s="476"/>
      <c r="NFJ16" s="476"/>
      <c r="NFK16" s="477"/>
      <c r="NFL16" s="477"/>
      <c r="NFM16" s="463"/>
      <c r="NFN16" s="475"/>
      <c r="NFO16" s="476"/>
      <c r="NFP16" s="476"/>
      <c r="NFQ16" s="476"/>
      <c r="NFR16" s="476"/>
      <c r="NFS16" s="476"/>
      <c r="NFT16" s="476"/>
      <c r="NFU16" s="476"/>
      <c r="NFV16" s="476"/>
      <c r="NFW16" s="476"/>
      <c r="NFX16" s="476"/>
      <c r="NFY16" s="476"/>
      <c r="NFZ16" s="476"/>
      <c r="NGA16" s="477"/>
      <c r="NGB16" s="477"/>
      <c r="NGC16" s="463"/>
      <c r="NGD16" s="475"/>
      <c r="NGE16" s="476"/>
      <c r="NGF16" s="476"/>
      <c r="NGG16" s="476"/>
      <c r="NGH16" s="476"/>
      <c r="NGI16" s="476"/>
      <c r="NGJ16" s="476"/>
      <c r="NGK16" s="476"/>
      <c r="NGL16" s="476"/>
      <c r="NGM16" s="476"/>
      <c r="NGN16" s="476"/>
      <c r="NGO16" s="476"/>
      <c r="NGP16" s="476"/>
      <c r="NGQ16" s="477"/>
      <c r="NGR16" s="477"/>
      <c r="NGS16" s="463"/>
      <c r="NGT16" s="475"/>
      <c r="NGU16" s="476"/>
      <c r="NGV16" s="476"/>
      <c r="NGW16" s="476"/>
      <c r="NGX16" s="476"/>
      <c r="NGY16" s="476"/>
      <c r="NGZ16" s="476"/>
      <c r="NHA16" s="476"/>
      <c r="NHB16" s="476"/>
      <c r="NHC16" s="476"/>
      <c r="NHD16" s="476"/>
      <c r="NHE16" s="476"/>
      <c r="NHF16" s="476"/>
      <c r="NHG16" s="477"/>
      <c r="NHH16" s="477"/>
      <c r="NHI16" s="463"/>
      <c r="NHJ16" s="475"/>
      <c r="NHK16" s="476"/>
      <c r="NHL16" s="476"/>
      <c r="NHM16" s="476"/>
      <c r="NHN16" s="476"/>
      <c r="NHO16" s="476"/>
      <c r="NHP16" s="476"/>
      <c r="NHQ16" s="476"/>
      <c r="NHR16" s="476"/>
      <c r="NHS16" s="476"/>
      <c r="NHT16" s="476"/>
      <c r="NHU16" s="476"/>
      <c r="NHV16" s="476"/>
      <c r="NHW16" s="477"/>
      <c r="NHX16" s="477"/>
      <c r="NHY16" s="463"/>
      <c r="NHZ16" s="475"/>
      <c r="NIA16" s="476"/>
      <c r="NIB16" s="476"/>
      <c r="NIC16" s="476"/>
      <c r="NID16" s="476"/>
      <c r="NIE16" s="476"/>
      <c r="NIF16" s="476"/>
      <c r="NIG16" s="476"/>
      <c r="NIH16" s="476"/>
      <c r="NII16" s="476"/>
      <c r="NIJ16" s="476"/>
      <c r="NIK16" s="476"/>
      <c r="NIL16" s="476"/>
      <c r="NIM16" s="477"/>
      <c r="NIN16" s="477"/>
      <c r="NIO16" s="463"/>
      <c r="NIP16" s="475"/>
      <c r="NIQ16" s="476"/>
      <c r="NIR16" s="476"/>
      <c r="NIS16" s="476"/>
      <c r="NIT16" s="476"/>
      <c r="NIU16" s="476"/>
      <c r="NIV16" s="476"/>
      <c r="NIW16" s="476"/>
      <c r="NIX16" s="476"/>
      <c r="NIY16" s="476"/>
      <c r="NIZ16" s="476"/>
      <c r="NJA16" s="476"/>
      <c r="NJB16" s="476"/>
      <c r="NJC16" s="477"/>
      <c r="NJD16" s="477"/>
      <c r="NJE16" s="463"/>
      <c r="NJF16" s="475"/>
      <c r="NJG16" s="476"/>
      <c r="NJH16" s="476"/>
      <c r="NJI16" s="476"/>
      <c r="NJJ16" s="476"/>
      <c r="NJK16" s="476"/>
      <c r="NJL16" s="476"/>
      <c r="NJM16" s="476"/>
      <c r="NJN16" s="476"/>
      <c r="NJO16" s="476"/>
      <c r="NJP16" s="476"/>
      <c r="NJQ16" s="476"/>
      <c r="NJR16" s="476"/>
      <c r="NJS16" s="477"/>
      <c r="NJT16" s="477"/>
      <c r="NJU16" s="463"/>
      <c r="NJV16" s="475"/>
      <c r="NJW16" s="476"/>
      <c r="NJX16" s="476"/>
      <c r="NJY16" s="476"/>
      <c r="NJZ16" s="476"/>
      <c r="NKA16" s="476"/>
      <c r="NKB16" s="476"/>
      <c r="NKC16" s="476"/>
      <c r="NKD16" s="476"/>
      <c r="NKE16" s="476"/>
      <c r="NKF16" s="476"/>
      <c r="NKG16" s="476"/>
      <c r="NKH16" s="476"/>
      <c r="NKI16" s="477"/>
      <c r="NKJ16" s="477"/>
      <c r="NKK16" s="463"/>
      <c r="NKL16" s="475"/>
      <c r="NKM16" s="476"/>
      <c r="NKN16" s="476"/>
      <c r="NKO16" s="476"/>
      <c r="NKP16" s="476"/>
      <c r="NKQ16" s="476"/>
      <c r="NKR16" s="476"/>
      <c r="NKS16" s="476"/>
      <c r="NKT16" s="476"/>
      <c r="NKU16" s="476"/>
      <c r="NKV16" s="476"/>
      <c r="NKW16" s="476"/>
      <c r="NKX16" s="476"/>
      <c r="NKY16" s="477"/>
      <c r="NKZ16" s="477"/>
      <c r="NLA16" s="463"/>
      <c r="NLB16" s="475"/>
      <c r="NLC16" s="476"/>
      <c r="NLD16" s="476"/>
      <c r="NLE16" s="476"/>
      <c r="NLF16" s="476"/>
      <c r="NLG16" s="476"/>
      <c r="NLH16" s="476"/>
      <c r="NLI16" s="476"/>
      <c r="NLJ16" s="476"/>
      <c r="NLK16" s="476"/>
      <c r="NLL16" s="476"/>
      <c r="NLM16" s="476"/>
      <c r="NLN16" s="476"/>
      <c r="NLO16" s="477"/>
      <c r="NLP16" s="477"/>
      <c r="NLQ16" s="463"/>
      <c r="NLR16" s="475"/>
      <c r="NLS16" s="476"/>
      <c r="NLT16" s="476"/>
      <c r="NLU16" s="476"/>
      <c r="NLV16" s="476"/>
      <c r="NLW16" s="476"/>
      <c r="NLX16" s="476"/>
      <c r="NLY16" s="476"/>
      <c r="NLZ16" s="476"/>
      <c r="NMA16" s="476"/>
      <c r="NMB16" s="476"/>
      <c r="NMC16" s="476"/>
      <c r="NMD16" s="476"/>
      <c r="NME16" s="477"/>
      <c r="NMF16" s="477"/>
      <c r="NMG16" s="463"/>
      <c r="NMH16" s="475"/>
      <c r="NMI16" s="476"/>
      <c r="NMJ16" s="476"/>
      <c r="NMK16" s="476"/>
      <c r="NML16" s="476"/>
      <c r="NMM16" s="476"/>
      <c r="NMN16" s="476"/>
      <c r="NMO16" s="476"/>
      <c r="NMP16" s="476"/>
      <c r="NMQ16" s="476"/>
      <c r="NMR16" s="476"/>
      <c r="NMS16" s="476"/>
      <c r="NMT16" s="476"/>
      <c r="NMU16" s="477"/>
      <c r="NMV16" s="477"/>
      <c r="NMW16" s="463"/>
      <c r="NMX16" s="475"/>
      <c r="NMY16" s="476"/>
      <c r="NMZ16" s="476"/>
      <c r="NNA16" s="476"/>
      <c r="NNB16" s="476"/>
      <c r="NNC16" s="476"/>
      <c r="NND16" s="476"/>
      <c r="NNE16" s="476"/>
      <c r="NNF16" s="476"/>
      <c r="NNG16" s="476"/>
      <c r="NNH16" s="476"/>
      <c r="NNI16" s="476"/>
      <c r="NNJ16" s="476"/>
      <c r="NNK16" s="477"/>
      <c r="NNL16" s="477"/>
      <c r="NNM16" s="463"/>
      <c r="NNN16" s="475"/>
      <c r="NNO16" s="476"/>
      <c r="NNP16" s="476"/>
      <c r="NNQ16" s="476"/>
      <c r="NNR16" s="476"/>
      <c r="NNS16" s="476"/>
      <c r="NNT16" s="476"/>
      <c r="NNU16" s="476"/>
      <c r="NNV16" s="476"/>
      <c r="NNW16" s="476"/>
      <c r="NNX16" s="476"/>
      <c r="NNY16" s="476"/>
      <c r="NNZ16" s="476"/>
      <c r="NOA16" s="477"/>
      <c r="NOB16" s="477"/>
      <c r="NOC16" s="463"/>
      <c r="NOD16" s="475"/>
      <c r="NOE16" s="476"/>
      <c r="NOF16" s="476"/>
      <c r="NOG16" s="476"/>
      <c r="NOH16" s="476"/>
      <c r="NOI16" s="476"/>
      <c r="NOJ16" s="476"/>
      <c r="NOK16" s="476"/>
      <c r="NOL16" s="476"/>
      <c r="NOM16" s="476"/>
      <c r="NON16" s="476"/>
      <c r="NOO16" s="476"/>
      <c r="NOP16" s="476"/>
      <c r="NOQ16" s="477"/>
      <c r="NOR16" s="477"/>
      <c r="NOS16" s="463"/>
      <c r="NOT16" s="475"/>
      <c r="NOU16" s="476"/>
      <c r="NOV16" s="476"/>
      <c r="NOW16" s="476"/>
      <c r="NOX16" s="476"/>
      <c r="NOY16" s="476"/>
      <c r="NOZ16" s="476"/>
      <c r="NPA16" s="476"/>
      <c r="NPB16" s="476"/>
      <c r="NPC16" s="476"/>
      <c r="NPD16" s="476"/>
      <c r="NPE16" s="476"/>
      <c r="NPF16" s="476"/>
      <c r="NPG16" s="477"/>
      <c r="NPH16" s="477"/>
      <c r="NPI16" s="463"/>
      <c r="NPJ16" s="475"/>
      <c r="NPK16" s="476"/>
      <c r="NPL16" s="476"/>
      <c r="NPM16" s="476"/>
      <c r="NPN16" s="476"/>
      <c r="NPO16" s="476"/>
      <c r="NPP16" s="476"/>
      <c r="NPQ16" s="476"/>
      <c r="NPR16" s="476"/>
      <c r="NPS16" s="476"/>
      <c r="NPT16" s="476"/>
      <c r="NPU16" s="476"/>
      <c r="NPV16" s="476"/>
      <c r="NPW16" s="477"/>
      <c r="NPX16" s="477"/>
      <c r="NPY16" s="463"/>
      <c r="NPZ16" s="475"/>
      <c r="NQA16" s="476"/>
      <c r="NQB16" s="476"/>
      <c r="NQC16" s="476"/>
      <c r="NQD16" s="476"/>
      <c r="NQE16" s="476"/>
      <c r="NQF16" s="476"/>
      <c r="NQG16" s="476"/>
      <c r="NQH16" s="476"/>
      <c r="NQI16" s="476"/>
      <c r="NQJ16" s="476"/>
      <c r="NQK16" s="476"/>
      <c r="NQL16" s="476"/>
      <c r="NQM16" s="477"/>
      <c r="NQN16" s="477"/>
      <c r="NQO16" s="463"/>
      <c r="NQP16" s="475"/>
      <c r="NQQ16" s="476"/>
      <c r="NQR16" s="476"/>
      <c r="NQS16" s="476"/>
      <c r="NQT16" s="476"/>
      <c r="NQU16" s="476"/>
      <c r="NQV16" s="476"/>
      <c r="NQW16" s="476"/>
      <c r="NQX16" s="476"/>
      <c r="NQY16" s="476"/>
      <c r="NQZ16" s="476"/>
      <c r="NRA16" s="476"/>
      <c r="NRB16" s="476"/>
      <c r="NRC16" s="477"/>
      <c r="NRD16" s="477"/>
      <c r="NRE16" s="463"/>
      <c r="NRF16" s="475"/>
      <c r="NRG16" s="476"/>
      <c r="NRH16" s="476"/>
      <c r="NRI16" s="476"/>
      <c r="NRJ16" s="476"/>
      <c r="NRK16" s="476"/>
      <c r="NRL16" s="476"/>
      <c r="NRM16" s="476"/>
      <c r="NRN16" s="476"/>
      <c r="NRO16" s="476"/>
      <c r="NRP16" s="476"/>
      <c r="NRQ16" s="476"/>
      <c r="NRR16" s="476"/>
      <c r="NRS16" s="477"/>
      <c r="NRT16" s="477"/>
      <c r="NRU16" s="463"/>
      <c r="NRV16" s="475"/>
      <c r="NRW16" s="476"/>
      <c r="NRX16" s="476"/>
      <c r="NRY16" s="476"/>
      <c r="NRZ16" s="476"/>
      <c r="NSA16" s="476"/>
      <c r="NSB16" s="476"/>
      <c r="NSC16" s="476"/>
      <c r="NSD16" s="476"/>
      <c r="NSE16" s="476"/>
      <c r="NSF16" s="476"/>
      <c r="NSG16" s="476"/>
      <c r="NSH16" s="476"/>
      <c r="NSI16" s="477"/>
      <c r="NSJ16" s="477"/>
      <c r="NSK16" s="463"/>
      <c r="NSL16" s="475"/>
      <c r="NSM16" s="476"/>
      <c r="NSN16" s="476"/>
      <c r="NSO16" s="476"/>
      <c r="NSP16" s="476"/>
      <c r="NSQ16" s="476"/>
      <c r="NSR16" s="476"/>
      <c r="NSS16" s="476"/>
      <c r="NST16" s="476"/>
      <c r="NSU16" s="476"/>
      <c r="NSV16" s="476"/>
      <c r="NSW16" s="476"/>
      <c r="NSX16" s="476"/>
      <c r="NSY16" s="477"/>
      <c r="NSZ16" s="477"/>
      <c r="NTA16" s="463"/>
      <c r="NTB16" s="475"/>
      <c r="NTC16" s="476"/>
      <c r="NTD16" s="476"/>
      <c r="NTE16" s="476"/>
      <c r="NTF16" s="476"/>
      <c r="NTG16" s="476"/>
      <c r="NTH16" s="476"/>
      <c r="NTI16" s="476"/>
      <c r="NTJ16" s="476"/>
      <c r="NTK16" s="476"/>
      <c r="NTL16" s="476"/>
      <c r="NTM16" s="476"/>
      <c r="NTN16" s="476"/>
      <c r="NTO16" s="477"/>
      <c r="NTP16" s="477"/>
      <c r="NTQ16" s="463"/>
      <c r="NTR16" s="475"/>
      <c r="NTS16" s="476"/>
      <c r="NTT16" s="476"/>
      <c r="NTU16" s="476"/>
      <c r="NTV16" s="476"/>
      <c r="NTW16" s="476"/>
      <c r="NTX16" s="476"/>
      <c r="NTY16" s="476"/>
      <c r="NTZ16" s="476"/>
      <c r="NUA16" s="476"/>
      <c r="NUB16" s="476"/>
      <c r="NUC16" s="476"/>
      <c r="NUD16" s="476"/>
      <c r="NUE16" s="477"/>
      <c r="NUF16" s="477"/>
      <c r="NUG16" s="463"/>
      <c r="NUH16" s="475"/>
      <c r="NUI16" s="476"/>
      <c r="NUJ16" s="476"/>
      <c r="NUK16" s="476"/>
      <c r="NUL16" s="476"/>
      <c r="NUM16" s="476"/>
      <c r="NUN16" s="476"/>
      <c r="NUO16" s="476"/>
      <c r="NUP16" s="476"/>
      <c r="NUQ16" s="476"/>
      <c r="NUR16" s="476"/>
      <c r="NUS16" s="476"/>
      <c r="NUT16" s="476"/>
      <c r="NUU16" s="477"/>
      <c r="NUV16" s="477"/>
      <c r="NUW16" s="463"/>
      <c r="NUX16" s="475"/>
      <c r="NUY16" s="476"/>
      <c r="NUZ16" s="476"/>
      <c r="NVA16" s="476"/>
      <c r="NVB16" s="476"/>
      <c r="NVC16" s="476"/>
      <c r="NVD16" s="476"/>
      <c r="NVE16" s="476"/>
      <c r="NVF16" s="476"/>
      <c r="NVG16" s="476"/>
      <c r="NVH16" s="476"/>
      <c r="NVI16" s="476"/>
      <c r="NVJ16" s="476"/>
      <c r="NVK16" s="477"/>
      <c r="NVL16" s="477"/>
      <c r="NVM16" s="463"/>
      <c r="NVN16" s="475"/>
      <c r="NVO16" s="476"/>
      <c r="NVP16" s="476"/>
      <c r="NVQ16" s="476"/>
      <c r="NVR16" s="476"/>
      <c r="NVS16" s="476"/>
      <c r="NVT16" s="476"/>
      <c r="NVU16" s="476"/>
      <c r="NVV16" s="476"/>
      <c r="NVW16" s="476"/>
      <c r="NVX16" s="476"/>
      <c r="NVY16" s="476"/>
      <c r="NVZ16" s="476"/>
      <c r="NWA16" s="477"/>
      <c r="NWB16" s="477"/>
      <c r="NWC16" s="463"/>
      <c r="NWD16" s="475"/>
      <c r="NWE16" s="476"/>
      <c r="NWF16" s="476"/>
      <c r="NWG16" s="476"/>
      <c r="NWH16" s="476"/>
      <c r="NWI16" s="476"/>
      <c r="NWJ16" s="476"/>
      <c r="NWK16" s="476"/>
      <c r="NWL16" s="476"/>
      <c r="NWM16" s="476"/>
      <c r="NWN16" s="476"/>
      <c r="NWO16" s="476"/>
      <c r="NWP16" s="476"/>
      <c r="NWQ16" s="477"/>
      <c r="NWR16" s="477"/>
      <c r="NWS16" s="463"/>
      <c r="NWT16" s="475"/>
      <c r="NWU16" s="476"/>
      <c r="NWV16" s="476"/>
      <c r="NWW16" s="476"/>
      <c r="NWX16" s="476"/>
      <c r="NWY16" s="476"/>
      <c r="NWZ16" s="476"/>
      <c r="NXA16" s="476"/>
      <c r="NXB16" s="476"/>
      <c r="NXC16" s="476"/>
      <c r="NXD16" s="476"/>
      <c r="NXE16" s="476"/>
      <c r="NXF16" s="476"/>
      <c r="NXG16" s="477"/>
      <c r="NXH16" s="477"/>
      <c r="NXI16" s="463"/>
      <c r="NXJ16" s="475"/>
      <c r="NXK16" s="476"/>
      <c r="NXL16" s="476"/>
      <c r="NXM16" s="476"/>
      <c r="NXN16" s="476"/>
      <c r="NXO16" s="476"/>
      <c r="NXP16" s="476"/>
      <c r="NXQ16" s="476"/>
      <c r="NXR16" s="476"/>
      <c r="NXS16" s="476"/>
      <c r="NXT16" s="476"/>
      <c r="NXU16" s="476"/>
      <c r="NXV16" s="476"/>
      <c r="NXW16" s="477"/>
      <c r="NXX16" s="477"/>
      <c r="NXY16" s="463"/>
      <c r="NXZ16" s="475"/>
      <c r="NYA16" s="476"/>
      <c r="NYB16" s="476"/>
      <c r="NYC16" s="476"/>
      <c r="NYD16" s="476"/>
      <c r="NYE16" s="476"/>
      <c r="NYF16" s="476"/>
      <c r="NYG16" s="476"/>
      <c r="NYH16" s="476"/>
      <c r="NYI16" s="476"/>
      <c r="NYJ16" s="476"/>
      <c r="NYK16" s="476"/>
      <c r="NYL16" s="476"/>
      <c r="NYM16" s="477"/>
      <c r="NYN16" s="477"/>
      <c r="NYO16" s="463"/>
      <c r="NYP16" s="475"/>
      <c r="NYQ16" s="476"/>
      <c r="NYR16" s="476"/>
      <c r="NYS16" s="476"/>
      <c r="NYT16" s="476"/>
      <c r="NYU16" s="476"/>
      <c r="NYV16" s="476"/>
      <c r="NYW16" s="476"/>
      <c r="NYX16" s="476"/>
      <c r="NYY16" s="476"/>
      <c r="NYZ16" s="476"/>
      <c r="NZA16" s="476"/>
      <c r="NZB16" s="476"/>
      <c r="NZC16" s="477"/>
      <c r="NZD16" s="477"/>
      <c r="NZE16" s="463"/>
      <c r="NZF16" s="475"/>
      <c r="NZG16" s="476"/>
      <c r="NZH16" s="476"/>
      <c r="NZI16" s="476"/>
      <c r="NZJ16" s="476"/>
      <c r="NZK16" s="476"/>
      <c r="NZL16" s="476"/>
      <c r="NZM16" s="476"/>
      <c r="NZN16" s="476"/>
      <c r="NZO16" s="476"/>
      <c r="NZP16" s="476"/>
      <c r="NZQ16" s="476"/>
      <c r="NZR16" s="476"/>
      <c r="NZS16" s="477"/>
      <c r="NZT16" s="477"/>
      <c r="NZU16" s="463"/>
      <c r="NZV16" s="475"/>
      <c r="NZW16" s="476"/>
      <c r="NZX16" s="476"/>
      <c r="NZY16" s="476"/>
      <c r="NZZ16" s="476"/>
      <c r="OAA16" s="476"/>
      <c r="OAB16" s="476"/>
      <c r="OAC16" s="476"/>
      <c r="OAD16" s="476"/>
      <c r="OAE16" s="476"/>
      <c r="OAF16" s="476"/>
      <c r="OAG16" s="476"/>
      <c r="OAH16" s="476"/>
      <c r="OAI16" s="477"/>
      <c r="OAJ16" s="477"/>
      <c r="OAK16" s="463"/>
      <c r="OAL16" s="475"/>
      <c r="OAM16" s="476"/>
      <c r="OAN16" s="476"/>
      <c r="OAO16" s="476"/>
      <c r="OAP16" s="476"/>
      <c r="OAQ16" s="476"/>
      <c r="OAR16" s="476"/>
      <c r="OAS16" s="476"/>
      <c r="OAT16" s="476"/>
      <c r="OAU16" s="476"/>
      <c r="OAV16" s="476"/>
      <c r="OAW16" s="476"/>
      <c r="OAX16" s="476"/>
      <c r="OAY16" s="477"/>
      <c r="OAZ16" s="477"/>
      <c r="OBA16" s="463"/>
      <c r="OBB16" s="475"/>
      <c r="OBC16" s="476"/>
      <c r="OBD16" s="476"/>
      <c r="OBE16" s="476"/>
      <c r="OBF16" s="476"/>
      <c r="OBG16" s="476"/>
      <c r="OBH16" s="476"/>
      <c r="OBI16" s="476"/>
      <c r="OBJ16" s="476"/>
      <c r="OBK16" s="476"/>
      <c r="OBL16" s="476"/>
      <c r="OBM16" s="476"/>
      <c r="OBN16" s="476"/>
      <c r="OBO16" s="477"/>
      <c r="OBP16" s="477"/>
      <c r="OBQ16" s="463"/>
      <c r="OBR16" s="475"/>
      <c r="OBS16" s="476"/>
      <c r="OBT16" s="476"/>
      <c r="OBU16" s="476"/>
      <c r="OBV16" s="476"/>
      <c r="OBW16" s="476"/>
      <c r="OBX16" s="476"/>
      <c r="OBY16" s="476"/>
      <c r="OBZ16" s="476"/>
      <c r="OCA16" s="476"/>
      <c r="OCB16" s="476"/>
      <c r="OCC16" s="476"/>
      <c r="OCD16" s="476"/>
      <c r="OCE16" s="477"/>
      <c r="OCF16" s="477"/>
      <c r="OCG16" s="463"/>
      <c r="OCH16" s="475"/>
      <c r="OCI16" s="476"/>
      <c r="OCJ16" s="476"/>
      <c r="OCK16" s="476"/>
      <c r="OCL16" s="476"/>
      <c r="OCM16" s="476"/>
      <c r="OCN16" s="476"/>
      <c r="OCO16" s="476"/>
      <c r="OCP16" s="476"/>
      <c r="OCQ16" s="476"/>
      <c r="OCR16" s="476"/>
      <c r="OCS16" s="476"/>
      <c r="OCT16" s="476"/>
      <c r="OCU16" s="477"/>
      <c r="OCV16" s="477"/>
      <c r="OCW16" s="463"/>
      <c r="OCX16" s="475"/>
      <c r="OCY16" s="476"/>
      <c r="OCZ16" s="476"/>
      <c r="ODA16" s="476"/>
      <c r="ODB16" s="476"/>
      <c r="ODC16" s="476"/>
      <c r="ODD16" s="476"/>
      <c r="ODE16" s="476"/>
      <c r="ODF16" s="476"/>
      <c r="ODG16" s="476"/>
      <c r="ODH16" s="476"/>
      <c r="ODI16" s="476"/>
      <c r="ODJ16" s="476"/>
      <c r="ODK16" s="477"/>
      <c r="ODL16" s="477"/>
      <c r="ODM16" s="463"/>
      <c r="ODN16" s="475"/>
      <c r="ODO16" s="476"/>
      <c r="ODP16" s="476"/>
      <c r="ODQ16" s="476"/>
      <c r="ODR16" s="476"/>
      <c r="ODS16" s="476"/>
      <c r="ODT16" s="476"/>
      <c r="ODU16" s="476"/>
      <c r="ODV16" s="476"/>
      <c r="ODW16" s="476"/>
      <c r="ODX16" s="476"/>
      <c r="ODY16" s="476"/>
      <c r="ODZ16" s="476"/>
      <c r="OEA16" s="477"/>
      <c r="OEB16" s="477"/>
      <c r="OEC16" s="463"/>
      <c r="OED16" s="475"/>
      <c r="OEE16" s="476"/>
      <c r="OEF16" s="476"/>
      <c r="OEG16" s="476"/>
      <c r="OEH16" s="476"/>
      <c r="OEI16" s="476"/>
      <c r="OEJ16" s="476"/>
      <c r="OEK16" s="476"/>
      <c r="OEL16" s="476"/>
      <c r="OEM16" s="476"/>
      <c r="OEN16" s="476"/>
      <c r="OEO16" s="476"/>
      <c r="OEP16" s="476"/>
      <c r="OEQ16" s="477"/>
      <c r="OER16" s="477"/>
      <c r="OES16" s="463"/>
      <c r="OET16" s="475"/>
      <c r="OEU16" s="476"/>
      <c r="OEV16" s="476"/>
      <c r="OEW16" s="476"/>
      <c r="OEX16" s="476"/>
      <c r="OEY16" s="476"/>
      <c r="OEZ16" s="476"/>
      <c r="OFA16" s="476"/>
      <c r="OFB16" s="476"/>
      <c r="OFC16" s="476"/>
      <c r="OFD16" s="476"/>
      <c r="OFE16" s="476"/>
      <c r="OFF16" s="476"/>
      <c r="OFG16" s="477"/>
      <c r="OFH16" s="477"/>
      <c r="OFI16" s="463"/>
      <c r="OFJ16" s="475"/>
      <c r="OFK16" s="476"/>
      <c r="OFL16" s="476"/>
      <c r="OFM16" s="476"/>
      <c r="OFN16" s="476"/>
      <c r="OFO16" s="476"/>
      <c r="OFP16" s="476"/>
      <c r="OFQ16" s="476"/>
      <c r="OFR16" s="476"/>
      <c r="OFS16" s="476"/>
      <c r="OFT16" s="476"/>
      <c r="OFU16" s="476"/>
      <c r="OFV16" s="476"/>
      <c r="OFW16" s="477"/>
      <c r="OFX16" s="477"/>
      <c r="OFY16" s="463"/>
      <c r="OFZ16" s="475"/>
      <c r="OGA16" s="476"/>
      <c r="OGB16" s="476"/>
      <c r="OGC16" s="476"/>
      <c r="OGD16" s="476"/>
      <c r="OGE16" s="476"/>
      <c r="OGF16" s="476"/>
      <c r="OGG16" s="476"/>
      <c r="OGH16" s="476"/>
      <c r="OGI16" s="476"/>
      <c r="OGJ16" s="476"/>
      <c r="OGK16" s="476"/>
      <c r="OGL16" s="476"/>
      <c r="OGM16" s="477"/>
      <c r="OGN16" s="477"/>
      <c r="OGO16" s="463"/>
      <c r="OGP16" s="475"/>
      <c r="OGQ16" s="476"/>
      <c r="OGR16" s="476"/>
      <c r="OGS16" s="476"/>
      <c r="OGT16" s="476"/>
      <c r="OGU16" s="476"/>
      <c r="OGV16" s="476"/>
      <c r="OGW16" s="476"/>
      <c r="OGX16" s="476"/>
      <c r="OGY16" s="476"/>
      <c r="OGZ16" s="476"/>
      <c r="OHA16" s="476"/>
      <c r="OHB16" s="476"/>
      <c r="OHC16" s="477"/>
      <c r="OHD16" s="477"/>
      <c r="OHE16" s="463"/>
      <c r="OHF16" s="475"/>
      <c r="OHG16" s="476"/>
      <c r="OHH16" s="476"/>
      <c r="OHI16" s="476"/>
      <c r="OHJ16" s="476"/>
      <c r="OHK16" s="476"/>
      <c r="OHL16" s="476"/>
      <c r="OHM16" s="476"/>
      <c r="OHN16" s="476"/>
      <c r="OHO16" s="476"/>
      <c r="OHP16" s="476"/>
      <c r="OHQ16" s="476"/>
      <c r="OHR16" s="476"/>
      <c r="OHS16" s="477"/>
      <c r="OHT16" s="477"/>
      <c r="OHU16" s="463"/>
      <c r="OHV16" s="475"/>
      <c r="OHW16" s="476"/>
      <c r="OHX16" s="476"/>
      <c r="OHY16" s="476"/>
      <c r="OHZ16" s="476"/>
      <c r="OIA16" s="476"/>
      <c r="OIB16" s="476"/>
      <c r="OIC16" s="476"/>
      <c r="OID16" s="476"/>
      <c r="OIE16" s="476"/>
      <c r="OIF16" s="476"/>
      <c r="OIG16" s="476"/>
      <c r="OIH16" s="476"/>
      <c r="OII16" s="477"/>
      <c r="OIJ16" s="477"/>
      <c r="OIK16" s="463"/>
      <c r="OIL16" s="475"/>
      <c r="OIM16" s="476"/>
      <c r="OIN16" s="476"/>
      <c r="OIO16" s="476"/>
      <c r="OIP16" s="476"/>
      <c r="OIQ16" s="476"/>
      <c r="OIR16" s="476"/>
      <c r="OIS16" s="476"/>
      <c r="OIT16" s="476"/>
      <c r="OIU16" s="476"/>
      <c r="OIV16" s="476"/>
      <c r="OIW16" s="476"/>
      <c r="OIX16" s="476"/>
      <c r="OIY16" s="477"/>
      <c r="OIZ16" s="477"/>
      <c r="OJA16" s="463"/>
      <c r="OJB16" s="475"/>
      <c r="OJC16" s="476"/>
      <c r="OJD16" s="476"/>
      <c r="OJE16" s="476"/>
      <c r="OJF16" s="476"/>
      <c r="OJG16" s="476"/>
      <c r="OJH16" s="476"/>
      <c r="OJI16" s="476"/>
      <c r="OJJ16" s="476"/>
      <c r="OJK16" s="476"/>
      <c r="OJL16" s="476"/>
      <c r="OJM16" s="476"/>
      <c r="OJN16" s="476"/>
      <c r="OJO16" s="477"/>
      <c r="OJP16" s="477"/>
      <c r="OJQ16" s="463"/>
      <c r="OJR16" s="475"/>
      <c r="OJS16" s="476"/>
      <c r="OJT16" s="476"/>
      <c r="OJU16" s="476"/>
      <c r="OJV16" s="476"/>
      <c r="OJW16" s="476"/>
      <c r="OJX16" s="476"/>
      <c r="OJY16" s="476"/>
      <c r="OJZ16" s="476"/>
      <c r="OKA16" s="476"/>
      <c r="OKB16" s="476"/>
      <c r="OKC16" s="476"/>
      <c r="OKD16" s="476"/>
      <c r="OKE16" s="477"/>
      <c r="OKF16" s="477"/>
      <c r="OKG16" s="463"/>
      <c r="OKH16" s="475"/>
      <c r="OKI16" s="476"/>
      <c r="OKJ16" s="476"/>
      <c r="OKK16" s="476"/>
      <c r="OKL16" s="476"/>
      <c r="OKM16" s="476"/>
      <c r="OKN16" s="476"/>
      <c r="OKO16" s="476"/>
      <c r="OKP16" s="476"/>
      <c r="OKQ16" s="476"/>
      <c r="OKR16" s="476"/>
      <c r="OKS16" s="476"/>
      <c r="OKT16" s="476"/>
      <c r="OKU16" s="477"/>
      <c r="OKV16" s="477"/>
      <c r="OKW16" s="463"/>
      <c r="OKX16" s="475"/>
      <c r="OKY16" s="476"/>
      <c r="OKZ16" s="476"/>
      <c r="OLA16" s="476"/>
      <c r="OLB16" s="476"/>
      <c r="OLC16" s="476"/>
      <c r="OLD16" s="476"/>
      <c r="OLE16" s="476"/>
      <c r="OLF16" s="476"/>
      <c r="OLG16" s="476"/>
      <c r="OLH16" s="476"/>
      <c r="OLI16" s="476"/>
      <c r="OLJ16" s="476"/>
      <c r="OLK16" s="477"/>
      <c r="OLL16" s="477"/>
      <c r="OLM16" s="463"/>
      <c r="OLN16" s="475"/>
      <c r="OLO16" s="476"/>
      <c r="OLP16" s="476"/>
      <c r="OLQ16" s="476"/>
      <c r="OLR16" s="476"/>
      <c r="OLS16" s="476"/>
      <c r="OLT16" s="476"/>
      <c r="OLU16" s="476"/>
      <c r="OLV16" s="476"/>
      <c r="OLW16" s="476"/>
      <c r="OLX16" s="476"/>
      <c r="OLY16" s="476"/>
      <c r="OLZ16" s="476"/>
      <c r="OMA16" s="477"/>
      <c r="OMB16" s="477"/>
      <c r="OMC16" s="463"/>
      <c r="OMD16" s="475"/>
      <c r="OME16" s="476"/>
      <c r="OMF16" s="476"/>
      <c r="OMG16" s="476"/>
      <c r="OMH16" s="476"/>
      <c r="OMI16" s="476"/>
      <c r="OMJ16" s="476"/>
      <c r="OMK16" s="476"/>
      <c r="OML16" s="476"/>
      <c r="OMM16" s="476"/>
      <c r="OMN16" s="476"/>
      <c r="OMO16" s="476"/>
      <c r="OMP16" s="476"/>
      <c r="OMQ16" s="477"/>
      <c r="OMR16" s="477"/>
      <c r="OMS16" s="463"/>
      <c r="OMT16" s="475"/>
      <c r="OMU16" s="476"/>
      <c r="OMV16" s="476"/>
      <c r="OMW16" s="476"/>
      <c r="OMX16" s="476"/>
      <c r="OMY16" s="476"/>
      <c r="OMZ16" s="476"/>
      <c r="ONA16" s="476"/>
      <c r="ONB16" s="476"/>
      <c r="ONC16" s="476"/>
      <c r="OND16" s="476"/>
      <c r="ONE16" s="476"/>
      <c r="ONF16" s="476"/>
      <c r="ONG16" s="477"/>
      <c r="ONH16" s="477"/>
      <c r="ONI16" s="463"/>
      <c r="ONJ16" s="475"/>
      <c r="ONK16" s="476"/>
      <c r="ONL16" s="476"/>
      <c r="ONM16" s="476"/>
      <c r="ONN16" s="476"/>
      <c r="ONO16" s="476"/>
      <c r="ONP16" s="476"/>
      <c r="ONQ16" s="476"/>
      <c r="ONR16" s="476"/>
      <c r="ONS16" s="476"/>
      <c r="ONT16" s="476"/>
      <c r="ONU16" s="476"/>
      <c r="ONV16" s="476"/>
      <c r="ONW16" s="477"/>
      <c r="ONX16" s="477"/>
      <c r="ONY16" s="463"/>
      <c r="ONZ16" s="475"/>
      <c r="OOA16" s="476"/>
      <c r="OOB16" s="476"/>
      <c r="OOC16" s="476"/>
      <c r="OOD16" s="476"/>
      <c r="OOE16" s="476"/>
      <c r="OOF16" s="476"/>
      <c r="OOG16" s="476"/>
      <c r="OOH16" s="476"/>
      <c r="OOI16" s="476"/>
      <c r="OOJ16" s="476"/>
      <c r="OOK16" s="476"/>
      <c r="OOL16" s="476"/>
      <c r="OOM16" s="477"/>
      <c r="OON16" s="477"/>
      <c r="OOO16" s="463"/>
      <c r="OOP16" s="475"/>
      <c r="OOQ16" s="476"/>
      <c r="OOR16" s="476"/>
      <c r="OOS16" s="476"/>
      <c r="OOT16" s="476"/>
      <c r="OOU16" s="476"/>
      <c r="OOV16" s="476"/>
      <c r="OOW16" s="476"/>
      <c r="OOX16" s="476"/>
      <c r="OOY16" s="476"/>
      <c r="OOZ16" s="476"/>
      <c r="OPA16" s="476"/>
      <c r="OPB16" s="476"/>
      <c r="OPC16" s="477"/>
      <c r="OPD16" s="477"/>
      <c r="OPE16" s="463"/>
      <c r="OPF16" s="475"/>
      <c r="OPG16" s="476"/>
      <c r="OPH16" s="476"/>
      <c r="OPI16" s="476"/>
      <c r="OPJ16" s="476"/>
      <c r="OPK16" s="476"/>
      <c r="OPL16" s="476"/>
      <c r="OPM16" s="476"/>
      <c r="OPN16" s="476"/>
      <c r="OPO16" s="476"/>
      <c r="OPP16" s="476"/>
      <c r="OPQ16" s="476"/>
      <c r="OPR16" s="476"/>
      <c r="OPS16" s="477"/>
      <c r="OPT16" s="477"/>
      <c r="OPU16" s="463"/>
      <c r="OPV16" s="475"/>
      <c r="OPW16" s="476"/>
      <c r="OPX16" s="476"/>
      <c r="OPY16" s="476"/>
      <c r="OPZ16" s="476"/>
      <c r="OQA16" s="476"/>
      <c r="OQB16" s="476"/>
      <c r="OQC16" s="476"/>
      <c r="OQD16" s="476"/>
      <c r="OQE16" s="476"/>
      <c r="OQF16" s="476"/>
      <c r="OQG16" s="476"/>
      <c r="OQH16" s="476"/>
      <c r="OQI16" s="477"/>
      <c r="OQJ16" s="477"/>
      <c r="OQK16" s="463"/>
      <c r="OQL16" s="475"/>
      <c r="OQM16" s="476"/>
      <c r="OQN16" s="476"/>
      <c r="OQO16" s="476"/>
      <c r="OQP16" s="476"/>
      <c r="OQQ16" s="476"/>
      <c r="OQR16" s="476"/>
      <c r="OQS16" s="476"/>
      <c r="OQT16" s="476"/>
      <c r="OQU16" s="476"/>
      <c r="OQV16" s="476"/>
      <c r="OQW16" s="476"/>
      <c r="OQX16" s="476"/>
      <c r="OQY16" s="477"/>
      <c r="OQZ16" s="477"/>
      <c r="ORA16" s="463"/>
      <c r="ORB16" s="475"/>
      <c r="ORC16" s="476"/>
      <c r="ORD16" s="476"/>
      <c r="ORE16" s="476"/>
      <c r="ORF16" s="476"/>
      <c r="ORG16" s="476"/>
      <c r="ORH16" s="476"/>
      <c r="ORI16" s="476"/>
      <c r="ORJ16" s="476"/>
      <c r="ORK16" s="476"/>
      <c r="ORL16" s="476"/>
      <c r="ORM16" s="476"/>
      <c r="ORN16" s="476"/>
      <c r="ORO16" s="477"/>
      <c r="ORP16" s="477"/>
      <c r="ORQ16" s="463"/>
      <c r="ORR16" s="475"/>
      <c r="ORS16" s="476"/>
      <c r="ORT16" s="476"/>
      <c r="ORU16" s="476"/>
      <c r="ORV16" s="476"/>
      <c r="ORW16" s="476"/>
      <c r="ORX16" s="476"/>
      <c r="ORY16" s="476"/>
      <c r="ORZ16" s="476"/>
      <c r="OSA16" s="476"/>
      <c r="OSB16" s="476"/>
      <c r="OSC16" s="476"/>
      <c r="OSD16" s="476"/>
      <c r="OSE16" s="477"/>
      <c r="OSF16" s="477"/>
      <c r="OSG16" s="463"/>
      <c r="OSH16" s="475"/>
      <c r="OSI16" s="476"/>
      <c r="OSJ16" s="476"/>
      <c r="OSK16" s="476"/>
      <c r="OSL16" s="476"/>
      <c r="OSM16" s="476"/>
      <c r="OSN16" s="476"/>
      <c r="OSO16" s="476"/>
      <c r="OSP16" s="476"/>
      <c r="OSQ16" s="476"/>
      <c r="OSR16" s="476"/>
      <c r="OSS16" s="476"/>
      <c r="OST16" s="476"/>
      <c r="OSU16" s="477"/>
      <c r="OSV16" s="477"/>
      <c r="OSW16" s="463"/>
      <c r="OSX16" s="475"/>
      <c r="OSY16" s="476"/>
      <c r="OSZ16" s="476"/>
      <c r="OTA16" s="476"/>
      <c r="OTB16" s="476"/>
      <c r="OTC16" s="476"/>
      <c r="OTD16" s="476"/>
      <c r="OTE16" s="476"/>
      <c r="OTF16" s="476"/>
      <c r="OTG16" s="476"/>
      <c r="OTH16" s="476"/>
      <c r="OTI16" s="476"/>
      <c r="OTJ16" s="476"/>
      <c r="OTK16" s="477"/>
      <c r="OTL16" s="477"/>
      <c r="OTM16" s="463"/>
      <c r="OTN16" s="475"/>
      <c r="OTO16" s="476"/>
      <c r="OTP16" s="476"/>
      <c r="OTQ16" s="476"/>
      <c r="OTR16" s="476"/>
      <c r="OTS16" s="476"/>
      <c r="OTT16" s="476"/>
      <c r="OTU16" s="476"/>
      <c r="OTV16" s="476"/>
      <c r="OTW16" s="476"/>
      <c r="OTX16" s="476"/>
      <c r="OTY16" s="476"/>
      <c r="OTZ16" s="476"/>
      <c r="OUA16" s="477"/>
      <c r="OUB16" s="477"/>
      <c r="OUC16" s="463"/>
      <c r="OUD16" s="475"/>
      <c r="OUE16" s="476"/>
      <c r="OUF16" s="476"/>
      <c r="OUG16" s="476"/>
      <c r="OUH16" s="476"/>
      <c r="OUI16" s="476"/>
      <c r="OUJ16" s="476"/>
      <c r="OUK16" s="476"/>
      <c r="OUL16" s="476"/>
      <c r="OUM16" s="476"/>
      <c r="OUN16" s="476"/>
      <c r="OUO16" s="476"/>
      <c r="OUP16" s="476"/>
      <c r="OUQ16" s="477"/>
      <c r="OUR16" s="477"/>
      <c r="OUS16" s="463"/>
      <c r="OUT16" s="475"/>
      <c r="OUU16" s="476"/>
      <c r="OUV16" s="476"/>
      <c r="OUW16" s="476"/>
      <c r="OUX16" s="476"/>
      <c r="OUY16" s="476"/>
      <c r="OUZ16" s="476"/>
      <c r="OVA16" s="476"/>
      <c r="OVB16" s="476"/>
      <c r="OVC16" s="476"/>
      <c r="OVD16" s="476"/>
      <c r="OVE16" s="476"/>
      <c r="OVF16" s="476"/>
      <c r="OVG16" s="477"/>
      <c r="OVH16" s="477"/>
      <c r="OVI16" s="463"/>
      <c r="OVJ16" s="475"/>
      <c r="OVK16" s="476"/>
      <c r="OVL16" s="476"/>
      <c r="OVM16" s="476"/>
      <c r="OVN16" s="476"/>
      <c r="OVO16" s="476"/>
      <c r="OVP16" s="476"/>
      <c r="OVQ16" s="476"/>
      <c r="OVR16" s="476"/>
      <c r="OVS16" s="476"/>
      <c r="OVT16" s="476"/>
      <c r="OVU16" s="476"/>
      <c r="OVV16" s="476"/>
      <c r="OVW16" s="477"/>
      <c r="OVX16" s="477"/>
      <c r="OVY16" s="463"/>
      <c r="OVZ16" s="475"/>
      <c r="OWA16" s="476"/>
      <c r="OWB16" s="476"/>
      <c r="OWC16" s="476"/>
      <c r="OWD16" s="476"/>
      <c r="OWE16" s="476"/>
      <c r="OWF16" s="476"/>
      <c r="OWG16" s="476"/>
      <c r="OWH16" s="476"/>
      <c r="OWI16" s="476"/>
      <c r="OWJ16" s="476"/>
      <c r="OWK16" s="476"/>
      <c r="OWL16" s="476"/>
      <c r="OWM16" s="477"/>
      <c r="OWN16" s="477"/>
      <c r="OWO16" s="463"/>
      <c r="OWP16" s="475"/>
      <c r="OWQ16" s="476"/>
      <c r="OWR16" s="476"/>
      <c r="OWS16" s="476"/>
      <c r="OWT16" s="476"/>
      <c r="OWU16" s="476"/>
      <c r="OWV16" s="476"/>
      <c r="OWW16" s="476"/>
      <c r="OWX16" s="476"/>
      <c r="OWY16" s="476"/>
      <c r="OWZ16" s="476"/>
      <c r="OXA16" s="476"/>
      <c r="OXB16" s="476"/>
      <c r="OXC16" s="477"/>
      <c r="OXD16" s="477"/>
      <c r="OXE16" s="463"/>
      <c r="OXF16" s="475"/>
      <c r="OXG16" s="476"/>
      <c r="OXH16" s="476"/>
      <c r="OXI16" s="476"/>
      <c r="OXJ16" s="476"/>
      <c r="OXK16" s="476"/>
      <c r="OXL16" s="476"/>
      <c r="OXM16" s="476"/>
      <c r="OXN16" s="476"/>
      <c r="OXO16" s="476"/>
      <c r="OXP16" s="476"/>
      <c r="OXQ16" s="476"/>
      <c r="OXR16" s="476"/>
      <c r="OXS16" s="477"/>
      <c r="OXT16" s="477"/>
      <c r="OXU16" s="463"/>
      <c r="OXV16" s="475"/>
      <c r="OXW16" s="476"/>
      <c r="OXX16" s="476"/>
      <c r="OXY16" s="476"/>
      <c r="OXZ16" s="476"/>
      <c r="OYA16" s="476"/>
      <c r="OYB16" s="476"/>
      <c r="OYC16" s="476"/>
      <c r="OYD16" s="476"/>
      <c r="OYE16" s="476"/>
      <c r="OYF16" s="476"/>
      <c r="OYG16" s="476"/>
      <c r="OYH16" s="476"/>
      <c r="OYI16" s="477"/>
      <c r="OYJ16" s="477"/>
      <c r="OYK16" s="463"/>
      <c r="OYL16" s="475"/>
      <c r="OYM16" s="476"/>
      <c r="OYN16" s="476"/>
      <c r="OYO16" s="476"/>
      <c r="OYP16" s="476"/>
      <c r="OYQ16" s="476"/>
      <c r="OYR16" s="476"/>
      <c r="OYS16" s="476"/>
      <c r="OYT16" s="476"/>
      <c r="OYU16" s="476"/>
      <c r="OYV16" s="476"/>
      <c r="OYW16" s="476"/>
      <c r="OYX16" s="476"/>
      <c r="OYY16" s="477"/>
      <c r="OYZ16" s="477"/>
      <c r="OZA16" s="463"/>
      <c r="OZB16" s="475"/>
      <c r="OZC16" s="476"/>
      <c r="OZD16" s="476"/>
      <c r="OZE16" s="476"/>
      <c r="OZF16" s="476"/>
      <c r="OZG16" s="476"/>
      <c r="OZH16" s="476"/>
      <c r="OZI16" s="476"/>
      <c r="OZJ16" s="476"/>
      <c r="OZK16" s="476"/>
      <c r="OZL16" s="476"/>
      <c r="OZM16" s="476"/>
      <c r="OZN16" s="476"/>
      <c r="OZO16" s="477"/>
      <c r="OZP16" s="477"/>
      <c r="OZQ16" s="463"/>
      <c r="OZR16" s="475"/>
      <c r="OZS16" s="476"/>
      <c r="OZT16" s="476"/>
      <c r="OZU16" s="476"/>
      <c r="OZV16" s="476"/>
      <c r="OZW16" s="476"/>
      <c r="OZX16" s="476"/>
      <c r="OZY16" s="476"/>
      <c r="OZZ16" s="476"/>
      <c r="PAA16" s="476"/>
      <c r="PAB16" s="476"/>
      <c r="PAC16" s="476"/>
      <c r="PAD16" s="476"/>
      <c r="PAE16" s="477"/>
      <c r="PAF16" s="477"/>
      <c r="PAG16" s="463"/>
      <c r="PAH16" s="475"/>
      <c r="PAI16" s="476"/>
      <c r="PAJ16" s="476"/>
      <c r="PAK16" s="476"/>
      <c r="PAL16" s="476"/>
      <c r="PAM16" s="476"/>
      <c r="PAN16" s="476"/>
      <c r="PAO16" s="476"/>
      <c r="PAP16" s="476"/>
      <c r="PAQ16" s="476"/>
      <c r="PAR16" s="476"/>
      <c r="PAS16" s="476"/>
      <c r="PAT16" s="476"/>
      <c r="PAU16" s="477"/>
      <c r="PAV16" s="477"/>
      <c r="PAW16" s="463"/>
      <c r="PAX16" s="475"/>
      <c r="PAY16" s="476"/>
      <c r="PAZ16" s="476"/>
      <c r="PBA16" s="476"/>
      <c r="PBB16" s="476"/>
      <c r="PBC16" s="476"/>
      <c r="PBD16" s="476"/>
      <c r="PBE16" s="476"/>
      <c r="PBF16" s="476"/>
      <c r="PBG16" s="476"/>
      <c r="PBH16" s="476"/>
      <c r="PBI16" s="476"/>
      <c r="PBJ16" s="476"/>
      <c r="PBK16" s="477"/>
      <c r="PBL16" s="477"/>
      <c r="PBM16" s="463"/>
      <c r="PBN16" s="475"/>
      <c r="PBO16" s="476"/>
      <c r="PBP16" s="476"/>
      <c r="PBQ16" s="476"/>
      <c r="PBR16" s="476"/>
      <c r="PBS16" s="476"/>
      <c r="PBT16" s="476"/>
      <c r="PBU16" s="476"/>
      <c r="PBV16" s="476"/>
      <c r="PBW16" s="476"/>
      <c r="PBX16" s="476"/>
      <c r="PBY16" s="476"/>
      <c r="PBZ16" s="476"/>
      <c r="PCA16" s="477"/>
      <c r="PCB16" s="477"/>
      <c r="PCC16" s="463"/>
      <c r="PCD16" s="475"/>
      <c r="PCE16" s="476"/>
      <c r="PCF16" s="476"/>
      <c r="PCG16" s="476"/>
      <c r="PCH16" s="476"/>
      <c r="PCI16" s="476"/>
      <c r="PCJ16" s="476"/>
      <c r="PCK16" s="476"/>
      <c r="PCL16" s="476"/>
      <c r="PCM16" s="476"/>
      <c r="PCN16" s="476"/>
      <c r="PCO16" s="476"/>
      <c r="PCP16" s="476"/>
      <c r="PCQ16" s="477"/>
      <c r="PCR16" s="477"/>
      <c r="PCS16" s="463"/>
      <c r="PCT16" s="475"/>
      <c r="PCU16" s="476"/>
      <c r="PCV16" s="476"/>
      <c r="PCW16" s="476"/>
      <c r="PCX16" s="476"/>
      <c r="PCY16" s="476"/>
      <c r="PCZ16" s="476"/>
      <c r="PDA16" s="476"/>
      <c r="PDB16" s="476"/>
      <c r="PDC16" s="476"/>
      <c r="PDD16" s="476"/>
      <c r="PDE16" s="476"/>
      <c r="PDF16" s="476"/>
      <c r="PDG16" s="477"/>
      <c r="PDH16" s="477"/>
      <c r="PDI16" s="463"/>
      <c r="PDJ16" s="475"/>
      <c r="PDK16" s="476"/>
      <c r="PDL16" s="476"/>
      <c r="PDM16" s="476"/>
      <c r="PDN16" s="476"/>
      <c r="PDO16" s="476"/>
      <c r="PDP16" s="476"/>
      <c r="PDQ16" s="476"/>
      <c r="PDR16" s="476"/>
      <c r="PDS16" s="476"/>
      <c r="PDT16" s="476"/>
      <c r="PDU16" s="476"/>
      <c r="PDV16" s="476"/>
      <c r="PDW16" s="477"/>
      <c r="PDX16" s="477"/>
      <c r="PDY16" s="463"/>
      <c r="PDZ16" s="475"/>
      <c r="PEA16" s="476"/>
      <c r="PEB16" s="476"/>
      <c r="PEC16" s="476"/>
      <c r="PED16" s="476"/>
      <c r="PEE16" s="476"/>
      <c r="PEF16" s="476"/>
      <c r="PEG16" s="476"/>
      <c r="PEH16" s="476"/>
      <c r="PEI16" s="476"/>
      <c r="PEJ16" s="476"/>
      <c r="PEK16" s="476"/>
      <c r="PEL16" s="476"/>
      <c r="PEM16" s="477"/>
      <c r="PEN16" s="477"/>
      <c r="PEO16" s="463"/>
      <c r="PEP16" s="475"/>
      <c r="PEQ16" s="476"/>
      <c r="PER16" s="476"/>
      <c r="PES16" s="476"/>
      <c r="PET16" s="476"/>
      <c r="PEU16" s="476"/>
      <c r="PEV16" s="476"/>
      <c r="PEW16" s="476"/>
      <c r="PEX16" s="476"/>
      <c r="PEY16" s="476"/>
      <c r="PEZ16" s="476"/>
      <c r="PFA16" s="476"/>
      <c r="PFB16" s="476"/>
      <c r="PFC16" s="477"/>
      <c r="PFD16" s="477"/>
      <c r="PFE16" s="463"/>
      <c r="PFF16" s="475"/>
      <c r="PFG16" s="476"/>
      <c r="PFH16" s="476"/>
      <c r="PFI16" s="476"/>
      <c r="PFJ16" s="476"/>
      <c r="PFK16" s="476"/>
      <c r="PFL16" s="476"/>
      <c r="PFM16" s="476"/>
      <c r="PFN16" s="476"/>
      <c r="PFO16" s="476"/>
      <c r="PFP16" s="476"/>
      <c r="PFQ16" s="476"/>
      <c r="PFR16" s="476"/>
      <c r="PFS16" s="477"/>
      <c r="PFT16" s="477"/>
      <c r="PFU16" s="463"/>
      <c r="PFV16" s="475"/>
      <c r="PFW16" s="476"/>
      <c r="PFX16" s="476"/>
      <c r="PFY16" s="476"/>
      <c r="PFZ16" s="476"/>
      <c r="PGA16" s="476"/>
      <c r="PGB16" s="476"/>
      <c r="PGC16" s="476"/>
      <c r="PGD16" s="476"/>
      <c r="PGE16" s="476"/>
      <c r="PGF16" s="476"/>
      <c r="PGG16" s="476"/>
      <c r="PGH16" s="476"/>
      <c r="PGI16" s="477"/>
      <c r="PGJ16" s="477"/>
      <c r="PGK16" s="463"/>
      <c r="PGL16" s="475"/>
      <c r="PGM16" s="476"/>
      <c r="PGN16" s="476"/>
      <c r="PGO16" s="476"/>
      <c r="PGP16" s="476"/>
      <c r="PGQ16" s="476"/>
      <c r="PGR16" s="476"/>
      <c r="PGS16" s="476"/>
      <c r="PGT16" s="476"/>
      <c r="PGU16" s="476"/>
      <c r="PGV16" s="476"/>
      <c r="PGW16" s="476"/>
      <c r="PGX16" s="476"/>
      <c r="PGY16" s="477"/>
      <c r="PGZ16" s="477"/>
      <c r="PHA16" s="463"/>
      <c r="PHB16" s="475"/>
      <c r="PHC16" s="476"/>
      <c r="PHD16" s="476"/>
      <c r="PHE16" s="476"/>
      <c r="PHF16" s="476"/>
      <c r="PHG16" s="476"/>
      <c r="PHH16" s="476"/>
      <c r="PHI16" s="476"/>
      <c r="PHJ16" s="476"/>
      <c r="PHK16" s="476"/>
      <c r="PHL16" s="476"/>
      <c r="PHM16" s="476"/>
      <c r="PHN16" s="476"/>
      <c r="PHO16" s="477"/>
      <c r="PHP16" s="477"/>
      <c r="PHQ16" s="463"/>
      <c r="PHR16" s="475"/>
      <c r="PHS16" s="476"/>
      <c r="PHT16" s="476"/>
      <c r="PHU16" s="476"/>
      <c r="PHV16" s="476"/>
      <c r="PHW16" s="476"/>
      <c r="PHX16" s="476"/>
      <c r="PHY16" s="476"/>
      <c r="PHZ16" s="476"/>
      <c r="PIA16" s="476"/>
      <c r="PIB16" s="476"/>
      <c r="PIC16" s="476"/>
      <c r="PID16" s="476"/>
      <c r="PIE16" s="477"/>
      <c r="PIF16" s="477"/>
      <c r="PIG16" s="463"/>
      <c r="PIH16" s="475"/>
      <c r="PII16" s="476"/>
      <c r="PIJ16" s="476"/>
      <c r="PIK16" s="476"/>
      <c r="PIL16" s="476"/>
      <c r="PIM16" s="476"/>
      <c r="PIN16" s="476"/>
      <c r="PIO16" s="476"/>
      <c r="PIP16" s="476"/>
      <c r="PIQ16" s="476"/>
      <c r="PIR16" s="476"/>
      <c r="PIS16" s="476"/>
      <c r="PIT16" s="476"/>
      <c r="PIU16" s="477"/>
      <c r="PIV16" s="477"/>
      <c r="PIW16" s="463"/>
      <c r="PIX16" s="475"/>
      <c r="PIY16" s="476"/>
      <c r="PIZ16" s="476"/>
      <c r="PJA16" s="476"/>
      <c r="PJB16" s="476"/>
      <c r="PJC16" s="476"/>
      <c r="PJD16" s="476"/>
      <c r="PJE16" s="476"/>
      <c r="PJF16" s="476"/>
      <c r="PJG16" s="476"/>
      <c r="PJH16" s="476"/>
      <c r="PJI16" s="476"/>
      <c r="PJJ16" s="476"/>
      <c r="PJK16" s="477"/>
      <c r="PJL16" s="477"/>
      <c r="PJM16" s="463"/>
      <c r="PJN16" s="475"/>
      <c r="PJO16" s="476"/>
      <c r="PJP16" s="476"/>
      <c r="PJQ16" s="476"/>
      <c r="PJR16" s="476"/>
      <c r="PJS16" s="476"/>
      <c r="PJT16" s="476"/>
      <c r="PJU16" s="476"/>
      <c r="PJV16" s="476"/>
      <c r="PJW16" s="476"/>
      <c r="PJX16" s="476"/>
      <c r="PJY16" s="476"/>
      <c r="PJZ16" s="476"/>
      <c r="PKA16" s="477"/>
      <c r="PKB16" s="477"/>
      <c r="PKC16" s="463"/>
      <c r="PKD16" s="475"/>
      <c r="PKE16" s="476"/>
      <c r="PKF16" s="476"/>
      <c r="PKG16" s="476"/>
      <c r="PKH16" s="476"/>
      <c r="PKI16" s="476"/>
      <c r="PKJ16" s="476"/>
      <c r="PKK16" s="476"/>
      <c r="PKL16" s="476"/>
      <c r="PKM16" s="476"/>
      <c r="PKN16" s="476"/>
      <c r="PKO16" s="476"/>
      <c r="PKP16" s="476"/>
      <c r="PKQ16" s="477"/>
      <c r="PKR16" s="477"/>
      <c r="PKS16" s="463"/>
      <c r="PKT16" s="475"/>
      <c r="PKU16" s="476"/>
      <c r="PKV16" s="476"/>
      <c r="PKW16" s="476"/>
      <c r="PKX16" s="476"/>
      <c r="PKY16" s="476"/>
      <c r="PKZ16" s="476"/>
      <c r="PLA16" s="476"/>
      <c r="PLB16" s="476"/>
      <c r="PLC16" s="476"/>
      <c r="PLD16" s="476"/>
      <c r="PLE16" s="476"/>
      <c r="PLF16" s="476"/>
      <c r="PLG16" s="477"/>
      <c r="PLH16" s="477"/>
      <c r="PLI16" s="463"/>
      <c r="PLJ16" s="475"/>
      <c r="PLK16" s="476"/>
      <c r="PLL16" s="476"/>
      <c r="PLM16" s="476"/>
      <c r="PLN16" s="476"/>
      <c r="PLO16" s="476"/>
      <c r="PLP16" s="476"/>
      <c r="PLQ16" s="476"/>
      <c r="PLR16" s="476"/>
      <c r="PLS16" s="476"/>
      <c r="PLT16" s="476"/>
      <c r="PLU16" s="476"/>
      <c r="PLV16" s="476"/>
      <c r="PLW16" s="477"/>
      <c r="PLX16" s="477"/>
      <c r="PLY16" s="463"/>
      <c r="PLZ16" s="475"/>
      <c r="PMA16" s="476"/>
      <c r="PMB16" s="476"/>
      <c r="PMC16" s="476"/>
      <c r="PMD16" s="476"/>
      <c r="PME16" s="476"/>
      <c r="PMF16" s="476"/>
      <c r="PMG16" s="476"/>
      <c r="PMH16" s="476"/>
      <c r="PMI16" s="476"/>
      <c r="PMJ16" s="476"/>
      <c r="PMK16" s="476"/>
      <c r="PML16" s="476"/>
      <c r="PMM16" s="477"/>
      <c r="PMN16" s="477"/>
      <c r="PMO16" s="463"/>
      <c r="PMP16" s="475"/>
      <c r="PMQ16" s="476"/>
      <c r="PMR16" s="476"/>
      <c r="PMS16" s="476"/>
      <c r="PMT16" s="476"/>
      <c r="PMU16" s="476"/>
      <c r="PMV16" s="476"/>
      <c r="PMW16" s="476"/>
      <c r="PMX16" s="476"/>
      <c r="PMY16" s="476"/>
      <c r="PMZ16" s="476"/>
      <c r="PNA16" s="476"/>
      <c r="PNB16" s="476"/>
      <c r="PNC16" s="477"/>
      <c r="PND16" s="477"/>
      <c r="PNE16" s="463"/>
      <c r="PNF16" s="475"/>
      <c r="PNG16" s="476"/>
      <c r="PNH16" s="476"/>
      <c r="PNI16" s="476"/>
      <c r="PNJ16" s="476"/>
      <c r="PNK16" s="476"/>
      <c r="PNL16" s="476"/>
      <c r="PNM16" s="476"/>
      <c r="PNN16" s="476"/>
      <c r="PNO16" s="476"/>
      <c r="PNP16" s="476"/>
      <c r="PNQ16" s="476"/>
      <c r="PNR16" s="476"/>
      <c r="PNS16" s="477"/>
      <c r="PNT16" s="477"/>
      <c r="PNU16" s="463"/>
      <c r="PNV16" s="475"/>
      <c r="PNW16" s="476"/>
      <c r="PNX16" s="476"/>
      <c r="PNY16" s="476"/>
      <c r="PNZ16" s="476"/>
      <c r="POA16" s="476"/>
      <c r="POB16" s="476"/>
      <c r="POC16" s="476"/>
      <c r="POD16" s="476"/>
      <c r="POE16" s="476"/>
      <c r="POF16" s="476"/>
      <c r="POG16" s="476"/>
      <c r="POH16" s="476"/>
      <c r="POI16" s="477"/>
      <c r="POJ16" s="477"/>
      <c r="POK16" s="463"/>
      <c r="POL16" s="475"/>
      <c r="POM16" s="476"/>
      <c r="PON16" s="476"/>
      <c r="POO16" s="476"/>
      <c r="POP16" s="476"/>
      <c r="POQ16" s="476"/>
      <c r="POR16" s="476"/>
      <c r="POS16" s="476"/>
      <c r="POT16" s="476"/>
      <c r="POU16" s="476"/>
      <c r="POV16" s="476"/>
      <c r="POW16" s="476"/>
      <c r="POX16" s="476"/>
      <c r="POY16" s="477"/>
      <c r="POZ16" s="477"/>
      <c r="PPA16" s="463"/>
      <c r="PPB16" s="475"/>
      <c r="PPC16" s="476"/>
      <c r="PPD16" s="476"/>
      <c r="PPE16" s="476"/>
      <c r="PPF16" s="476"/>
      <c r="PPG16" s="476"/>
      <c r="PPH16" s="476"/>
      <c r="PPI16" s="476"/>
      <c r="PPJ16" s="476"/>
      <c r="PPK16" s="476"/>
      <c r="PPL16" s="476"/>
      <c r="PPM16" s="476"/>
      <c r="PPN16" s="476"/>
      <c r="PPO16" s="477"/>
      <c r="PPP16" s="477"/>
      <c r="PPQ16" s="463"/>
      <c r="PPR16" s="475"/>
      <c r="PPS16" s="476"/>
      <c r="PPT16" s="476"/>
      <c r="PPU16" s="476"/>
      <c r="PPV16" s="476"/>
      <c r="PPW16" s="476"/>
      <c r="PPX16" s="476"/>
      <c r="PPY16" s="476"/>
      <c r="PPZ16" s="476"/>
      <c r="PQA16" s="476"/>
      <c r="PQB16" s="476"/>
      <c r="PQC16" s="476"/>
      <c r="PQD16" s="476"/>
      <c r="PQE16" s="477"/>
      <c r="PQF16" s="477"/>
      <c r="PQG16" s="463"/>
      <c r="PQH16" s="475"/>
      <c r="PQI16" s="476"/>
      <c r="PQJ16" s="476"/>
      <c r="PQK16" s="476"/>
      <c r="PQL16" s="476"/>
      <c r="PQM16" s="476"/>
      <c r="PQN16" s="476"/>
      <c r="PQO16" s="476"/>
      <c r="PQP16" s="476"/>
      <c r="PQQ16" s="476"/>
      <c r="PQR16" s="476"/>
      <c r="PQS16" s="476"/>
      <c r="PQT16" s="476"/>
      <c r="PQU16" s="477"/>
      <c r="PQV16" s="477"/>
      <c r="PQW16" s="463"/>
      <c r="PQX16" s="475"/>
      <c r="PQY16" s="476"/>
      <c r="PQZ16" s="476"/>
      <c r="PRA16" s="476"/>
      <c r="PRB16" s="476"/>
      <c r="PRC16" s="476"/>
      <c r="PRD16" s="476"/>
      <c r="PRE16" s="476"/>
      <c r="PRF16" s="476"/>
      <c r="PRG16" s="476"/>
      <c r="PRH16" s="476"/>
      <c r="PRI16" s="476"/>
      <c r="PRJ16" s="476"/>
      <c r="PRK16" s="477"/>
      <c r="PRL16" s="477"/>
      <c r="PRM16" s="463"/>
      <c r="PRN16" s="475"/>
      <c r="PRO16" s="476"/>
      <c r="PRP16" s="476"/>
      <c r="PRQ16" s="476"/>
      <c r="PRR16" s="476"/>
      <c r="PRS16" s="476"/>
      <c r="PRT16" s="476"/>
      <c r="PRU16" s="476"/>
      <c r="PRV16" s="476"/>
      <c r="PRW16" s="476"/>
      <c r="PRX16" s="476"/>
      <c r="PRY16" s="476"/>
      <c r="PRZ16" s="476"/>
      <c r="PSA16" s="477"/>
      <c r="PSB16" s="477"/>
      <c r="PSC16" s="463"/>
      <c r="PSD16" s="475"/>
      <c r="PSE16" s="476"/>
      <c r="PSF16" s="476"/>
      <c r="PSG16" s="476"/>
      <c r="PSH16" s="476"/>
      <c r="PSI16" s="476"/>
      <c r="PSJ16" s="476"/>
      <c r="PSK16" s="476"/>
      <c r="PSL16" s="476"/>
      <c r="PSM16" s="476"/>
      <c r="PSN16" s="476"/>
      <c r="PSO16" s="476"/>
      <c r="PSP16" s="476"/>
      <c r="PSQ16" s="477"/>
      <c r="PSR16" s="477"/>
      <c r="PSS16" s="463"/>
      <c r="PST16" s="475"/>
      <c r="PSU16" s="476"/>
      <c r="PSV16" s="476"/>
      <c r="PSW16" s="476"/>
      <c r="PSX16" s="476"/>
      <c r="PSY16" s="476"/>
      <c r="PSZ16" s="476"/>
      <c r="PTA16" s="476"/>
      <c r="PTB16" s="476"/>
      <c r="PTC16" s="476"/>
      <c r="PTD16" s="476"/>
      <c r="PTE16" s="476"/>
      <c r="PTF16" s="476"/>
      <c r="PTG16" s="477"/>
      <c r="PTH16" s="477"/>
      <c r="PTI16" s="463"/>
      <c r="PTJ16" s="475"/>
      <c r="PTK16" s="476"/>
      <c r="PTL16" s="476"/>
      <c r="PTM16" s="476"/>
      <c r="PTN16" s="476"/>
      <c r="PTO16" s="476"/>
      <c r="PTP16" s="476"/>
      <c r="PTQ16" s="476"/>
      <c r="PTR16" s="476"/>
      <c r="PTS16" s="476"/>
      <c r="PTT16" s="476"/>
      <c r="PTU16" s="476"/>
      <c r="PTV16" s="476"/>
      <c r="PTW16" s="477"/>
      <c r="PTX16" s="477"/>
      <c r="PTY16" s="463"/>
      <c r="PTZ16" s="475"/>
      <c r="PUA16" s="476"/>
      <c r="PUB16" s="476"/>
      <c r="PUC16" s="476"/>
      <c r="PUD16" s="476"/>
      <c r="PUE16" s="476"/>
      <c r="PUF16" s="476"/>
      <c r="PUG16" s="476"/>
      <c r="PUH16" s="476"/>
      <c r="PUI16" s="476"/>
      <c r="PUJ16" s="476"/>
      <c r="PUK16" s="476"/>
      <c r="PUL16" s="476"/>
      <c r="PUM16" s="477"/>
      <c r="PUN16" s="477"/>
      <c r="PUO16" s="463"/>
      <c r="PUP16" s="475"/>
      <c r="PUQ16" s="476"/>
      <c r="PUR16" s="476"/>
      <c r="PUS16" s="476"/>
      <c r="PUT16" s="476"/>
      <c r="PUU16" s="476"/>
      <c r="PUV16" s="476"/>
      <c r="PUW16" s="476"/>
      <c r="PUX16" s="476"/>
      <c r="PUY16" s="476"/>
      <c r="PUZ16" s="476"/>
      <c r="PVA16" s="476"/>
      <c r="PVB16" s="476"/>
      <c r="PVC16" s="477"/>
      <c r="PVD16" s="477"/>
      <c r="PVE16" s="463"/>
      <c r="PVF16" s="475"/>
      <c r="PVG16" s="476"/>
      <c r="PVH16" s="476"/>
      <c r="PVI16" s="476"/>
      <c r="PVJ16" s="476"/>
      <c r="PVK16" s="476"/>
      <c r="PVL16" s="476"/>
      <c r="PVM16" s="476"/>
      <c r="PVN16" s="476"/>
      <c r="PVO16" s="476"/>
      <c r="PVP16" s="476"/>
      <c r="PVQ16" s="476"/>
      <c r="PVR16" s="476"/>
      <c r="PVS16" s="477"/>
      <c r="PVT16" s="477"/>
      <c r="PVU16" s="463"/>
      <c r="PVV16" s="475"/>
      <c r="PVW16" s="476"/>
      <c r="PVX16" s="476"/>
      <c r="PVY16" s="476"/>
      <c r="PVZ16" s="476"/>
      <c r="PWA16" s="476"/>
      <c r="PWB16" s="476"/>
      <c r="PWC16" s="476"/>
      <c r="PWD16" s="476"/>
      <c r="PWE16" s="476"/>
      <c r="PWF16" s="476"/>
      <c r="PWG16" s="476"/>
      <c r="PWH16" s="476"/>
      <c r="PWI16" s="477"/>
      <c r="PWJ16" s="477"/>
      <c r="PWK16" s="463"/>
      <c r="PWL16" s="475"/>
      <c r="PWM16" s="476"/>
      <c r="PWN16" s="476"/>
      <c r="PWO16" s="476"/>
      <c r="PWP16" s="476"/>
      <c r="PWQ16" s="476"/>
      <c r="PWR16" s="476"/>
      <c r="PWS16" s="476"/>
      <c r="PWT16" s="476"/>
      <c r="PWU16" s="476"/>
      <c r="PWV16" s="476"/>
      <c r="PWW16" s="476"/>
      <c r="PWX16" s="476"/>
      <c r="PWY16" s="477"/>
      <c r="PWZ16" s="477"/>
      <c r="PXA16" s="463"/>
      <c r="PXB16" s="475"/>
      <c r="PXC16" s="476"/>
      <c r="PXD16" s="476"/>
      <c r="PXE16" s="476"/>
      <c r="PXF16" s="476"/>
      <c r="PXG16" s="476"/>
      <c r="PXH16" s="476"/>
      <c r="PXI16" s="476"/>
      <c r="PXJ16" s="476"/>
      <c r="PXK16" s="476"/>
      <c r="PXL16" s="476"/>
      <c r="PXM16" s="476"/>
      <c r="PXN16" s="476"/>
      <c r="PXO16" s="477"/>
      <c r="PXP16" s="477"/>
      <c r="PXQ16" s="463"/>
      <c r="PXR16" s="475"/>
      <c r="PXS16" s="476"/>
      <c r="PXT16" s="476"/>
      <c r="PXU16" s="476"/>
      <c r="PXV16" s="476"/>
      <c r="PXW16" s="476"/>
      <c r="PXX16" s="476"/>
      <c r="PXY16" s="476"/>
      <c r="PXZ16" s="476"/>
      <c r="PYA16" s="476"/>
      <c r="PYB16" s="476"/>
      <c r="PYC16" s="476"/>
      <c r="PYD16" s="476"/>
      <c r="PYE16" s="477"/>
      <c r="PYF16" s="477"/>
      <c r="PYG16" s="463"/>
      <c r="PYH16" s="475"/>
      <c r="PYI16" s="476"/>
      <c r="PYJ16" s="476"/>
      <c r="PYK16" s="476"/>
      <c r="PYL16" s="476"/>
      <c r="PYM16" s="476"/>
      <c r="PYN16" s="476"/>
      <c r="PYO16" s="476"/>
      <c r="PYP16" s="476"/>
      <c r="PYQ16" s="476"/>
      <c r="PYR16" s="476"/>
      <c r="PYS16" s="476"/>
      <c r="PYT16" s="476"/>
      <c r="PYU16" s="477"/>
      <c r="PYV16" s="477"/>
      <c r="PYW16" s="463"/>
      <c r="PYX16" s="475"/>
      <c r="PYY16" s="476"/>
      <c r="PYZ16" s="476"/>
      <c r="PZA16" s="476"/>
      <c r="PZB16" s="476"/>
      <c r="PZC16" s="476"/>
      <c r="PZD16" s="476"/>
      <c r="PZE16" s="476"/>
      <c r="PZF16" s="476"/>
      <c r="PZG16" s="476"/>
      <c r="PZH16" s="476"/>
      <c r="PZI16" s="476"/>
      <c r="PZJ16" s="476"/>
      <c r="PZK16" s="477"/>
      <c r="PZL16" s="477"/>
      <c r="PZM16" s="463"/>
      <c r="PZN16" s="475"/>
      <c r="PZO16" s="476"/>
      <c r="PZP16" s="476"/>
      <c r="PZQ16" s="476"/>
      <c r="PZR16" s="476"/>
      <c r="PZS16" s="476"/>
      <c r="PZT16" s="476"/>
      <c r="PZU16" s="476"/>
      <c r="PZV16" s="476"/>
      <c r="PZW16" s="476"/>
      <c r="PZX16" s="476"/>
      <c r="PZY16" s="476"/>
      <c r="PZZ16" s="476"/>
      <c r="QAA16" s="477"/>
      <c r="QAB16" s="477"/>
      <c r="QAC16" s="463"/>
      <c r="QAD16" s="475"/>
      <c r="QAE16" s="476"/>
      <c r="QAF16" s="476"/>
      <c r="QAG16" s="476"/>
      <c r="QAH16" s="476"/>
      <c r="QAI16" s="476"/>
      <c r="QAJ16" s="476"/>
      <c r="QAK16" s="476"/>
      <c r="QAL16" s="476"/>
      <c r="QAM16" s="476"/>
      <c r="QAN16" s="476"/>
      <c r="QAO16" s="476"/>
      <c r="QAP16" s="476"/>
      <c r="QAQ16" s="477"/>
      <c r="QAR16" s="477"/>
      <c r="QAS16" s="463"/>
      <c r="QAT16" s="475"/>
      <c r="QAU16" s="476"/>
      <c r="QAV16" s="476"/>
      <c r="QAW16" s="476"/>
      <c r="QAX16" s="476"/>
      <c r="QAY16" s="476"/>
      <c r="QAZ16" s="476"/>
      <c r="QBA16" s="476"/>
      <c r="QBB16" s="476"/>
      <c r="QBC16" s="476"/>
      <c r="QBD16" s="476"/>
      <c r="QBE16" s="476"/>
      <c r="QBF16" s="476"/>
      <c r="QBG16" s="477"/>
      <c r="QBH16" s="477"/>
      <c r="QBI16" s="463"/>
      <c r="QBJ16" s="475"/>
      <c r="QBK16" s="476"/>
      <c r="QBL16" s="476"/>
      <c r="QBM16" s="476"/>
      <c r="QBN16" s="476"/>
      <c r="QBO16" s="476"/>
      <c r="QBP16" s="476"/>
      <c r="QBQ16" s="476"/>
      <c r="QBR16" s="476"/>
      <c r="QBS16" s="476"/>
      <c r="QBT16" s="476"/>
      <c r="QBU16" s="476"/>
      <c r="QBV16" s="476"/>
      <c r="QBW16" s="477"/>
      <c r="QBX16" s="477"/>
      <c r="QBY16" s="463"/>
      <c r="QBZ16" s="475"/>
      <c r="QCA16" s="476"/>
      <c r="QCB16" s="476"/>
      <c r="QCC16" s="476"/>
      <c r="QCD16" s="476"/>
      <c r="QCE16" s="476"/>
      <c r="QCF16" s="476"/>
      <c r="QCG16" s="476"/>
      <c r="QCH16" s="476"/>
      <c r="QCI16" s="476"/>
      <c r="QCJ16" s="476"/>
      <c r="QCK16" s="476"/>
      <c r="QCL16" s="476"/>
      <c r="QCM16" s="477"/>
      <c r="QCN16" s="477"/>
      <c r="QCO16" s="463"/>
      <c r="QCP16" s="475"/>
      <c r="QCQ16" s="476"/>
      <c r="QCR16" s="476"/>
      <c r="QCS16" s="476"/>
      <c r="QCT16" s="476"/>
      <c r="QCU16" s="476"/>
      <c r="QCV16" s="476"/>
      <c r="QCW16" s="476"/>
      <c r="QCX16" s="476"/>
      <c r="QCY16" s="476"/>
      <c r="QCZ16" s="476"/>
      <c r="QDA16" s="476"/>
      <c r="QDB16" s="476"/>
      <c r="QDC16" s="477"/>
      <c r="QDD16" s="477"/>
      <c r="QDE16" s="463"/>
      <c r="QDF16" s="475"/>
      <c r="QDG16" s="476"/>
      <c r="QDH16" s="476"/>
      <c r="QDI16" s="476"/>
      <c r="QDJ16" s="476"/>
      <c r="QDK16" s="476"/>
      <c r="QDL16" s="476"/>
      <c r="QDM16" s="476"/>
      <c r="QDN16" s="476"/>
      <c r="QDO16" s="476"/>
      <c r="QDP16" s="476"/>
      <c r="QDQ16" s="476"/>
      <c r="QDR16" s="476"/>
      <c r="QDS16" s="477"/>
      <c r="QDT16" s="477"/>
      <c r="QDU16" s="463"/>
      <c r="QDV16" s="475"/>
      <c r="QDW16" s="476"/>
      <c r="QDX16" s="476"/>
      <c r="QDY16" s="476"/>
      <c r="QDZ16" s="476"/>
      <c r="QEA16" s="476"/>
      <c r="QEB16" s="476"/>
      <c r="QEC16" s="476"/>
      <c r="QED16" s="476"/>
      <c r="QEE16" s="476"/>
      <c r="QEF16" s="476"/>
      <c r="QEG16" s="476"/>
      <c r="QEH16" s="476"/>
      <c r="QEI16" s="477"/>
      <c r="QEJ16" s="477"/>
      <c r="QEK16" s="463"/>
      <c r="QEL16" s="475"/>
      <c r="QEM16" s="476"/>
      <c r="QEN16" s="476"/>
      <c r="QEO16" s="476"/>
      <c r="QEP16" s="476"/>
      <c r="QEQ16" s="476"/>
      <c r="QER16" s="476"/>
      <c r="QES16" s="476"/>
      <c r="QET16" s="476"/>
      <c r="QEU16" s="476"/>
      <c r="QEV16" s="476"/>
      <c r="QEW16" s="476"/>
      <c r="QEX16" s="476"/>
      <c r="QEY16" s="477"/>
      <c r="QEZ16" s="477"/>
      <c r="QFA16" s="463"/>
      <c r="QFB16" s="475"/>
      <c r="QFC16" s="476"/>
      <c r="QFD16" s="476"/>
      <c r="QFE16" s="476"/>
      <c r="QFF16" s="476"/>
      <c r="QFG16" s="476"/>
      <c r="QFH16" s="476"/>
      <c r="QFI16" s="476"/>
      <c r="QFJ16" s="476"/>
      <c r="QFK16" s="476"/>
      <c r="QFL16" s="476"/>
      <c r="QFM16" s="476"/>
      <c r="QFN16" s="476"/>
      <c r="QFO16" s="477"/>
      <c r="QFP16" s="477"/>
      <c r="QFQ16" s="463"/>
      <c r="QFR16" s="475"/>
      <c r="QFS16" s="476"/>
      <c r="QFT16" s="476"/>
      <c r="QFU16" s="476"/>
      <c r="QFV16" s="476"/>
      <c r="QFW16" s="476"/>
      <c r="QFX16" s="476"/>
      <c r="QFY16" s="476"/>
      <c r="QFZ16" s="476"/>
      <c r="QGA16" s="476"/>
      <c r="QGB16" s="476"/>
      <c r="QGC16" s="476"/>
      <c r="QGD16" s="476"/>
      <c r="QGE16" s="477"/>
      <c r="QGF16" s="477"/>
      <c r="QGG16" s="463"/>
      <c r="QGH16" s="475"/>
      <c r="QGI16" s="476"/>
      <c r="QGJ16" s="476"/>
      <c r="QGK16" s="476"/>
      <c r="QGL16" s="476"/>
      <c r="QGM16" s="476"/>
      <c r="QGN16" s="476"/>
      <c r="QGO16" s="476"/>
      <c r="QGP16" s="476"/>
      <c r="QGQ16" s="476"/>
      <c r="QGR16" s="476"/>
      <c r="QGS16" s="476"/>
      <c r="QGT16" s="476"/>
      <c r="QGU16" s="477"/>
      <c r="QGV16" s="477"/>
      <c r="QGW16" s="463"/>
      <c r="QGX16" s="475"/>
      <c r="QGY16" s="476"/>
      <c r="QGZ16" s="476"/>
      <c r="QHA16" s="476"/>
      <c r="QHB16" s="476"/>
      <c r="QHC16" s="476"/>
      <c r="QHD16" s="476"/>
      <c r="QHE16" s="476"/>
      <c r="QHF16" s="476"/>
      <c r="QHG16" s="476"/>
      <c r="QHH16" s="476"/>
      <c r="QHI16" s="476"/>
      <c r="QHJ16" s="476"/>
      <c r="QHK16" s="477"/>
      <c r="QHL16" s="477"/>
      <c r="QHM16" s="463"/>
      <c r="QHN16" s="475"/>
      <c r="QHO16" s="476"/>
      <c r="QHP16" s="476"/>
      <c r="QHQ16" s="476"/>
      <c r="QHR16" s="476"/>
      <c r="QHS16" s="476"/>
      <c r="QHT16" s="476"/>
      <c r="QHU16" s="476"/>
      <c r="QHV16" s="476"/>
      <c r="QHW16" s="476"/>
      <c r="QHX16" s="476"/>
      <c r="QHY16" s="476"/>
      <c r="QHZ16" s="476"/>
      <c r="QIA16" s="477"/>
      <c r="QIB16" s="477"/>
      <c r="QIC16" s="463"/>
      <c r="QID16" s="475"/>
      <c r="QIE16" s="476"/>
      <c r="QIF16" s="476"/>
      <c r="QIG16" s="476"/>
      <c r="QIH16" s="476"/>
      <c r="QII16" s="476"/>
      <c r="QIJ16" s="476"/>
      <c r="QIK16" s="476"/>
      <c r="QIL16" s="476"/>
      <c r="QIM16" s="476"/>
      <c r="QIN16" s="476"/>
      <c r="QIO16" s="476"/>
      <c r="QIP16" s="476"/>
      <c r="QIQ16" s="477"/>
      <c r="QIR16" s="477"/>
      <c r="QIS16" s="463"/>
      <c r="QIT16" s="475"/>
      <c r="QIU16" s="476"/>
      <c r="QIV16" s="476"/>
      <c r="QIW16" s="476"/>
      <c r="QIX16" s="476"/>
      <c r="QIY16" s="476"/>
      <c r="QIZ16" s="476"/>
      <c r="QJA16" s="476"/>
      <c r="QJB16" s="476"/>
      <c r="QJC16" s="476"/>
      <c r="QJD16" s="476"/>
      <c r="QJE16" s="476"/>
      <c r="QJF16" s="476"/>
      <c r="QJG16" s="477"/>
      <c r="QJH16" s="477"/>
      <c r="QJI16" s="463"/>
      <c r="QJJ16" s="475"/>
      <c r="QJK16" s="476"/>
      <c r="QJL16" s="476"/>
      <c r="QJM16" s="476"/>
      <c r="QJN16" s="476"/>
      <c r="QJO16" s="476"/>
      <c r="QJP16" s="476"/>
      <c r="QJQ16" s="476"/>
      <c r="QJR16" s="476"/>
      <c r="QJS16" s="476"/>
      <c r="QJT16" s="476"/>
      <c r="QJU16" s="476"/>
      <c r="QJV16" s="476"/>
      <c r="QJW16" s="477"/>
      <c r="QJX16" s="477"/>
      <c r="QJY16" s="463"/>
      <c r="QJZ16" s="475"/>
      <c r="QKA16" s="476"/>
      <c r="QKB16" s="476"/>
      <c r="QKC16" s="476"/>
      <c r="QKD16" s="476"/>
      <c r="QKE16" s="476"/>
      <c r="QKF16" s="476"/>
      <c r="QKG16" s="476"/>
      <c r="QKH16" s="476"/>
      <c r="QKI16" s="476"/>
      <c r="QKJ16" s="476"/>
      <c r="QKK16" s="476"/>
      <c r="QKL16" s="476"/>
      <c r="QKM16" s="477"/>
      <c r="QKN16" s="477"/>
      <c r="QKO16" s="463"/>
      <c r="QKP16" s="475"/>
      <c r="QKQ16" s="476"/>
      <c r="QKR16" s="476"/>
      <c r="QKS16" s="476"/>
      <c r="QKT16" s="476"/>
      <c r="QKU16" s="476"/>
      <c r="QKV16" s="476"/>
      <c r="QKW16" s="476"/>
      <c r="QKX16" s="476"/>
      <c r="QKY16" s="476"/>
      <c r="QKZ16" s="476"/>
      <c r="QLA16" s="476"/>
      <c r="QLB16" s="476"/>
      <c r="QLC16" s="477"/>
      <c r="QLD16" s="477"/>
      <c r="QLE16" s="463"/>
      <c r="QLF16" s="475"/>
      <c r="QLG16" s="476"/>
      <c r="QLH16" s="476"/>
      <c r="QLI16" s="476"/>
      <c r="QLJ16" s="476"/>
      <c r="QLK16" s="476"/>
      <c r="QLL16" s="476"/>
      <c r="QLM16" s="476"/>
      <c r="QLN16" s="476"/>
      <c r="QLO16" s="476"/>
      <c r="QLP16" s="476"/>
      <c r="QLQ16" s="476"/>
      <c r="QLR16" s="476"/>
      <c r="QLS16" s="477"/>
      <c r="QLT16" s="477"/>
      <c r="QLU16" s="463"/>
      <c r="QLV16" s="475"/>
      <c r="QLW16" s="476"/>
      <c r="QLX16" s="476"/>
      <c r="QLY16" s="476"/>
      <c r="QLZ16" s="476"/>
      <c r="QMA16" s="476"/>
      <c r="QMB16" s="476"/>
      <c r="QMC16" s="476"/>
      <c r="QMD16" s="476"/>
      <c r="QME16" s="476"/>
      <c r="QMF16" s="476"/>
      <c r="QMG16" s="476"/>
      <c r="QMH16" s="476"/>
      <c r="QMI16" s="477"/>
      <c r="QMJ16" s="477"/>
      <c r="QMK16" s="463"/>
      <c r="QML16" s="475"/>
      <c r="QMM16" s="476"/>
      <c r="QMN16" s="476"/>
      <c r="QMO16" s="476"/>
      <c r="QMP16" s="476"/>
      <c r="QMQ16" s="476"/>
      <c r="QMR16" s="476"/>
      <c r="QMS16" s="476"/>
      <c r="QMT16" s="476"/>
      <c r="QMU16" s="476"/>
      <c r="QMV16" s="476"/>
      <c r="QMW16" s="476"/>
      <c r="QMX16" s="476"/>
      <c r="QMY16" s="477"/>
      <c r="QMZ16" s="477"/>
      <c r="QNA16" s="463"/>
      <c r="QNB16" s="475"/>
      <c r="QNC16" s="476"/>
      <c r="QND16" s="476"/>
      <c r="QNE16" s="476"/>
      <c r="QNF16" s="476"/>
      <c r="QNG16" s="476"/>
      <c r="QNH16" s="476"/>
      <c r="QNI16" s="476"/>
      <c r="QNJ16" s="476"/>
      <c r="QNK16" s="476"/>
      <c r="QNL16" s="476"/>
      <c r="QNM16" s="476"/>
      <c r="QNN16" s="476"/>
      <c r="QNO16" s="477"/>
      <c r="QNP16" s="477"/>
      <c r="QNQ16" s="463"/>
      <c r="QNR16" s="475"/>
      <c r="QNS16" s="476"/>
      <c r="QNT16" s="476"/>
      <c r="QNU16" s="476"/>
      <c r="QNV16" s="476"/>
      <c r="QNW16" s="476"/>
      <c r="QNX16" s="476"/>
      <c r="QNY16" s="476"/>
      <c r="QNZ16" s="476"/>
      <c r="QOA16" s="476"/>
      <c r="QOB16" s="476"/>
      <c r="QOC16" s="476"/>
      <c r="QOD16" s="476"/>
      <c r="QOE16" s="477"/>
      <c r="QOF16" s="477"/>
      <c r="QOG16" s="463"/>
      <c r="QOH16" s="475"/>
      <c r="QOI16" s="476"/>
      <c r="QOJ16" s="476"/>
      <c r="QOK16" s="476"/>
      <c r="QOL16" s="476"/>
      <c r="QOM16" s="476"/>
      <c r="QON16" s="476"/>
      <c r="QOO16" s="476"/>
      <c r="QOP16" s="476"/>
      <c r="QOQ16" s="476"/>
      <c r="QOR16" s="476"/>
      <c r="QOS16" s="476"/>
      <c r="QOT16" s="476"/>
      <c r="QOU16" s="477"/>
      <c r="QOV16" s="477"/>
      <c r="QOW16" s="463"/>
      <c r="QOX16" s="475"/>
      <c r="QOY16" s="476"/>
      <c r="QOZ16" s="476"/>
      <c r="QPA16" s="476"/>
      <c r="QPB16" s="476"/>
      <c r="QPC16" s="476"/>
      <c r="QPD16" s="476"/>
      <c r="QPE16" s="476"/>
      <c r="QPF16" s="476"/>
      <c r="QPG16" s="476"/>
      <c r="QPH16" s="476"/>
      <c r="QPI16" s="476"/>
      <c r="QPJ16" s="476"/>
      <c r="QPK16" s="477"/>
      <c r="QPL16" s="477"/>
      <c r="QPM16" s="463"/>
      <c r="QPN16" s="475"/>
      <c r="QPO16" s="476"/>
      <c r="QPP16" s="476"/>
      <c r="QPQ16" s="476"/>
      <c r="QPR16" s="476"/>
      <c r="QPS16" s="476"/>
      <c r="QPT16" s="476"/>
      <c r="QPU16" s="476"/>
      <c r="QPV16" s="476"/>
      <c r="QPW16" s="476"/>
      <c r="QPX16" s="476"/>
      <c r="QPY16" s="476"/>
      <c r="QPZ16" s="476"/>
      <c r="QQA16" s="477"/>
      <c r="QQB16" s="477"/>
      <c r="QQC16" s="463"/>
      <c r="QQD16" s="475"/>
      <c r="QQE16" s="476"/>
      <c r="QQF16" s="476"/>
      <c r="QQG16" s="476"/>
      <c r="QQH16" s="476"/>
      <c r="QQI16" s="476"/>
      <c r="QQJ16" s="476"/>
      <c r="QQK16" s="476"/>
      <c r="QQL16" s="476"/>
      <c r="QQM16" s="476"/>
      <c r="QQN16" s="476"/>
      <c r="QQO16" s="476"/>
      <c r="QQP16" s="476"/>
      <c r="QQQ16" s="477"/>
      <c r="QQR16" s="477"/>
      <c r="QQS16" s="463"/>
      <c r="QQT16" s="475"/>
      <c r="QQU16" s="476"/>
      <c r="QQV16" s="476"/>
      <c r="QQW16" s="476"/>
      <c r="QQX16" s="476"/>
      <c r="QQY16" s="476"/>
      <c r="QQZ16" s="476"/>
      <c r="QRA16" s="476"/>
      <c r="QRB16" s="476"/>
      <c r="QRC16" s="476"/>
      <c r="QRD16" s="476"/>
      <c r="QRE16" s="476"/>
      <c r="QRF16" s="476"/>
      <c r="QRG16" s="477"/>
      <c r="QRH16" s="477"/>
      <c r="QRI16" s="463"/>
      <c r="QRJ16" s="475"/>
      <c r="QRK16" s="476"/>
      <c r="QRL16" s="476"/>
      <c r="QRM16" s="476"/>
      <c r="QRN16" s="476"/>
      <c r="QRO16" s="476"/>
      <c r="QRP16" s="476"/>
      <c r="QRQ16" s="476"/>
      <c r="QRR16" s="476"/>
      <c r="QRS16" s="476"/>
      <c r="QRT16" s="476"/>
      <c r="QRU16" s="476"/>
      <c r="QRV16" s="476"/>
      <c r="QRW16" s="477"/>
      <c r="QRX16" s="477"/>
      <c r="QRY16" s="463"/>
      <c r="QRZ16" s="475"/>
      <c r="QSA16" s="476"/>
      <c r="QSB16" s="476"/>
      <c r="QSC16" s="476"/>
      <c r="QSD16" s="476"/>
      <c r="QSE16" s="476"/>
      <c r="QSF16" s="476"/>
      <c r="QSG16" s="476"/>
      <c r="QSH16" s="476"/>
      <c r="QSI16" s="476"/>
      <c r="QSJ16" s="476"/>
      <c r="QSK16" s="476"/>
      <c r="QSL16" s="476"/>
      <c r="QSM16" s="477"/>
      <c r="QSN16" s="477"/>
      <c r="QSO16" s="463"/>
      <c r="QSP16" s="475"/>
      <c r="QSQ16" s="476"/>
      <c r="QSR16" s="476"/>
      <c r="QSS16" s="476"/>
      <c r="QST16" s="476"/>
      <c r="QSU16" s="476"/>
      <c r="QSV16" s="476"/>
      <c r="QSW16" s="476"/>
      <c r="QSX16" s="476"/>
      <c r="QSY16" s="476"/>
      <c r="QSZ16" s="476"/>
      <c r="QTA16" s="476"/>
      <c r="QTB16" s="476"/>
      <c r="QTC16" s="477"/>
      <c r="QTD16" s="477"/>
      <c r="QTE16" s="463"/>
      <c r="QTF16" s="475"/>
      <c r="QTG16" s="476"/>
      <c r="QTH16" s="476"/>
      <c r="QTI16" s="476"/>
      <c r="QTJ16" s="476"/>
      <c r="QTK16" s="476"/>
      <c r="QTL16" s="476"/>
      <c r="QTM16" s="476"/>
      <c r="QTN16" s="476"/>
      <c r="QTO16" s="476"/>
      <c r="QTP16" s="476"/>
      <c r="QTQ16" s="476"/>
      <c r="QTR16" s="476"/>
      <c r="QTS16" s="477"/>
      <c r="QTT16" s="477"/>
      <c r="QTU16" s="463"/>
      <c r="QTV16" s="475"/>
      <c r="QTW16" s="476"/>
      <c r="QTX16" s="476"/>
      <c r="QTY16" s="476"/>
      <c r="QTZ16" s="476"/>
      <c r="QUA16" s="476"/>
      <c r="QUB16" s="476"/>
      <c r="QUC16" s="476"/>
      <c r="QUD16" s="476"/>
      <c r="QUE16" s="476"/>
      <c r="QUF16" s="476"/>
      <c r="QUG16" s="476"/>
      <c r="QUH16" s="476"/>
      <c r="QUI16" s="477"/>
      <c r="QUJ16" s="477"/>
      <c r="QUK16" s="463"/>
      <c r="QUL16" s="475"/>
      <c r="QUM16" s="476"/>
      <c r="QUN16" s="476"/>
      <c r="QUO16" s="476"/>
      <c r="QUP16" s="476"/>
      <c r="QUQ16" s="476"/>
      <c r="QUR16" s="476"/>
      <c r="QUS16" s="476"/>
      <c r="QUT16" s="476"/>
      <c r="QUU16" s="476"/>
      <c r="QUV16" s="476"/>
      <c r="QUW16" s="476"/>
      <c r="QUX16" s="476"/>
      <c r="QUY16" s="477"/>
      <c r="QUZ16" s="477"/>
      <c r="QVA16" s="463"/>
      <c r="QVB16" s="475"/>
      <c r="QVC16" s="476"/>
      <c r="QVD16" s="476"/>
      <c r="QVE16" s="476"/>
      <c r="QVF16" s="476"/>
      <c r="QVG16" s="476"/>
      <c r="QVH16" s="476"/>
      <c r="QVI16" s="476"/>
      <c r="QVJ16" s="476"/>
      <c r="QVK16" s="476"/>
      <c r="QVL16" s="476"/>
      <c r="QVM16" s="476"/>
      <c r="QVN16" s="476"/>
      <c r="QVO16" s="477"/>
      <c r="QVP16" s="477"/>
      <c r="QVQ16" s="463"/>
      <c r="QVR16" s="475"/>
      <c r="QVS16" s="476"/>
      <c r="QVT16" s="476"/>
      <c r="QVU16" s="476"/>
      <c r="QVV16" s="476"/>
      <c r="QVW16" s="476"/>
      <c r="QVX16" s="476"/>
      <c r="QVY16" s="476"/>
      <c r="QVZ16" s="476"/>
      <c r="QWA16" s="476"/>
      <c r="QWB16" s="476"/>
      <c r="QWC16" s="476"/>
      <c r="QWD16" s="476"/>
      <c r="QWE16" s="477"/>
      <c r="QWF16" s="477"/>
      <c r="QWG16" s="463"/>
      <c r="QWH16" s="475"/>
      <c r="QWI16" s="476"/>
      <c r="QWJ16" s="476"/>
      <c r="QWK16" s="476"/>
      <c r="QWL16" s="476"/>
      <c r="QWM16" s="476"/>
      <c r="QWN16" s="476"/>
      <c r="QWO16" s="476"/>
      <c r="QWP16" s="476"/>
      <c r="QWQ16" s="476"/>
      <c r="QWR16" s="476"/>
      <c r="QWS16" s="476"/>
      <c r="QWT16" s="476"/>
      <c r="QWU16" s="477"/>
      <c r="QWV16" s="477"/>
      <c r="QWW16" s="463"/>
      <c r="QWX16" s="475"/>
      <c r="QWY16" s="476"/>
      <c r="QWZ16" s="476"/>
      <c r="QXA16" s="476"/>
      <c r="QXB16" s="476"/>
      <c r="QXC16" s="476"/>
      <c r="QXD16" s="476"/>
      <c r="QXE16" s="476"/>
      <c r="QXF16" s="476"/>
      <c r="QXG16" s="476"/>
      <c r="QXH16" s="476"/>
      <c r="QXI16" s="476"/>
      <c r="QXJ16" s="476"/>
      <c r="QXK16" s="477"/>
      <c r="QXL16" s="477"/>
      <c r="QXM16" s="463"/>
      <c r="QXN16" s="475"/>
      <c r="QXO16" s="476"/>
      <c r="QXP16" s="476"/>
      <c r="QXQ16" s="476"/>
      <c r="QXR16" s="476"/>
      <c r="QXS16" s="476"/>
      <c r="QXT16" s="476"/>
      <c r="QXU16" s="476"/>
      <c r="QXV16" s="476"/>
      <c r="QXW16" s="476"/>
      <c r="QXX16" s="476"/>
      <c r="QXY16" s="476"/>
      <c r="QXZ16" s="476"/>
      <c r="QYA16" s="477"/>
      <c r="QYB16" s="477"/>
      <c r="QYC16" s="463"/>
      <c r="QYD16" s="475"/>
      <c r="QYE16" s="476"/>
      <c r="QYF16" s="476"/>
      <c r="QYG16" s="476"/>
      <c r="QYH16" s="476"/>
      <c r="QYI16" s="476"/>
      <c r="QYJ16" s="476"/>
      <c r="QYK16" s="476"/>
      <c r="QYL16" s="476"/>
      <c r="QYM16" s="476"/>
      <c r="QYN16" s="476"/>
      <c r="QYO16" s="476"/>
      <c r="QYP16" s="476"/>
      <c r="QYQ16" s="477"/>
      <c r="QYR16" s="477"/>
      <c r="QYS16" s="463"/>
      <c r="QYT16" s="475"/>
      <c r="QYU16" s="476"/>
      <c r="QYV16" s="476"/>
      <c r="QYW16" s="476"/>
      <c r="QYX16" s="476"/>
      <c r="QYY16" s="476"/>
      <c r="QYZ16" s="476"/>
      <c r="QZA16" s="476"/>
      <c r="QZB16" s="476"/>
      <c r="QZC16" s="476"/>
      <c r="QZD16" s="476"/>
      <c r="QZE16" s="476"/>
      <c r="QZF16" s="476"/>
      <c r="QZG16" s="477"/>
      <c r="QZH16" s="477"/>
      <c r="QZI16" s="463"/>
      <c r="QZJ16" s="475"/>
      <c r="QZK16" s="476"/>
      <c r="QZL16" s="476"/>
      <c r="QZM16" s="476"/>
      <c r="QZN16" s="476"/>
      <c r="QZO16" s="476"/>
      <c r="QZP16" s="476"/>
      <c r="QZQ16" s="476"/>
      <c r="QZR16" s="476"/>
      <c r="QZS16" s="476"/>
      <c r="QZT16" s="476"/>
      <c r="QZU16" s="476"/>
      <c r="QZV16" s="476"/>
      <c r="QZW16" s="477"/>
      <c r="QZX16" s="477"/>
      <c r="QZY16" s="463"/>
      <c r="QZZ16" s="475"/>
      <c r="RAA16" s="476"/>
      <c r="RAB16" s="476"/>
      <c r="RAC16" s="476"/>
      <c r="RAD16" s="476"/>
      <c r="RAE16" s="476"/>
      <c r="RAF16" s="476"/>
      <c r="RAG16" s="476"/>
      <c r="RAH16" s="476"/>
      <c r="RAI16" s="476"/>
      <c r="RAJ16" s="476"/>
      <c r="RAK16" s="476"/>
      <c r="RAL16" s="476"/>
      <c r="RAM16" s="477"/>
      <c r="RAN16" s="477"/>
      <c r="RAO16" s="463"/>
      <c r="RAP16" s="475"/>
      <c r="RAQ16" s="476"/>
      <c r="RAR16" s="476"/>
      <c r="RAS16" s="476"/>
      <c r="RAT16" s="476"/>
      <c r="RAU16" s="476"/>
      <c r="RAV16" s="476"/>
      <c r="RAW16" s="476"/>
      <c r="RAX16" s="476"/>
      <c r="RAY16" s="476"/>
      <c r="RAZ16" s="476"/>
      <c r="RBA16" s="476"/>
      <c r="RBB16" s="476"/>
      <c r="RBC16" s="477"/>
      <c r="RBD16" s="477"/>
      <c r="RBE16" s="463"/>
      <c r="RBF16" s="475"/>
      <c r="RBG16" s="476"/>
      <c r="RBH16" s="476"/>
      <c r="RBI16" s="476"/>
      <c r="RBJ16" s="476"/>
      <c r="RBK16" s="476"/>
      <c r="RBL16" s="476"/>
      <c r="RBM16" s="476"/>
      <c r="RBN16" s="476"/>
      <c r="RBO16" s="476"/>
      <c r="RBP16" s="476"/>
      <c r="RBQ16" s="476"/>
      <c r="RBR16" s="476"/>
      <c r="RBS16" s="477"/>
      <c r="RBT16" s="477"/>
      <c r="RBU16" s="463"/>
      <c r="RBV16" s="475"/>
      <c r="RBW16" s="476"/>
      <c r="RBX16" s="476"/>
      <c r="RBY16" s="476"/>
      <c r="RBZ16" s="476"/>
      <c r="RCA16" s="476"/>
      <c r="RCB16" s="476"/>
      <c r="RCC16" s="476"/>
      <c r="RCD16" s="476"/>
      <c r="RCE16" s="476"/>
      <c r="RCF16" s="476"/>
      <c r="RCG16" s="476"/>
      <c r="RCH16" s="476"/>
      <c r="RCI16" s="477"/>
      <c r="RCJ16" s="477"/>
      <c r="RCK16" s="463"/>
      <c r="RCL16" s="475"/>
      <c r="RCM16" s="476"/>
      <c r="RCN16" s="476"/>
      <c r="RCO16" s="476"/>
      <c r="RCP16" s="476"/>
      <c r="RCQ16" s="476"/>
      <c r="RCR16" s="476"/>
      <c r="RCS16" s="476"/>
      <c r="RCT16" s="476"/>
      <c r="RCU16" s="476"/>
      <c r="RCV16" s="476"/>
      <c r="RCW16" s="476"/>
      <c r="RCX16" s="476"/>
      <c r="RCY16" s="477"/>
      <c r="RCZ16" s="477"/>
      <c r="RDA16" s="463"/>
      <c r="RDB16" s="475"/>
      <c r="RDC16" s="476"/>
      <c r="RDD16" s="476"/>
      <c r="RDE16" s="476"/>
      <c r="RDF16" s="476"/>
      <c r="RDG16" s="476"/>
      <c r="RDH16" s="476"/>
      <c r="RDI16" s="476"/>
      <c r="RDJ16" s="476"/>
      <c r="RDK16" s="476"/>
      <c r="RDL16" s="476"/>
      <c r="RDM16" s="476"/>
      <c r="RDN16" s="476"/>
      <c r="RDO16" s="477"/>
      <c r="RDP16" s="477"/>
      <c r="RDQ16" s="463"/>
      <c r="RDR16" s="475"/>
      <c r="RDS16" s="476"/>
      <c r="RDT16" s="476"/>
      <c r="RDU16" s="476"/>
      <c r="RDV16" s="476"/>
      <c r="RDW16" s="476"/>
      <c r="RDX16" s="476"/>
      <c r="RDY16" s="476"/>
      <c r="RDZ16" s="476"/>
      <c r="REA16" s="476"/>
      <c r="REB16" s="476"/>
      <c r="REC16" s="476"/>
      <c r="RED16" s="476"/>
      <c r="REE16" s="477"/>
      <c r="REF16" s="477"/>
      <c r="REG16" s="463"/>
      <c r="REH16" s="475"/>
      <c r="REI16" s="476"/>
      <c r="REJ16" s="476"/>
      <c r="REK16" s="476"/>
      <c r="REL16" s="476"/>
      <c r="REM16" s="476"/>
      <c r="REN16" s="476"/>
      <c r="REO16" s="476"/>
      <c r="REP16" s="476"/>
      <c r="REQ16" s="476"/>
      <c r="RER16" s="476"/>
      <c r="RES16" s="476"/>
      <c r="RET16" s="476"/>
      <c r="REU16" s="477"/>
      <c r="REV16" s="477"/>
      <c r="REW16" s="463"/>
      <c r="REX16" s="475"/>
      <c r="REY16" s="476"/>
      <c r="REZ16" s="476"/>
      <c r="RFA16" s="476"/>
      <c r="RFB16" s="476"/>
      <c r="RFC16" s="476"/>
      <c r="RFD16" s="476"/>
      <c r="RFE16" s="476"/>
      <c r="RFF16" s="476"/>
      <c r="RFG16" s="476"/>
      <c r="RFH16" s="476"/>
      <c r="RFI16" s="476"/>
      <c r="RFJ16" s="476"/>
      <c r="RFK16" s="477"/>
      <c r="RFL16" s="477"/>
      <c r="RFM16" s="463"/>
      <c r="RFN16" s="475"/>
      <c r="RFO16" s="476"/>
      <c r="RFP16" s="476"/>
      <c r="RFQ16" s="476"/>
      <c r="RFR16" s="476"/>
      <c r="RFS16" s="476"/>
      <c r="RFT16" s="476"/>
      <c r="RFU16" s="476"/>
      <c r="RFV16" s="476"/>
      <c r="RFW16" s="476"/>
      <c r="RFX16" s="476"/>
      <c r="RFY16" s="476"/>
      <c r="RFZ16" s="476"/>
      <c r="RGA16" s="477"/>
      <c r="RGB16" s="477"/>
      <c r="RGC16" s="463"/>
      <c r="RGD16" s="475"/>
      <c r="RGE16" s="476"/>
      <c r="RGF16" s="476"/>
      <c r="RGG16" s="476"/>
      <c r="RGH16" s="476"/>
      <c r="RGI16" s="476"/>
      <c r="RGJ16" s="476"/>
      <c r="RGK16" s="476"/>
      <c r="RGL16" s="476"/>
      <c r="RGM16" s="476"/>
      <c r="RGN16" s="476"/>
      <c r="RGO16" s="476"/>
      <c r="RGP16" s="476"/>
      <c r="RGQ16" s="477"/>
      <c r="RGR16" s="477"/>
      <c r="RGS16" s="463"/>
      <c r="RGT16" s="475"/>
      <c r="RGU16" s="476"/>
      <c r="RGV16" s="476"/>
      <c r="RGW16" s="476"/>
      <c r="RGX16" s="476"/>
      <c r="RGY16" s="476"/>
      <c r="RGZ16" s="476"/>
      <c r="RHA16" s="476"/>
      <c r="RHB16" s="476"/>
      <c r="RHC16" s="476"/>
      <c r="RHD16" s="476"/>
      <c r="RHE16" s="476"/>
      <c r="RHF16" s="476"/>
      <c r="RHG16" s="477"/>
      <c r="RHH16" s="477"/>
      <c r="RHI16" s="463"/>
      <c r="RHJ16" s="475"/>
      <c r="RHK16" s="476"/>
      <c r="RHL16" s="476"/>
      <c r="RHM16" s="476"/>
      <c r="RHN16" s="476"/>
      <c r="RHO16" s="476"/>
      <c r="RHP16" s="476"/>
      <c r="RHQ16" s="476"/>
      <c r="RHR16" s="476"/>
      <c r="RHS16" s="476"/>
      <c r="RHT16" s="476"/>
      <c r="RHU16" s="476"/>
      <c r="RHV16" s="476"/>
      <c r="RHW16" s="477"/>
      <c r="RHX16" s="477"/>
      <c r="RHY16" s="463"/>
      <c r="RHZ16" s="475"/>
      <c r="RIA16" s="476"/>
      <c r="RIB16" s="476"/>
      <c r="RIC16" s="476"/>
      <c r="RID16" s="476"/>
      <c r="RIE16" s="476"/>
      <c r="RIF16" s="476"/>
      <c r="RIG16" s="476"/>
      <c r="RIH16" s="476"/>
      <c r="RII16" s="476"/>
      <c r="RIJ16" s="476"/>
      <c r="RIK16" s="476"/>
      <c r="RIL16" s="476"/>
      <c r="RIM16" s="477"/>
      <c r="RIN16" s="477"/>
      <c r="RIO16" s="463"/>
      <c r="RIP16" s="475"/>
      <c r="RIQ16" s="476"/>
      <c r="RIR16" s="476"/>
      <c r="RIS16" s="476"/>
      <c r="RIT16" s="476"/>
      <c r="RIU16" s="476"/>
      <c r="RIV16" s="476"/>
      <c r="RIW16" s="476"/>
      <c r="RIX16" s="476"/>
      <c r="RIY16" s="476"/>
      <c r="RIZ16" s="476"/>
      <c r="RJA16" s="476"/>
      <c r="RJB16" s="476"/>
      <c r="RJC16" s="477"/>
      <c r="RJD16" s="477"/>
      <c r="RJE16" s="463"/>
      <c r="RJF16" s="475"/>
      <c r="RJG16" s="476"/>
      <c r="RJH16" s="476"/>
      <c r="RJI16" s="476"/>
      <c r="RJJ16" s="476"/>
      <c r="RJK16" s="476"/>
      <c r="RJL16" s="476"/>
      <c r="RJM16" s="476"/>
      <c r="RJN16" s="476"/>
      <c r="RJO16" s="476"/>
      <c r="RJP16" s="476"/>
      <c r="RJQ16" s="476"/>
      <c r="RJR16" s="476"/>
      <c r="RJS16" s="477"/>
      <c r="RJT16" s="477"/>
      <c r="RJU16" s="463"/>
      <c r="RJV16" s="475"/>
      <c r="RJW16" s="476"/>
      <c r="RJX16" s="476"/>
      <c r="RJY16" s="476"/>
      <c r="RJZ16" s="476"/>
      <c r="RKA16" s="476"/>
      <c r="RKB16" s="476"/>
      <c r="RKC16" s="476"/>
      <c r="RKD16" s="476"/>
      <c r="RKE16" s="476"/>
      <c r="RKF16" s="476"/>
      <c r="RKG16" s="476"/>
      <c r="RKH16" s="476"/>
      <c r="RKI16" s="477"/>
      <c r="RKJ16" s="477"/>
      <c r="RKK16" s="463"/>
      <c r="RKL16" s="475"/>
      <c r="RKM16" s="476"/>
      <c r="RKN16" s="476"/>
      <c r="RKO16" s="476"/>
      <c r="RKP16" s="476"/>
      <c r="RKQ16" s="476"/>
      <c r="RKR16" s="476"/>
      <c r="RKS16" s="476"/>
      <c r="RKT16" s="476"/>
      <c r="RKU16" s="476"/>
      <c r="RKV16" s="476"/>
      <c r="RKW16" s="476"/>
      <c r="RKX16" s="476"/>
      <c r="RKY16" s="477"/>
      <c r="RKZ16" s="477"/>
      <c r="RLA16" s="463"/>
      <c r="RLB16" s="475"/>
      <c r="RLC16" s="476"/>
      <c r="RLD16" s="476"/>
      <c r="RLE16" s="476"/>
      <c r="RLF16" s="476"/>
      <c r="RLG16" s="476"/>
      <c r="RLH16" s="476"/>
      <c r="RLI16" s="476"/>
      <c r="RLJ16" s="476"/>
      <c r="RLK16" s="476"/>
      <c r="RLL16" s="476"/>
      <c r="RLM16" s="476"/>
      <c r="RLN16" s="476"/>
      <c r="RLO16" s="477"/>
      <c r="RLP16" s="477"/>
      <c r="RLQ16" s="463"/>
      <c r="RLR16" s="475"/>
      <c r="RLS16" s="476"/>
      <c r="RLT16" s="476"/>
      <c r="RLU16" s="476"/>
      <c r="RLV16" s="476"/>
      <c r="RLW16" s="476"/>
      <c r="RLX16" s="476"/>
      <c r="RLY16" s="476"/>
      <c r="RLZ16" s="476"/>
      <c r="RMA16" s="476"/>
      <c r="RMB16" s="476"/>
      <c r="RMC16" s="476"/>
      <c r="RMD16" s="476"/>
      <c r="RME16" s="477"/>
      <c r="RMF16" s="477"/>
      <c r="RMG16" s="463"/>
      <c r="RMH16" s="475"/>
      <c r="RMI16" s="476"/>
      <c r="RMJ16" s="476"/>
      <c r="RMK16" s="476"/>
      <c r="RML16" s="476"/>
      <c r="RMM16" s="476"/>
      <c r="RMN16" s="476"/>
      <c r="RMO16" s="476"/>
      <c r="RMP16" s="476"/>
      <c r="RMQ16" s="476"/>
      <c r="RMR16" s="476"/>
      <c r="RMS16" s="476"/>
      <c r="RMT16" s="476"/>
      <c r="RMU16" s="477"/>
      <c r="RMV16" s="477"/>
      <c r="RMW16" s="463"/>
      <c r="RMX16" s="475"/>
      <c r="RMY16" s="476"/>
      <c r="RMZ16" s="476"/>
      <c r="RNA16" s="476"/>
      <c r="RNB16" s="476"/>
      <c r="RNC16" s="476"/>
      <c r="RND16" s="476"/>
      <c r="RNE16" s="476"/>
      <c r="RNF16" s="476"/>
      <c r="RNG16" s="476"/>
      <c r="RNH16" s="476"/>
      <c r="RNI16" s="476"/>
      <c r="RNJ16" s="476"/>
      <c r="RNK16" s="477"/>
      <c r="RNL16" s="477"/>
      <c r="RNM16" s="463"/>
      <c r="RNN16" s="475"/>
      <c r="RNO16" s="476"/>
      <c r="RNP16" s="476"/>
      <c r="RNQ16" s="476"/>
      <c r="RNR16" s="476"/>
      <c r="RNS16" s="476"/>
      <c r="RNT16" s="476"/>
      <c r="RNU16" s="476"/>
      <c r="RNV16" s="476"/>
      <c r="RNW16" s="476"/>
      <c r="RNX16" s="476"/>
      <c r="RNY16" s="476"/>
      <c r="RNZ16" s="476"/>
      <c r="ROA16" s="477"/>
      <c r="ROB16" s="477"/>
      <c r="ROC16" s="463"/>
      <c r="ROD16" s="475"/>
      <c r="ROE16" s="476"/>
      <c r="ROF16" s="476"/>
      <c r="ROG16" s="476"/>
      <c r="ROH16" s="476"/>
      <c r="ROI16" s="476"/>
      <c r="ROJ16" s="476"/>
      <c r="ROK16" s="476"/>
      <c r="ROL16" s="476"/>
      <c r="ROM16" s="476"/>
      <c r="RON16" s="476"/>
      <c r="ROO16" s="476"/>
      <c r="ROP16" s="476"/>
      <c r="ROQ16" s="477"/>
      <c r="ROR16" s="477"/>
      <c r="ROS16" s="463"/>
      <c r="ROT16" s="475"/>
      <c r="ROU16" s="476"/>
      <c r="ROV16" s="476"/>
      <c r="ROW16" s="476"/>
      <c r="ROX16" s="476"/>
      <c r="ROY16" s="476"/>
      <c r="ROZ16" s="476"/>
      <c r="RPA16" s="476"/>
      <c r="RPB16" s="476"/>
      <c r="RPC16" s="476"/>
      <c r="RPD16" s="476"/>
      <c r="RPE16" s="476"/>
      <c r="RPF16" s="476"/>
      <c r="RPG16" s="477"/>
      <c r="RPH16" s="477"/>
      <c r="RPI16" s="463"/>
      <c r="RPJ16" s="475"/>
      <c r="RPK16" s="476"/>
      <c r="RPL16" s="476"/>
      <c r="RPM16" s="476"/>
      <c r="RPN16" s="476"/>
      <c r="RPO16" s="476"/>
      <c r="RPP16" s="476"/>
      <c r="RPQ16" s="476"/>
      <c r="RPR16" s="476"/>
      <c r="RPS16" s="476"/>
      <c r="RPT16" s="476"/>
      <c r="RPU16" s="476"/>
      <c r="RPV16" s="476"/>
      <c r="RPW16" s="477"/>
      <c r="RPX16" s="477"/>
      <c r="RPY16" s="463"/>
      <c r="RPZ16" s="475"/>
      <c r="RQA16" s="476"/>
      <c r="RQB16" s="476"/>
      <c r="RQC16" s="476"/>
      <c r="RQD16" s="476"/>
      <c r="RQE16" s="476"/>
      <c r="RQF16" s="476"/>
      <c r="RQG16" s="476"/>
      <c r="RQH16" s="476"/>
      <c r="RQI16" s="476"/>
      <c r="RQJ16" s="476"/>
      <c r="RQK16" s="476"/>
      <c r="RQL16" s="476"/>
      <c r="RQM16" s="477"/>
      <c r="RQN16" s="477"/>
      <c r="RQO16" s="463"/>
      <c r="RQP16" s="475"/>
      <c r="RQQ16" s="476"/>
      <c r="RQR16" s="476"/>
      <c r="RQS16" s="476"/>
      <c r="RQT16" s="476"/>
      <c r="RQU16" s="476"/>
      <c r="RQV16" s="476"/>
      <c r="RQW16" s="476"/>
      <c r="RQX16" s="476"/>
      <c r="RQY16" s="476"/>
      <c r="RQZ16" s="476"/>
      <c r="RRA16" s="476"/>
      <c r="RRB16" s="476"/>
      <c r="RRC16" s="477"/>
      <c r="RRD16" s="477"/>
      <c r="RRE16" s="463"/>
      <c r="RRF16" s="475"/>
      <c r="RRG16" s="476"/>
      <c r="RRH16" s="476"/>
      <c r="RRI16" s="476"/>
      <c r="RRJ16" s="476"/>
      <c r="RRK16" s="476"/>
      <c r="RRL16" s="476"/>
      <c r="RRM16" s="476"/>
      <c r="RRN16" s="476"/>
      <c r="RRO16" s="476"/>
      <c r="RRP16" s="476"/>
      <c r="RRQ16" s="476"/>
      <c r="RRR16" s="476"/>
      <c r="RRS16" s="477"/>
      <c r="RRT16" s="477"/>
      <c r="RRU16" s="463"/>
      <c r="RRV16" s="475"/>
      <c r="RRW16" s="476"/>
      <c r="RRX16" s="476"/>
      <c r="RRY16" s="476"/>
      <c r="RRZ16" s="476"/>
      <c r="RSA16" s="476"/>
      <c r="RSB16" s="476"/>
      <c r="RSC16" s="476"/>
      <c r="RSD16" s="476"/>
      <c r="RSE16" s="476"/>
      <c r="RSF16" s="476"/>
      <c r="RSG16" s="476"/>
      <c r="RSH16" s="476"/>
      <c r="RSI16" s="477"/>
      <c r="RSJ16" s="477"/>
      <c r="RSK16" s="463"/>
      <c r="RSL16" s="475"/>
      <c r="RSM16" s="476"/>
      <c r="RSN16" s="476"/>
      <c r="RSO16" s="476"/>
      <c r="RSP16" s="476"/>
      <c r="RSQ16" s="476"/>
      <c r="RSR16" s="476"/>
      <c r="RSS16" s="476"/>
      <c r="RST16" s="476"/>
      <c r="RSU16" s="476"/>
      <c r="RSV16" s="476"/>
      <c r="RSW16" s="476"/>
      <c r="RSX16" s="476"/>
      <c r="RSY16" s="477"/>
      <c r="RSZ16" s="477"/>
      <c r="RTA16" s="463"/>
      <c r="RTB16" s="475"/>
      <c r="RTC16" s="476"/>
      <c r="RTD16" s="476"/>
      <c r="RTE16" s="476"/>
      <c r="RTF16" s="476"/>
      <c r="RTG16" s="476"/>
      <c r="RTH16" s="476"/>
      <c r="RTI16" s="476"/>
      <c r="RTJ16" s="476"/>
      <c r="RTK16" s="476"/>
      <c r="RTL16" s="476"/>
      <c r="RTM16" s="476"/>
      <c r="RTN16" s="476"/>
      <c r="RTO16" s="477"/>
      <c r="RTP16" s="477"/>
      <c r="RTQ16" s="463"/>
      <c r="RTR16" s="475"/>
      <c r="RTS16" s="476"/>
      <c r="RTT16" s="476"/>
      <c r="RTU16" s="476"/>
      <c r="RTV16" s="476"/>
      <c r="RTW16" s="476"/>
      <c r="RTX16" s="476"/>
      <c r="RTY16" s="476"/>
      <c r="RTZ16" s="476"/>
      <c r="RUA16" s="476"/>
      <c r="RUB16" s="476"/>
      <c r="RUC16" s="476"/>
      <c r="RUD16" s="476"/>
      <c r="RUE16" s="477"/>
      <c r="RUF16" s="477"/>
      <c r="RUG16" s="463"/>
      <c r="RUH16" s="475"/>
      <c r="RUI16" s="476"/>
      <c r="RUJ16" s="476"/>
      <c r="RUK16" s="476"/>
      <c r="RUL16" s="476"/>
      <c r="RUM16" s="476"/>
      <c r="RUN16" s="476"/>
      <c r="RUO16" s="476"/>
      <c r="RUP16" s="476"/>
      <c r="RUQ16" s="476"/>
      <c r="RUR16" s="476"/>
      <c r="RUS16" s="476"/>
      <c r="RUT16" s="476"/>
      <c r="RUU16" s="477"/>
      <c r="RUV16" s="477"/>
      <c r="RUW16" s="463"/>
      <c r="RUX16" s="475"/>
      <c r="RUY16" s="476"/>
      <c r="RUZ16" s="476"/>
      <c r="RVA16" s="476"/>
      <c r="RVB16" s="476"/>
      <c r="RVC16" s="476"/>
      <c r="RVD16" s="476"/>
      <c r="RVE16" s="476"/>
      <c r="RVF16" s="476"/>
      <c r="RVG16" s="476"/>
      <c r="RVH16" s="476"/>
      <c r="RVI16" s="476"/>
      <c r="RVJ16" s="476"/>
      <c r="RVK16" s="477"/>
      <c r="RVL16" s="477"/>
      <c r="RVM16" s="463"/>
      <c r="RVN16" s="475"/>
      <c r="RVO16" s="476"/>
      <c r="RVP16" s="476"/>
      <c r="RVQ16" s="476"/>
      <c r="RVR16" s="476"/>
      <c r="RVS16" s="476"/>
      <c r="RVT16" s="476"/>
      <c r="RVU16" s="476"/>
      <c r="RVV16" s="476"/>
      <c r="RVW16" s="476"/>
      <c r="RVX16" s="476"/>
      <c r="RVY16" s="476"/>
      <c r="RVZ16" s="476"/>
      <c r="RWA16" s="477"/>
      <c r="RWB16" s="477"/>
      <c r="RWC16" s="463"/>
      <c r="RWD16" s="475"/>
      <c r="RWE16" s="476"/>
      <c r="RWF16" s="476"/>
      <c r="RWG16" s="476"/>
      <c r="RWH16" s="476"/>
      <c r="RWI16" s="476"/>
      <c r="RWJ16" s="476"/>
      <c r="RWK16" s="476"/>
      <c r="RWL16" s="476"/>
      <c r="RWM16" s="476"/>
      <c r="RWN16" s="476"/>
      <c r="RWO16" s="476"/>
      <c r="RWP16" s="476"/>
      <c r="RWQ16" s="477"/>
      <c r="RWR16" s="477"/>
      <c r="RWS16" s="463"/>
      <c r="RWT16" s="475"/>
      <c r="RWU16" s="476"/>
      <c r="RWV16" s="476"/>
      <c r="RWW16" s="476"/>
      <c r="RWX16" s="476"/>
      <c r="RWY16" s="476"/>
      <c r="RWZ16" s="476"/>
      <c r="RXA16" s="476"/>
      <c r="RXB16" s="476"/>
      <c r="RXC16" s="476"/>
      <c r="RXD16" s="476"/>
      <c r="RXE16" s="476"/>
      <c r="RXF16" s="476"/>
      <c r="RXG16" s="477"/>
      <c r="RXH16" s="477"/>
      <c r="RXI16" s="463"/>
      <c r="RXJ16" s="475"/>
      <c r="RXK16" s="476"/>
      <c r="RXL16" s="476"/>
      <c r="RXM16" s="476"/>
      <c r="RXN16" s="476"/>
      <c r="RXO16" s="476"/>
      <c r="RXP16" s="476"/>
      <c r="RXQ16" s="476"/>
      <c r="RXR16" s="476"/>
      <c r="RXS16" s="476"/>
      <c r="RXT16" s="476"/>
      <c r="RXU16" s="476"/>
      <c r="RXV16" s="476"/>
      <c r="RXW16" s="477"/>
      <c r="RXX16" s="477"/>
      <c r="RXY16" s="463"/>
      <c r="RXZ16" s="475"/>
      <c r="RYA16" s="476"/>
      <c r="RYB16" s="476"/>
      <c r="RYC16" s="476"/>
      <c r="RYD16" s="476"/>
      <c r="RYE16" s="476"/>
      <c r="RYF16" s="476"/>
      <c r="RYG16" s="476"/>
      <c r="RYH16" s="476"/>
      <c r="RYI16" s="476"/>
      <c r="RYJ16" s="476"/>
      <c r="RYK16" s="476"/>
      <c r="RYL16" s="476"/>
      <c r="RYM16" s="477"/>
      <c r="RYN16" s="477"/>
      <c r="RYO16" s="463"/>
      <c r="RYP16" s="475"/>
      <c r="RYQ16" s="476"/>
      <c r="RYR16" s="476"/>
      <c r="RYS16" s="476"/>
      <c r="RYT16" s="476"/>
      <c r="RYU16" s="476"/>
      <c r="RYV16" s="476"/>
      <c r="RYW16" s="476"/>
      <c r="RYX16" s="476"/>
      <c r="RYY16" s="476"/>
      <c r="RYZ16" s="476"/>
      <c r="RZA16" s="476"/>
      <c r="RZB16" s="476"/>
      <c r="RZC16" s="477"/>
      <c r="RZD16" s="477"/>
      <c r="RZE16" s="463"/>
      <c r="RZF16" s="475"/>
      <c r="RZG16" s="476"/>
      <c r="RZH16" s="476"/>
      <c r="RZI16" s="476"/>
      <c r="RZJ16" s="476"/>
      <c r="RZK16" s="476"/>
      <c r="RZL16" s="476"/>
      <c r="RZM16" s="476"/>
      <c r="RZN16" s="476"/>
      <c r="RZO16" s="476"/>
      <c r="RZP16" s="476"/>
      <c r="RZQ16" s="476"/>
      <c r="RZR16" s="476"/>
      <c r="RZS16" s="477"/>
      <c r="RZT16" s="477"/>
      <c r="RZU16" s="463"/>
      <c r="RZV16" s="475"/>
      <c r="RZW16" s="476"/>
      <c r="RZX16" s="476"/>
      <c r="RZY16" s="476"/>
      <c r="RZZ16" s="476"/>
      <c r="SAA16" s="476"/>
      <c r="SAB16" s="476"/>
      <c r="SAC16" s="476"/>
      <c r="SAD16" s="476"/>
      <c r="SAE16" s="476"/>
      <c r="SAF16" s="476"/>
      <c r="SAG16" s="476"/>
      <c r="SAH16" s="476"/>
      <c r="SAI16" s="477"/>
      <c r="SAJ16" s="477"/>
      <c r="SAK16" s="463"/>
      <c r="SAL16" s="475"/>
      <c r="SAM16" s="476"/>
      <c r="SAN16" s="476"/>
      <c r="SAO16" s="476"/>
      <c r="SAP16" s="476"/>
      <c r="SAQ16" s="476"/>
      <c r="SAR16" s="476"/>
      <c r="SAS16" s="476"/>
      <c r="SAT16" s="476"/>
      <c r="SAU16" s="476"/>
      <c r="SAV16" s="476"/>
      <c r="SAW16" s="476"/>
      <c r="SAX16" s="476"/>
      <c r="SAY16" s="477"/>
      <c r="SAZ16" s="477"/>
      <c r="SBA16" s="463"/>
      <c r="SBB16" s="475"/>
      <c r="SBC16" s="476"/>
      <c r="SBD16" s="476"/>
      <c r="SBE16" s="476"/>
      <c r="SBF16" s="476"/>
      <c r="SBG16" s="476"/>
      <c r="SBH16" s="476"/>
      <c r="SBI16" s="476"/>
      <c r="SBJ16" s="476"/>
      <c r="SBK16" s="476"/>
      <c r="SBL16" s="476"/>
      <c r="SBM16" s="476"/>
      <c r="SBN16" s="476"/>
      <c r="SBO16" s="477"/>
      <c r="SBP16" s="477"/>
      <c r="SBQ16" s="463"/>
      <c r="SBR16" s="475"/>
      <c r="SBS16" s="476"/>
      <c r="SBT16" s="476"/>
      <c r="SBU16" s="476"/>
      <c r="SBV16" s="476"/>
      <c r="SBW16" s="476"/>
      <c r="SBX16" s="476"/>
      <c r="SBY16" s="476"/>
      <c r="SBZ16" s="476"/>
      <c r="SCA16" s="476"/>
      <c r="SCB16" s="476"/>
      <c r="SCC16" s="476"/>
      <c r="SCD16" s="476"/>
      <c r="SCE16" s="477"/>
      <c r="SCF16" s="477"/>
      <c r="SCG16" s="463"/>
      <c r="SCH16" s="475"/>
      <c r="SCI16" s="476"/>
      <c r="SCJ16" s="476"/>
      <c r="SCK16" s="476"/>
      <c r="SCL16" s="476"/>
      <c r="SCM16" s="476"/>
      <c r="SCN16" s="476"/>
      <c r="SCO16" s="476"/>
      <c r="SCP16" s="476"/>
      <c r="SCQ16" s="476"/>
      <c r="SCR16" s="476"/>
      <c r="SCS16" s="476"/>
      <c r="SCT16" s="476"/>
      <c r="SCU16" s="477"/>
      <c r="SCV16" s="477"/>
      <c r="SCW16" s="463"/>
      <c r="SCX16" s="475"/>
      <c r="SCY16" s="476"/>
      <c r="SCZ16" s="476"/>
      <c r="SDA16" s="476"/>
      <c r="SDB16" s="476"/>
      <c r="SDC16" s="476"/>
      <c r="SDD16" s="476"/>
      <c r="SDE16" s="476"/>
      <c r="SDF16" s="476"/>
      <c r="SDG16" s="476"/>
      <c r="SDH16" s="476"/>
      <c r="SDI16" s="476"/>
      <c r="SDJ16" s="476"/>
      <c r="SDK16" s="477"/>
      <c r="SDL16" s="477"/>
      <c r="SDM16" s="463"/>
      <c r="SDN16" s="475"/>
      <c r="SDO16" s="476"/>
      <c r="SDP16" s="476"/>
      <c r="SDQ16" s="476"/>
      <c r="SDR16" s="476"/>
      <c r="SDS16" s="476"/>
      <c r="SDT16" s="476"/>
      <c r="SDU16" s="476"/>
      <c r="SDV16" s="476"/>
      <c r="SDW16" s="476"/>
      <c r="SDX16" s="476"/>
      <c r="SDY16" s="476"/>
      <c r="SDZ16" s="476"/>
      <c r="SEA16" s="477"/>
      <c r="SEB16" s="477"/>
      <c r="SEC16" s="463"/>
      <c r="SED16" s="475"/>
      <c r="SEE16" s="476"/>
      <c r="SEF16" s="476"/>
      <c r="SEG16" s="476"/>
      <c r="SEH16" s="476"/>
      <c r="SEI16" s="476"/>
      <c r="SEJ16" s="476"/>
      <c r="SEK16" s="476"/>
      <c r="SEL16" s="476"/>
      <c r="SEM16" s="476"/>
      <c r="SEN16" s="476"/>
      <c r="SEO16" s="476"/>
      <c r="SEP16" s="476"/>
      <c r="SEQ16" s="477"/>
      <c r="SER16" s="477"/>
      <c r="SES16" s="463"/>
      <c r="SET16" s="475"/>
      <c r="SEU16" s="476"/>
      <c r="SEV16" s="476"/>
      <c r="SEW16" s="476"/>
      <c r="SEX16" s="476"/>
      <c r="SEY16" s="476"/>
      <c r="SEZ16" s="476"/>
      <c r="SFA16" s="476"/>
      <c r="SFB16" s="476"/>
      <c r="SFC16" s="476"/>
      <c r="SFD16" s="476"/>
      <c r="SFE16" s="476"/>
      <c r="SFF16" s="476"/>
      <c r="SFG16" s="477"/>
      <c r="SFH16" s="477"/>
      <c r="SFI16" s="463"/>
      <c r="SFJ16" s="475"/>
      <c r="SFK16" s="476"/>
      <c r="SFL16" s="476"/>
      <c r="SFM16" s="476"/>
      <c r="SFN16" s="476"/>
      <c r="SFO16" s="476"/>
      <c r="SFP16" s="476"/>
      <c r="SFQ16" s="476"/>
      <c r="SFR16" s="476"/>
      <c r="SFS16" s="476"/>
      <c r="SFT16" s="476"/>
      <c r="SFU16" s="476"/>
      <c r="SFV16" s="476"/>
      <c r="SFW16" s="477"/>
      <c r="SFX16" s="477"/>
      <c r="SFY16" s="463"/>
      <c r="SFZ16" s="475"/>
      <c r="SGA16" s="476"/>
      <c r="SGB16" s="476"/>
      <c r="SGC16" s="476"/>
      <c r="SGD16" s="476"/>
      <c r="SGE16" s="476"/>
      <c r="SGF16" s="476"/>
      <c r="SGG16" s="476"/>
      <c r="SGH16" s="476"/>
      <c r="SGI16" s="476"/>
      <c r="SGJ16" s="476"/>
      <c r="SGK16" s="476"/>
      <c r="SGL16" s="476"/>
      <c r="SGM16" s="477"/>
      <c r="SGN16" s="477"/>
      <c r="SGO16" s="463"/>
      <c r="SGP16" s="475"/>
      <c r="SGQ16" s="476"/>
      <c r="SGR16" s="476"/>
      <c r="SGS16" s="476"/>
      <c r="SGT16" s="476"/>
      <c r="SGU16" s="476"/>
      <c r="SGV16" s="476"/>
      <c r="SGW16" s="476"/>
      <c r="SGX16" s="476"/>
      <c r="SGY16" s="476"/>
      <c r="SGZ16" s="476"/>
      <c r="SHA16" s="476"/>
      <c r="SHB16" s="476"/>
      <c r="SHC16" s="477"/>
      <c r="SHD16" s="477"/>
      <c r="SHE16" s="463"/>
      <c r="SHF16" s="475"/>
      <c r="SHG16" s="476"/>
      <c r="SHH16" s="476"/>
      <c r="SHI16" s="476"/>
      <c r="SHJ16" s="476"/>
      <c r="SHK16" s="476"/>
      <c r="SHL16" s="476"/>
      <c r="SHM16" s="476"/>
      <c r="SHN16" s="476"/>
      <c r="SHO16" s="476"/>
      <c r="SHP16" s="476"/>
      <c r="SHQ16" s="476"/>
      <c r="SHR16" s="476"/>
      <c r="SHS16" s="477"/>
      <c r="SHT16" s="477"/>
      <c r="SHU16" s="463"/>
      <c r="SHV16" s="475"/>
      <c r="SHW16" s="476"/>
      <c r="SHX16" s="476"/>
      <c r="SHY16" s="476"/>
      <c r="SHZ16" s="476"/>
      <c r="SIA16" s="476"/>
      <c r="SIB16" s="476"/>
      <c r="SIC16" s="476"/>
      <c r="SID16" s="476"/>
      <c r="SIE16" s="476"/>
      <c r="SIF16" s="476"/>
      <c r="SIG16" s="476"/>
      <c r="SIH16" s="476"/>
      <c r="SII16" s="477"/>
      <c r="SIJ16" s="477"/>
      <c r="SIK16" s="463"/>
      <c r="SIL16" s="475"/>
      <c r="SIM16" s="476"/>
      <c r="SIN16" s="476"/>
      <c r="SIO16" s="476"/>
      <c r="SIP16" s="476"/>
      <c r="SIQ16" s="476"/>
      <c r="SIR16" s="476"/>
      <c r="SIS16" s="476"/>
      <c r="SIT16" s="476"/>
      <c r="SIU16" s="476"/>
      <c r="SIV16" s="476"/>
      <c r="SIW16" s="476"/>
      <c r="SIX16" s="476"/>
      <c r="SIY16" s="477"/>
      <c r="SIZ16" s="477"/>
      <c r="SJA16" s="463"/>
      <c r="SJB16" s="475"/>
      <c r="SJC16" s="476"/>
      <c r="SJD16" s="476"/>
      <c r="SJE16" s="476"/>
      <c r="SJF16" s="476"/>
      <c r="SJG16" s="476"/>
      <c r="SJH16" s="476"/>
      <c r="SJI16" s="476"/>
      <c r="SJJ16" s="476"/>
      <c r="SJK16" s="476"/>
      <c r="SJL16" s="476"/>
      <c r="SJM16" s="476"/>
      <c r="SJN16" s="476"/>
      <c r="SJO16" s="477"/>
      <c r="SJP16" s="477"/>
      <c r="SJQ16" s="463"/>
      <c r="SJR16" s="475"/>
      <c r="SJS16" s="476"/>
      <c r="SJT16" s="476"/>
      <c r="SJU16" s="476"/>
      <c r="SJV16" s="476"/>
      <c r="SJW16" s="476"/>
      <c r="SJX16" s="476"/>
      <c r="SJY16" s="476"/>
      <c r="SJZ16" s="476"/>
      <c r="SKA16" s="476"/>
      <c r="SKB16" s="476"/>
      <c r="SKC16" s="476"/>
      <c r="SKD16" s="476"/>
      <c r="SKE16" s="477"/>
      <c r="SKF16" s="477"/>
      <c r="SKG16" s="463"/>
      <c r="SKH16" s="475"/>
      <c r="SKI16" s="476"/>
      <c r="SKJ16" s="476"/>
      <c r="SKK16" s="476"/>
      <c r="SKL16" s="476"/>
      <c r="SKM16" s="476"/>
      <c r="SKN16" s="476"/>
      <c r="SKO16" s="476"/>
      <c r="SKP16" s="476"/>
      <c r="SKQ16" s="476"/>
      <c r="SKR16" s="476"/>
      <c r="SKS16" s="476"/>
      <c r="SKT16" s="476"/>
      <c r="SKU16" s="477"/>
      <c r="SKV16" s="477"/>
      <c r="SKW16" s="463"/>
      <c r="SKX16" s="475"/>
      <c r="SKY16" s="476"/>
      <c r="SKZ16" s="476"/>
      <c r="SLA16" s="476"/>
      <c r="SLB16" s="476"/>
      <c r="SLC16" s="476"/>
      <c r="SLD16" s="476"/>
      <c r="SLE16" s="476"/>
      <c r="SLF16" s="476"/>
      <c r="SLG16" s="476"/>
      <c r="SLH16" s="476"/>
      <c r="SLI16" s="476"/>
      <c r="SLJ16" s="476"/>
      <c r="SLK16" s="477"/>
      <c r="SLL16" s="477"/>
      <c r="SLM16" s="463"/>
      <c r="SLN16" s="475"/>
      <c r="SLO16" s="476"/>
      <c r="SLP16" s="476"/>
      <c r="SLQ16" s="476"/>
      <c r="SLR16" s="476"/>
      <c r="SLS16" s="476"/>
      <c r="SLT16" s="476"/>
      <c r="SLU16" s="476"/>
      <c r="SLV16" s="476"/>
      <c r="SLW16" s="476"/>
      <c r="SLX16" s="476"/>
      <c r="SLY16" s="476"/>
      <c r="SLZ16" s="476"/>
      <c r="SMA16" s="477"/>
      <c r="SMB16" s="477"/>
      <c r="SMC16" s="463"/>
      <c r="SMD16" s="475"/>
      <c r="SME16" s="476"/>
      <c r="SMF16" s="476"/>
      <c r="SMG16" s="476"/>
      <c r="SMH16" s="476"/>
      <c r="SMI16" s="476"/>
      <c r="SMJ16" s="476"/>
      <c r="SMK16" s="476"/>
      <c r="SML16" s="476"/>
      <c r="SMM16" s="476"/>
      <c r="SMN16" s="476"/>
      <c r="SMO16" s="476"/>
      <c r="SMP16" s="476"/>
      <c r="SMQ16" s="477"/>
      <c r="SMR16" s="477"/>
      <c r="SMS16" s="463"/>
      <c r="SMT16" s="475"/>
      <c r="SMU16" s="476"/>
      <c r="SMV16" s="476"/>
      <c r="SMW16" s="476"/>
      <c r="SMX16" s="476"/>
      <c r="SMY16" s="476"/>
      <c r="SMZ16" s="476"/>
      <c r="SNA16" s="476"/>
      <c r="SNB16" s="476"/>
      <c r="SNC16" s="476"/>
      <c r="SND16" s="476"/>
      <c r="SNE16" s="476"/>
      <c r="SNF16" s="476"/>
      <c r="SNG16" s="477"/>
      <c r="SNH16" s="477"/>
      <c r="SNI16" s="463"/>
      <c r="SNJ16" s="475"/>
      <c r="SNK16" s="476"/>
      <c r="SNL16" s="476"/>
      <c r="SNM16" s="476"/>
      <c r="SNN16" s="476"/>
      <c r="SNO16" s="476"/>
      <c r="SNP16" s="476"/>
      <c r="SNQ16" s="476"/>
      <c r="SNR16" s="476"/>
      <c r="SNS16" s="476"/>
      <c r="SNT16" s="476"/>
      <c r="SNU16" s="476"/>
      <c r="SNV16" s="476"/>
      <c r="SNW16" s="477"/>
      <c r="SNX16" s="477"/>
      <c r="SNY16" s="463"/>
      <c r="SNZ16" s="475"/>
      <c r="SOA16" s="476"/>
      <c r="SOB16" s="476"/>
      <c r="SOC16" s="476"/>
      <c r="SOD16" s="476"/>
      <c r="SOE16" s="476"/>
      <c r="SOF16" s="476"/>
      <c r="SOG16" s="476"/>
      <c r="SOH16" s="476"/>
      <c r="SOI16" s="476"/>
      <c r="SOJ16" s="476"/>
      <c r="SOK16" s="476"/>
      <c r="SOL16" s="476"/>
      <c r="SOM16" s="477"/>
      <c r="SON16" s="477"/>
      <c r="SOO16" s="463"/>
      <c r="SOP16" s="475"/>
      <c r="SOQ16" s="476"/>
      <c r="SOR16" s="476"/>
      <c r="SOS16" s="476"/>
      <c r="SOT16" s="476"/>
      <c r="SOU16" s="476"/>
      <c r="SOV16" s="476"/>
      <c r="SOW16" s="476"/>
      <c r="SOX16" s="476"/>
      <c r="SOY16" s="476"/>
      <c r="SOZ16" s="476"/>
      <c r="SPA16" s="476"/>
      <c r="SPB16" s="476"/>
      <c r="SPC16" s="477"/>
      <c r="SPD16" s="477"/>
      <c r="SPE16" s="463"/>
      <c r="SPF16" s="475"/>
      <c r="SPG16" s="476"/>
      <c r="SPH16" s="476"/>
      <c r="SPI16" s="476"/>
      <c r="SPJ16" s="476"/>
      <c r="SPK16" s="476"/>
      <c r="SPL16" s="476"/>
      <c r="SPM16" s="476"/>
      <c r="SPN16" s="476"/>
      <c r="SPO16" s="476"/>
      <c r="SPP16" s="476"/>
      <c r="SPQ16" s="476"/>
      <c r="SPR16" s="476"/>
      <c r="SPS16" s="477"/>
      <c r="SPT16" s="477"/>
      <c r="SPU16" s="463"/>
      <c r="SPV16" s="475"/>
      <c r="SPW16" s="476"/>
      <c r="SPX16" s="476"/>
      <c r="SPY16" s="476"/>
      <c r="SPZ16" s="476"/>
      <c r="SQA16" s="476"/>
      <c r="SQB16" s="476"/>
      <c r="SQC16" s="476"/>
      <c r="SQD16" s="476"/>
      <c r="SQE16" s="476"/>
      <c r="SQF16" s="476"/>
      <c r="SQG16" s="476"/>
      <c r="SQH16" s="476"/>
      <c r="SQI16" s="477"/>
      <c r="SQJ16" s="477"/>
      <c r="SQK16" s="463"/>
      <c r="SQL16" s="475"/>
      <c r="SQM16" s="476"/>
      <c r="SQN16" s="476"/>
      <c r="SQO16" s="476"/>
      <c r="SQP16" s="476"/>
      <c r="SQQ16" s="476"/>
      <c r="SQR16" s="476"/>
      <c r="SQS16" s="476"/>
      <c r="SQT16" s="476"/>
      <c r="SQU16" s="476"/>
      <c r="SQV16" s="476"/>
      <c r="SQW16" s="476"/>
      <c r="SQX16" s="476"/>
      <c r="SQY16" s="477"/>
      <c r="SQZ16" s="477"/>
      <c r="SRA16" s="463"/>
      <c r="SRB16" s="475"/>
      <c r="SRC16" s="476"/>
      <c r="SRD16" s="476"/>
      <c r="SRE16" s="476"/>
      <c r="SRF16" s="476"/>
      <c r="SRG16" s="476"/>
      <c r="SRH16" s="476"/>
      <c r="SRI16" s="476"/>
      <c r="SRJ16" s="476"/>
      <c r="SRK16" s="476"/>
      <c r="SRL16" s="476"/>
      <c r="SRM16" s="476"/>
      <c r="SRN16" s="476"/>
      <c r="SRO16" s="477"/>
      <c r="SRP16" s="477"/>
      <c r="SRQ16" s="463"/>
      <c r="SRR16" s="475"/>
      <c r="SRS16" s="476"/>
      <c r="SRT16" s="476"/>
      <c r="SRU16" s="476"/>
      <c r="SRV16" s="476"/>
      <c r="SRW16" s="476"/>
      <c r="SRX16" s="476"/>
      <c r="SRY16" s="476"/>
      <c r="SRZ16" s="476"/>
      <c r="SSA16" s="476"/>
      <c r="SSB16" s="476"/>
      <c r="SSC16" s="476"/>
      <c r="SSD16" s="476"/>
      <c r="SSE16" s="477"/>
      <c r="SSF16" s="477"/>
      <c r="SSG16" s="463"/>
      <c r="SSH16" s="475"/>
      <c r="SSI16" s="476"/>
      <c r="SSJ16" s="476"/>
      <c r="SSK16" s="476"/>
      <c r="SSL16" s="476"/>
      <c r="SSM16" s="476"/>
      <c r="SSN16" s="476"/>
      <c r="SSO16" s="476"/>
      <c r="SSP16" s="476"/>
      <c r="SSQ16" s="476"/>
      <c r="SSR16" s="476"/>
      <c r="SSS16" s="476"/>
      <c r="SST16" s="476"/>
      <c r="SSU16" s="477"/>
      <c r="SSV16" s="477"/>
      <c r="SSW16" s="463"/>
      <c r="SSX16" s="475"/>
      <c r="SSY16" s="476"/>
      <c r="SSZ16" s="476"/>
      <c r="STA16" s="476"/>
      <c r="STB16" s="476"/>
      <c r="STC16" s="476"/>
      <c r="STD16" s="476"/>
      <c r="STE16" s="476"/>
      <c r="STF16" s="476"/>
      <c r="STG16" s="476"/>
      <c r="STH16" s="476"/>
      <c r="STI16" s="476"/>
      <c r="STJ16" s="476"/>
      <c r="STK16" s="477"/>
      <c r="STL16" s="477"/>
      <c r="STM16" s="463"/>
      <c r="STN16" s="475"/>
      <c r="STO16" s="476"/>
      <c r="STP16" s="476"/>
      <c r="STQ16" s="476"/>
      <c r="STR16" s="476"/>
      <c r="STS16" s="476"/>
      <c r="STT16" s="476"/>
      <c r="STU16" s="476"/>
      <c r="STV16" s="476"/>
      <c r="STW16" s="476"/>
      <c r="STX16" s="476"/>
      <c r="STY16" s="476"/>
      <c r="STZ16" s="476"/>
      <c r="SUA16" s="477"/>
      <c r="SUB16" s="477"/>
      <c r="SUC16" s="463"/>
      <c r="SUD16" s="475"/>
      <c r="SUE16" s="476"/>
      <c r="SUF16" s="476"/>
      <c r="SUG16" s="476"/>
      <c r="SUH16" s="476"/>
      <c r="SUI16" s="476"/>
      <c r="SUJ16" s="476"/>
      <c r="SUK16" s="476"/>
      <c r="SUL16" s="476"/>
      <c r="SUM16" s="476"/>
      <c r="SUN16" s="476"/>
      <c r="SUO16" s="476"/>
      <c r="SUP16" s="476"/>
      <c r="SUQ16" s="477"/>
      <c r="SUR16" s="477"/>
      <c r="SUS16" s="463"/>
      <c r="SUT16" s="475"/>
      <c r="SUU16" s="476"/>
      <c r="SUV16" s="476"/>
      <c r="SUW16" s="476"/>
      <c r="SUX16" s="476"/>
      <c r="SUY16" s="476"/>
      <c r="SUZ16" s="476"/>
      <c r="SVA16" s="476"/>
      <c r="SVB16" s="476"/>
      <c r="SVC16" s="476"/>
      <c r="SVD16" s="476"/>
      <c r="SVE16" s="476"/>
      <c r="SVF16" s="476"/>
      <c r="SVG16" s="477"/>
      <c r="SVH16" s="477"/>
      <c r="SVI16" s="463"/>
      <c r="SVJ16" s="475"/>
      <c r="SVK16" s="476"/>
      <c r="SVL16" s="476"/>
      <c r="SVM16" s="476"/>
      <c r="SVN16" s="476"/>
      <c r="SVO16" s="476"/>
      <c r="SVP16" s="476"/>
      <c r="SVQ16" s="476"/>
      <c r="SVR16" s="476"/>
      <c r="SVS16" s="476"/>
      <c r="SVT16" s="476"/>
      <c r="SVU16" s="476"/>
      <c r="SVV16" s="476"/>
      <c r="SVW16" s="477"/>
      <c r="SVX16" s="477"/>
      <c r="SVY16" s="463"/>
      <c r="SVZ16" s="475"/>
      <c r="SWA16" s="476"/>
      <c r="SWB16" s="476"/>
      <c r="SWC16" s="476"/>
      <c r="SWD16" s="476"/>
      <c r="SWE16" s="476"/>
      <c r="SWF16" s="476"/>
      <c r="SWG16" s="476"/>
      <c r="SWH16" s="476"/>
      <c r="SWI16" s="476"/>
      <c r="SWJ16" s="476"/>
      <c r="SWK16" s="476"/>
      <c r="SWL16" s="476"/>
      <c r="SWM16" s="477"/>
      <c r="SWN16" s="477"/>
      <c r="SWO16" s="463"/>
      <c r="SWP16" s="475"/>
      <c r="SWQ16" s="476"/>
      <c r="SWR16" s="476"/>
      <c r="SWS16" s="476"/>
      <c r="SWT16" s="476"/>
      <c r="SWU16" s="476"/>
      <c r="SWV16" s="476"/>
      <c r="SWW16" s="476"/>
      <c r="SWX16" s="476"/>
      <c r="SWY16" s="476"/>
      <c r="SWZ16" s="476"/>
      <c r="SXA16" s="476"/>
      <c r="SXB16" s="476"/>
      <c r="SXC16" s="477"/>
      <c r="SXD16" s="477"/>
      <c r="SXE16" s="463"/>
      <c r="SXF16" s="475"/>
      <c r="SXG16" s="476"/>
      <c r="SXH16" s="476"/>
      <c r="SXI16" s="476"/>
      <c r="SXJ16" s="476"/>
      <c r="SXK16" s="476"/>
      <c r="SXL16" s="476"/>
      <c r="SXM16" s="476"/>
      <c r="SXN16" s="476"/>
      <c r="SXO16" s="476"/>
      <c r="SXP16" s="476"/>
      <c r="SXQ16" s="476"/>
      <c r="SXR16" s="476"/>
      <c r="SXS16" s="477"/>
      <c r="SXT16" s="477"/>
      <c r="SXU16" s="463"/>
      <c r="SXV16" s="475"/>
      <c r="SXW16" s="476"/>
      <c r="SXX16" s="476"/>
      <c r="SXY16" s="476"/>
      <c r="SXZ16" s="476"/>
      <c r="SYA16" s="476"/>
      <c r="SYB16" s="476"/>
      <c r="SYC16" s="476"/>
      <c r="SYD16" s="476"/>
      <c r="SYE16" s="476"/>
      <c r="SYF16" s="476"/>
      <c r="SYG16" s="476"/>
      <c r="SYH16" s="476"/>
      <c r="SYI16" s="477"/>
      <c r="SYJ16" s="477"/>
      <c r="SYK16" s="463"/>
      <c r="SYL16" s="475"/>
      <c r="SYM16" s="476"/>
      <c r="SYN16" s="476"/>
      <c r="SYO16" s="476"/>
      <c r="SYP16" s="476"/>
      <c r="SYQ16" s="476"/>
      <c r="SYR16" s="476"/>
      <c r="SYS16" s="476"/>
      <c r="SYT16" s="476"/>
      <c r="SYU16" s="476"/>
      <c r="SYV16" s="476"/>
      <c r="SYW16" s="476"/>
      <c r="SYX16" s="476"/>
      <c r="SYY16" s="477"/>
      <c r="SYZ16" s="477"/>
      <c r="SZA16" s="463"/>
      <c r="SZB16" s="475"/>
      <c r="SZC16" s="476"/>
      <c r="SZD16" s="476"/>
      <c r="SZE16" s="476"/>
      <c r="SZF16" s="476"/>
      <c r="SZG16" s="476"/>
      <c r="SZH16" s="476"/>
      <c r="SZI16" s="476"/>
      <c r="SZJ16" s="476"/>
      <c r="SZK16" s="476"/>
      <c r="SZL16" s="476"/>
      <c r="SZM16" s="476"/>
      <c r="SZN16" s="476"/>
      <c r="SZO16" s="477"/>
      <c r="SZP16" s="477"/>
      <c r="SZQ16" s="463"/>
      <c r="SZR16" s="475"/>
      <c r="SZS16" s="476"/>
      <c r="SZT16" s="476"/>
      <c r="SZU16" s="476"/>
      <c r="SZV16" s="476"/>
      <c r="SZW16" s="476"/>
      <c r="SZX16" s="476"/>
      <c r="SZY16" s="476"/>
      <c r="SZZ16" s="476"/>
      <c r="TAA16" s="476"/>
      <c r="TAB16" s="476"/>
      <c r="TAC16" s="476"/>
      <c r="TAD16" s="476"/>
      <c r="TAE16" s="477"/>
      <c r="TAF16" s="477"/>
      <c r="TAG16" s="463"/>
      <c r="TAH16" s="475"/>
      <c r="TAI16" s="476"/>
      <c r="TAJ16" s="476"/>
      <c r="TAK16" s="476"/>
      <c r="TAL16" s="476"/>
      <c r="TAM16" s="476"/>
      <c r="TAN16" s="476"/>
      <c r="TAO16" s="476"/>
      <c r="TAP16" s="476"/>
      <c r="TAQ16" s="476"/>
      <c r="TAR16" s="476"/>
      <c r="TAS16" s="476"/>
      <c r="TAT16" s="476"/>
      <c r="TAU16" s="477"/>
      <c r="TAV16" s="477"/>
      <c r="TAW16" s="463"/>
      <c r="TAX16" s="475"/>
      <c r="TAY16" s="476"/>
      <c r="TAZ16" s="476"/>
      <c r="TBA16" s="476"/>
      <c r="TBB16" s="476"/>
      <c r="TBC16" s="476"/>
      <c r="TBD16" s="476"/>
      <c r="TBE16" s="476"/>
      <c r="TBF16" s="476"/>
      <c r="TBG16" s="476"/>
      <c r="TBH16" s="476"/>
      <c r="TBI16" s="476"/>
      <c r="TBJ16" s="476"/>
      <c r="TBK16" s="477"/>
      <c r="TBL16" s="477"/>
      <c r="TBM16" s="463"/>
      <c r="TBN16" s="475"/>
      <c r="TBO16" s="476"/>
      <c r="TBP16" s="476"/>
      <c r="TBQ16" s="476"/>
      <c r="TBR16" s="476"/>
      <c r="TBS16" s="476"/>
      <c r="TBT16" s="476"/>
      <c r="TBU16" s="476"/>
      <c r="TBV16" s="476"/>
      <c r="TBW16" s="476"/>
      <c r="TBX16" s="476"/>
      <c r="TBY16" s="476"/>
      <c r="TBZ16" s="476"/>
      <c r="TCA16" s="477"/>
      <c r="TCB16" s="477"/>
      <c r="TCC16" s="463"/>
      <c r="TCD16" s="475"/>
      <c r="TCE16" s="476"/>
      <c r="TCF16" s="476"/>
      <c r="TCG16" s="476"/>
      <c r="TCH16" s="476"/>
      <c r="TCI16" s="476"/>
      <c r="TCJ16" s="476"/>
      <c r="TCK16" s="476"/>
      <c r="TCL16" s="476"/>
      <c r="TCM16" s="476"/>
      <c r="TCN16" s="476"/>
      <c r="TCO16" s="476"/>
      <c r="TCP16" s="476"/>
      <c r="TCQ16" s="477"/>
      <c r="TCR16" s="477"/>
      <c r="TCS16" s="463"/>
      <c r="TCT16" s="475"/>
      <c r="TCU16" s="476"/>
      <c r="TCV16" s="476"/>
      <c r="TCW16" s="476"/>
      <c r="TCX16" s="476"/>
      <c r="TCY16" s="476"/>
      <c r="TCZ16" s="476"/>
      <c r="TDA16" s="476"/>
      <c r="TDB16" s="476"/>
      <c r="TDC16" s="476"/>
      <c r="TDD16" s="476"/>
      <c r="TDE16" s="476"/>
      <c r="TDF16" s="476"/>
      <c r="TDG16" s="477"/>
      <c r="TDH16" s="477"/>
      <c r="TDI16" s="463"/>
      <c r="TDJ16" s="475"/>
      <c r="TDK16" s="476"/>
      <c r="TDL16" s="476"/>
      <c r="TDM16" s="476"/>
      <c r="TDN16" s="476"/>
      <c r="TDO16" s="476"/>
      <c r="TDP16" s="476"/>
      <c r="TDQ16" s="476"/>
      <c r="TDR16" s="476"/>
      <c r="TDS16" s="476"/>
      <c r="TDT16" s="476"/>
      <c r="TDU16" s="476"/>
      <c r="TDV16" s="476"/>
      <c r="TDW16" s="477"/>
      <c r="TDX16" s="477"/>
      <c r="TDY16" s="463"/>
      <c r="TDZ16" s="475"/>
      <c r="TEA16" s="476"/>
      <c r="TEB16" s="476"/>
      <c r="TEC16" s="476"/>
      <c r="TED16" s="476"/>
      <c r="TEE16" s="476"/>
      <c r="TEF16" s="476"/>
      <c r="TEG16" s="476"/>
      <c r="TEH16" s="476"/>
      <c r="TEI16" s="476"/>
      <c r="TEJ16" s="476"/>
      <c r="TEK16" s="476"/>
      <c r="TEL16" s="476"/>
      <c r="TEM16" s="477"/>
      <c r="TEN16" s="477"/>
      <c r="TEO16" s="463"/>
      <c r="TEP16" s="475"/>
      <c r="TEQ16" s="476"/>
      <c r="TER16" s="476"/>
      <c r="TES16" s="476"/>
      <c r="TET16" s="476"/>
      <c r="TEU16" s="476"/>
      <c r="TEV16" s="476"/>
      <c r="TEW16" s="476"/>
      <c r="TEX16" s="476"/>
      <c r="TEY16" s="476"/>
      <c r="TEZ16" s="476"/>
      <c r="TFA16" s="476"/>
      <c r="TFB16" s="476"/>
      <c r="TFC16" s="477"/>
      <c r="TFD16" s="477"/>
      <c r="TFE16" s="463"/>
      <c r="TFF16" s="475"/>
      <c r="TFG16" s="476"/>
      <c r="TFH16" s="476"/>
      <c r="TFI16" s="476"/>
      <c r="TFJ16" s="476"/>
      <c r="TFK16" s="476"/>
      <c r="TFL16" s="476"/>
      <c r="TFM16" s="476"/>
      <c r="TFN16" s="476"/>
      <c r="TFO16" s="476"/>
      <c r="TFP16" s="476"/>
      <c r="TFQ16" s="476"/>
      <c r="TFR16" s="476"/>
      <c r="TFS16" s="477"/>
      <c r="TFT16" s="477"/>
      <c r="TFU16" s="463"/>
      <c r="TFV16" s="475"/>
      <c r="TFW16" s="476"/>
      <c r="TFX16" s="476"/>
      <c r="TFY16" s="476"/>
      <c r="TFZ16" s="476"/>
      <c r="TGA16" s="476"/>
      <c r="TGB16" s="476"/>
      <c r="TGC16" s="476"/>
      <c r="TGD16" s="476"/>
      <c r="TGE16" s="476"/>
      <c r="TGF16" s="476"/>
      <c r="TGG16" s="476"/>
      <c r="TGH16" s="476"/>
      <c r="TGI16" s="477"/>
      <c r="TGJ16" s="477"/>
      <c r="TGK16" s="463"/>
      <c r="TGL16" s="475"/>
      <c r="TGM16" s="476"/>
      <c r="TGN16" s="476"/>
      <c r="TGO16" s="476"/>
      <c r="TGP16" s="476"/>
      <c r="TGQ16" s="476"/>
      <c r="TGR16" s="476"/>
      <c r="TGS16" s="476"/>
      <c r="TGT16" s="476"/>
      <c r="TGU16" s="476"/>
      <c r="TGV16" s="476"/>
      <c r="TGW16" s="476"/>
      <c r="TGX16" s="476"/>
      <c r="TGY16" s="477"/>
      <c r="TGZ16" s="477"/>
      <c r="THA16" s="463"/>
      <c r="THB16" s="475"/>
      <c r="THC16" s="476"/>
      <c r="THD16" s="476"/>
      <c r="THE16" s="476"/>
      <c r="THF16" s="476"/>
      <c r="THG16" s="476"/>
      <c r="THH16" s="476"/>
      <c r="THI16" s="476"/>
      <c r="THJ16" s="476"/>
      <c r="THK16" s="476"/>
      <c r="THL16" s="476"/>
      <c r="THM16" s="476"/>
      <c r="THN16" s="476"/>
      <c r="THO16" s="477"/>
      <c r="THP16" s="477"/>
      <c r="THQ16" s="463"/>
      <c r="THR16" s="475"/>
      <c r="THS16" s="476"/>
      <c r="THT16" s="476"/>
      <c r="THU16" s="476"/>
      <c r="THV16" s="476"/>
      <c r="THW16" s="476"/>
      <c r="THX16" s="476"/>
      <c r="THY16" s="476"/>
      <c r="THZ16" s="476"/>
      <c r="TIA16" s="476"/>
      <c r="TIB16" s="476"/>
      <c r="TIC16" s="476"/>
      <c r="TID16" s="476"/>
      <c r="TIE16" s="477"/>
      <c r="TIF16" s="477"/>
      <c r="TIG16" s="463"/>
      <c r="TIH16" s="475"/>
      <c r="TII16" s="476"/>
      <c r="TIJ16" s="476"/>
      <c r="TIK16" s="476"/>
      <c r="TIL16" s="476"/>
      <c r="TIM16" s="476"/>
      <c r="TIN16" s="476"/>
      <c r="TIO16" s="476"/>
      <c r="TIP16" s="476"/>
      <c r="TIQ16" s="476"/>
      <c r="TIR16" s="476"/>
      <c r="TIS16" s="476"/>
      <c r="TIT16" s="476"/>
      <c r="TIU16" s="477"/>
      <c r="TIV16" s="477"/>
      <c r="TIW16" s="463"/>
      <c r="TIX16" s="475"/>
      <c r="TIY16" s="476"/>
      <c r="TIZ16" s="476"/>
      <c r="TJA16" s="476"/>
      <c r="TJB16" s="476"/>
      <c r="TJC16" s="476"/>
      <c r="TJD16" s="476"/>
      <c r="TJE16" s="476"/>
      <c r="TJF16" s="476"/>
      <c r="TJG16" s="476"/>
      <c r="TJH16" s="476"/>
      <c r="TJI16" s="476"/>
      <c r="TJJ16" s="476"/>
      <c r="TJK16" s="477"/>
      <c r="TJL16" s="477"/>
      <c r="TJM16" s="463"/>
      <c r="TJN16" s="475"/>
      <c r="TJO16" s="476"/>
      <c r="TJP16" s="476"/>
      <c r="TJQ16" s="476"/>
      <c r="TJR16" s="476"/>
      <c r="TJS16" s="476"/>
      <c r="TJT16" s="476"/>
      <c r="TJU16" s="476"/>
      <c r="TJV16" s="476"/>
      <c r="TJW16" s="476"/>
      <c r="TJX16" s="476"/>
      <c r="TJY16" s="476"/>
      <c r="TJZ16" s="476"/>
      <c r="TKA16" s="477"/>
      <c r="TKB16" s="477"/>
      <c r="TKC16" s="463"/>
      <c r="TKD16" s="475"/>
      <c r="TKE16" s="476"/>
      <c r="TKF16" s="476"/>
      <c r="TKG16" s="476"/>
      <c r="TKH16" s="476"/>
      <c r="TKI16" s="476"/>
      <c r="TKJ16" s="476"/>
      <c r="TKK16" s="476"/>
      <c r="TKL16" s="476"/>
      <c r="TKM16" s="476"/>
      <c r="TKN16" s="476"/>
      <c r="TKO16" s="476"/>
      <c r="TKP16" s="476"/>
      <c r="TKQ16" s="477"/>
      <c r="TKR16" s="477"/>
      <c r="TKS16" s="463"/>
      <c r="TKT16" s="475"/>
      <c r="TKU16" s="476"/>
      <c r="TKV16" s="476"/>
      <c r="TKW16" s="476"/>
      <c r="TKX16" s="476"/>
      <c r="TKY16" s="476"/>
      <c r="TKZ16" s="476"/>
      <c r="TLA16" s="476"/>
      <c r="TLB16" s="476"/>
      <c r="TLC16" s="476"/>
      <c r="TLD16" s="476"/>
      <c r="TLE16" s="476"/>
      <c r="TLF16" s="476"/>
      <c r="TLG16" s="477"/>
      <c r="TLH16" s="477"/>
      <c r="TLI16" s="463"/>
      <c r="TLJ16" s="475"/>
      <c r="TLK16" s="476"/>
      <c r="TLL16" s="476"/>
      <c r="TLM16" s="476"/>
      <c r="TLN16" s="476"/>
      <c r="TLO16" s="476"/>
      <c r="TLP16" s="476"/>
      <c r="TLQ16" s="476"/>
      <c r="TLR16" s="476"/>
      <c r="TLS16" s="476"/>
      <c r="TLT16" s="476"/>
      <c r="TLU16" s="476"/>
      <c r="TLV16" s="476"/>
      <c r="TLW16" s="477"/>
      <c r="TLX16" s="477"/>
      <c r="TLY16" s="463"/>
      <c r="TLZ16" s="475"/>
      <c r="TMA16" s="476"/>
      <c r="TMB16" s="476"/>
      <c r="TMC16" s="476"/>
      <c r="TMD16" s="476"/>
      <c r="TME16" s="476"/>
      <c r="TMF16" s="476"/>
      <c r="TMG16" s="476"/>
      <c r="TMH16" s="476"/>
      <c r="TMI16" s="476"/>
      <c r="TMJ16" s="476"/>
      <c r="TMK16" s="476"/>
      <c r="TML16" s="476"/>
      <c r="TMM16" s="477"/>
      <c r="TMN16" s="477"/>
      <c r="TMO16" s="463"/>
      <c r="TMP16" s="475"/>
      <c r="TMQ16" s="476"/>
      <c r="TMR16" s="476"/>
      <c r="TMS16" s="476"/>
      <c r="TMT16" s="476"/>
      <c r="TMU16" s="476"/>
      <c r="TMV16" s="476"/>
      <c r="TMW16" s="476"/>
      <c r="TMX16" s="476"/>
      <c r="TMY16" s="476"/>
      <c r="TMZ16" s="476"/>
      <c r="TNA16" s="476"/>
      <c r="TNB16" s="476"/>
      <c r="TNC16" s="477"/>
      <c r="TND16" s="477"/>
      <c r="TNE16" s="463"/>
      <c r="TNF16" s="475"/>
      <c r="TNG16" s="476"/>
      <c r="TNH16" s="476"/>
      <c r="TNI16" s="476"/>
      <c r="TNJ16" s="476"/>
      <c r="TNK16" s="476"/>
      <c r="TNL16" s="476"/>
      <c r="TNM16" s="476"/>
      <c r="TNN16" s="476"/>
      <c r="TNO16" s="476"/>
      <c r="TNP16" s="476"/>
      <c r="TNQ16" s="476"/>
      <c r="TNR16" s="476"/>
      <c r="TNS16" s="477"/>
      <c r="TNT16" s="477"/>
      <c r="TNU16" s="463"/>
      <c r="TNV16" s="475"/>
      <c r="TNW16" s="476"/>
      <c r="TNX16" s="476"/>
      <c r="TNY16" s="476"/>
      <c r="TNZ16" s="476"/>
      <c r="TOA16" s="476"/>
      <c r="TOB16" s="476"/>
      <c r="TOC16" s="476"/>
      <c r="TOD16" s="476"/>
      <c r="TOE16" s="476"/>
      <c r="TOF16" s="476"/>
      <c r="TOG16" s="476"/>
      <c r="TOH16" s="476"/>
      <c r="TOI16" s="477"/>
      <c r="TOJ16" s="477"/>
      <c r="TOK16" s="463"/>
      <c r="TOL16" s="475"/>
      <c r="TOM16" s="476"/>
      <c r="TON16" s="476"/>
      <c r="TOO16" s="476"/>
      <c r="TOP16" s="476"/>
      <c r="TOQ16" s="476"/>
      <c r="TOR16" s="476"/>
      <c r="TOS16" s="476"/>
      <c r="TOT16" s="476"/>
      <c r="TOU16" s="476"/>
      <c r="TOV16" s="476"/>
      <c r="TOW16" s="476"/>
      <c r="TOX16" s="476"/>
      <c r="TOY16" s="477"/>
      <c r="TOZ16" s="477"/>
      <c r="TPA16" s="463"/>
      <c r="TPB16" s="475"/>
      <c r="TPC16" s="476"/>
      <c r="TPD16" s="476"/>
      <c r="TPE16" s="476"/>
      <c r="TPF16" s="476"/>
      <c r="TPG16" s="476"/>
      <c r="TPH16" s="476"/>
      <c r="TPI16" s="476"/>
      <c r="TPJ16" s="476"/>
      <c r="TPK16" s="476"/>
      <c r="TPL16" s="476"/>
      <c r="TPM16" s="476"/>
      <c r="TPN16" s="476"/>
      <c r="TPO16" s="477"/>
      <c r="TPP16" s="477"/>
      <c r="TPQ16" s="463"/>
      <c r="TPR16" s="475"/>
      <c r="TPS16" s="476"/>
      <c r="TPT16" s="476"/>
      <c r="TPU16" s="476"/>
      <c r="TPV16" s="476"/>
      <c r="TPW16" s="476"/>
      <c r="TPX16" s="476"/>
      <c r="TPY16" s="476"/>
      <c r="TPZ16" s="476"/>
      <c r="TQA16" s="476"/>
      <c r="TQB16" s="476"/>
      <c r="TQC16" s="476"/>
      <c r="TQD16" s="476"/>
      <c r="TQE16" s="477"/>
      <c r="TQF16" s="477"/>
      <c r="TQG16" s="463"/>
      <c r="TQH16" s="475"/>
      <c r="TQI16" s="476"/>
      <c r="TQJ16" s="476"/>
      <c r="TQK16" s="476"/>
      <c r="TQL16" s="476"/>
      <c r="TQM16" s="476"/>
      <c r="TQN16" s="476"/>
      <c r="TQO16" s="476"/>
      <c r="TQP16" s="476"/>
      <c r="TQQ16" s="476"/>
      <c r="TQR16" s="476"/>
      <c r="TQS16" s="476"/>
      <c r="TQT16" s="476"/>
      <c r="TQU16" s="477"/>
      <c r="TQV16" s="477"/>
      <c r="TQW16" s="463"/>
      <c r="TQX16" s="475"/>
      <c r="TQY16" s="476"/>
      <c r="TQZ16" s="476"/>
      <c r="TRA16" s="476"/>
      <c r="TRB16" s="476"/>
      <c r="TRC16" s="476"/>
      <c r="TRD16" s="476"/>
      <c r="TRE16" s="476"/>
      <c r="TRF16" s="476"/>
      <c r="TRG16" s="476"/>
      <c r="TRH16" s="476"/>
      <c r="TRI16" s="476"/>
      <c r="TRJ16" s="476"/>
      <c r="TRK16" s="477"/>
      <c r="TRL16" s="477"/>
      <c r="TRM16" s="463"/>
      <c r="TRN16" s="475"/>
      <c r="TRO16" s="476"/>
      <c r="TRP16" s="476"/>
      <c r="TRQ16" s="476"/>
      <c r="TRR16" s="476"/>
      <c r="TRS16" s="476"/>
      <c r="TRT16" s="476"/>
      <c r="TRU16" s="476"/>
      <c r="TRV16" s="476"/>
      <c r="TRW16" s="476"/>
      <c r="TRX16" s="476"/>
      <c r="TRY16" s="476"/>
      <c r="TRZ16" s="476"/>
      <c r="TSA16" s="477"/>
      <c r="TSB16" s="477"/>
      <c r="TSC16" s="463"/>
      <c r="TSD16" s="475"/>
      <c r="TSE16" s="476"/>
      <c r="TSF16" s="476"/>
      <c r="TSG16" s="476"/>
      <c r="TSH16" s="476"/>
      <c r="TSI16" s="476"/>
      <c r="TSJ16" s="476"/>
      <c r="TSK16" s="476"/>
      <c r="TSL16" s="476"/>
      <c r="TSM16" s="476"/>
      <c r="TSN16" s="476"/>
      <c r="TSO16" s="476"/>
      <c r="TSP16" s="476"/>
      <c r="TSQ16" s="477"/>
      <c r="TSR16" s="477"/>
      <c r="TSS16" s="463"/>
      <c r="TST16" s="475"/>
      <c r="TSU16" s="476"/>
      <c r="TSV16" s="476"/>
      <c r="TSW16" s="476"/>
      <c r="TSX16" s="476"/>
      <c r="TSY16" s="476"/>
      <c r="TSZ16" s="476"/>
      <c r="TTA16" s="476"/>
      <c r="TTB16" s="476"/>
      <c r="TTC16" s="476"/>
      <c r="TTD16" s="476"/>
      <c r="TTE16" s="476"/>
      <c r="TTF16" s="476"/>
      <c r="TTG16" s="477"/>
      <c r="TTH16" s="477"/>
      <c r="TTI16" s="463"/>
      <c r="TTJ16" s="475"/>
      <c r="TTK16" s="476"/>
      <c r="TTL16" s="476"/>
      <c r="TTM16" s="476"/>
      <c r="TTN16" s="476"/>
      <c r="TTO16" s="476"/>
      <c r="TTP16" s="476"/>
      <c r="TTQ16" s="476"/>
      <c r="TTR16" s="476"/>
      <c r="TTS16" s="476"/>
      <c r="TTT16" s="476"/>
      <c r="TTU16" s="476"/>
      <c r="TTV16" s="476"/>
      <c r="TTW16" s="477"/>
      <c r="TTX16" s="477"/>
      <c r="TTY16" s="463"/>
      <c r="TTZ16" s="475"/>
      <c r="TUA16" s="476"/>
      <c r="TUB16" s="476"/>
      <c r="TUC16" s="476"/>
      <c r="TUD16" s="476"/>
      <c r="TUE16" s="476"/>
      <c r="TUF16" s="476"/>
      <c r="TUG16" s="476"/>
      <c r="TUH16" s="476"/>
      <c r="TUI16" s="476"/>
      <c r="TUJ16" s="476"/>
      <c r="TUK16" s="476"/>
      <c r="TUL16" s="476"/>
      <c r="TUM16" s="477"/>
      <c r="TUN16" s="477"/>
      <c r="TUO16" s="463"/>
      <c r="TUP16" s="475"/>
      <c r="TUQ16" s="476"/>
      <c r="TUR16" s="476"/>
      <c r="TUS16" s="476"/>
      <c r="TUT16" s="476"/>
      <c r="TUU16" s="476"/>
      <c r="TUV16" s="476"/>
      <c r="TUW16" s="476"/>
      <c r="TUX16" s="476"/>
      <c r="TUY16" s="476"/>
      <c r="TUZ16" s="476"/>
      <c r="TVA16" s="476"/>
      <c r="TVB16" s="476"/>
      <c r="TVC16" s="477"/>
      <c r="TVD16" s="477"/>
      <c r="TVE16" s="463"/>
      <c r="TVF16" s="475"/>
      <c r="TVG16" s="476"/>
      <c r="TVH16" s="476"/>
      <c r="TVI16" s="476"/>
      <c r="TVJ16" s="476"/>
      <c r="TVK16" s="476"/>
      <c r="TVL16" s="476"/>
      <c r="TVM16" s="476"/>
      <c r="TVN16" s="476"/>
      <c r="TVO16" s="476"/>
      <c r="TVP16" s="476"/>
      <c r="TVQ16" s="476"/>
      <c r="TVR16" s="476"/>
      <c r="TVS16" s="477"/>
      <c r="TVT16" s="477"/>
      <c r="TVU16" s="463"/>
      <c r="TVV16" s="475"/>
      <c r="TVW16" s="476"/>
      <c r="TVX16" s="476"/>
      <c r="TVY16" s="476"/>
      <c r="TVZ16" s="476"/>
      <c r="TWA16" s="476"/>
      <c r="TWB16" s="476"/>
      <c r="TWC16" s="476"/>
      <c r="TWD16" s="476"/>
      <c r="TWE16" s="476"/>
      <c r="TWF16" s="476"/>
      <c r="TWG16" s="476"/>
      <c r="TWH16" s="476"/>
      <c r="TWI16" s="477"/>
      <c r="TWJ16" s="477"/>
      <c r="TWK16" s="463"/>
      <c r="TWL16" s="475"/>
      <c r="TWM16" s="476"/>
      <c r="TWN16" s="476"/>
      <c r="TWO16" s="476"/>
      <c r="TWP16" s="476"/>
      <c r="TWQ16" s="476"/>
      <c r="TWR16" s="476"/>
      <c r="TWS16" s="476"/>
      <c r="TWT16" s="476"/>
      <c r="TWU16" s="476"/>
      <c r="TWV16" s="476"/>
      <c r="TWW16" s="476"/>
      <c r="TWX16" s="476"/>
      <c r="TWY16" s="477"/>
      <c r="TWZ16" s="477"/>
      <c r="TXA16" s="463"/>
      <c r="TXB16" s="475"/>
      <c r="TXC16" s="476"/>
      <c r="TXD16" s="476"/>
      <c r="TXE16" s="476"/>
      <c r="TXF16" s="476"/>
      <c r="TXG16" s="476"/>
      <c r="TXH16" s="476"/>
      <c r="TXI16" s="476"/>
      <c r="TXJ16" s="476"/>
      <c r="TXK16" s="476"/>
      <c r="TXL16" s="476"/>
      <c r="TXM16" s="476"/>
      <c r="TXN16" s="476"/>
      <c r="TXO16" s="477"/>
      <c r="TXP16" s="477"/>
      <c r="TXQ16" s="463"/>
      <c r="TXR16" s="475"/>
      <c r="TXS16" s="476"/>
      <c r="TXT16" s="476"/>
      <c r="TXU16" s="476"/>
      <c r="TXV16" s="476"/>
      <c r="TXW16" s="476"/>
      <c r="TXX16" s="476"/>
      <c r="TXY16" s="476"/>
      <c r="TXZ16" s="476"/>
      <c r="TYA16" s="476"/>
      <c r="TYB16" s="476"/>
      <c r="TYC16" s="476"/>
      <c r="TYD16" s="476"/>
      <c r="TYE16" s="477"/>
      <c r="TYF16" s="477"/>
      <c r="TYG16" s="463"/>
      <c r="TYH16" s="475"/>
      <c r="TYI16" s="476"/>
      <c r="TYJ16" s="476"/>
      <c r="TYK16" s="476"/>
      <c r="TYL16" s="476"/>
      <c r="TYM16" s="476"/>
      <c r="TYN16" s="476"/>
      <c r="TYO16" s="476"/>
      <c r="TYP16" s="476"/>
      <c r="TYQ16" s="476"/>
      <c r="TYR16" s="476"/>
      <c r="TYS16" s="476"/>
      <c r="TYT16" s="476"/>
      <c r="TYU16" s="477"/>
      <c r="TYV16" s="477"/>
      <c r="TYW16" s="463"/>
      <c r="TYX16" s="475"/>
      <c r="TYY16" s="476"/>
      <c r="TYZ16" s="476"/>
      <c r="TZA16" s="476"/>
      <c r="TZB16" s="476"/>
      <c r="TZC16" s="476"/>
      <c r="TZD16" s="476"/>
      <c r="TZE16" s="476"/>
      <c r="TZF16" s="476"/>
      <c r="TZG16" s="476"/>
      <c r="TZH16" s="476"/>
      <c r="TZI16" s="476"/>
      <c r="TZJ16" s="476"/>
      <c r="TZK16" s="477"/>
      <c r="TZL16" s="477"/>
      <c r="TZM16" s="463"/>
      <c r="TZN16" s="475"/>
      <c r="TZO16" s="476"/>
      <c r="TZP16" s="476"/>
      <c r="TZQ16" s="476"/>
      <c r="TZR16" s="476"/>
      <c r="TZS16" s="476"/>
      <c r="TZT16" s="476"/>
      <c r="TZU16" s="476"/>
      <c r="TZV16" s="476"/>
      <c r="TZW16" s="476"/>
      <c r="TZX16" s="476"/>
      <c r="TZY16" s="476"/>
      <c r="TZZ16" s="476"/>
      <c r="UAA16" s="477"/>
      <c r="UAB16" s="477"/>
      <c r="UAC16" s="463"/>
      <c r="UAD16" s="475"/>
      <c r="UAE16" s="476"/>
      <c r="UAF16" s="476"/>
      <c r="UAG16" s="476"/>
      <c r="UAH16" s="476"/>
      <c r="UAI16" s="476"/>
      <c r="UAJ16" s="476"/>
      <c r="UAK16" s="476"/>
      <c r="UAL16" s="476"/>
      <c r="UAM16" s="476"/>
      <c r="UAN16" s="476"/>
      <c r="UAO16" s="476"/>
      <c r="UAP16" s="476"/>
      <c r="UAQ16" s="477"/>
      <c r="UAR16" s="477"/>
      <c r="UAS16" s="463"/>
      <c r="UAT16" s="475"/>
      <c r="UAU16" s="476"/>
      <c r="UAV16" s="476"/>
      <c r="UAW16" s="476"/>
      <c r="UAX16" s="476"/>
      <c r="UAY16" s="476"/>
      <c r="UAZ16" s="476"/>
      <c r="UBA16" s="476"/>
      <c r="UBB16" s="476"/>
      <c r="UBC16" s="476"/>
      <c r="UBD16" s="476"/>
      <c r="UBE16" s="476"/>
      <c r="UBF16" s="476"/>
      <c r="UBG16" s="477"/>
      <c r="UBH16" s="477"/>
      <c r="UBI16" s="463"/>
      <c r="UBJ16" s="475"/>
      <c r="UBK16" s="476"/>
      <c r="UBL16" s="476"/>
      <c r="UBM16" s="476"/>
      <c r="UBN16" s="476"/>
      <c r="UBO16" s="476"/>
      <c r="UBP16" s="476"/>
      <c r="UBQ16" s="476"/>
      <c r="UBR16" s="476"/>
      <c r="UBS16" s="476"/>
      <c r="UBT16" s="476"/>
      <c r="UBU16" s="476"/>
      <c r="UBV16" s="476"/>
      <c r="UBW16" s="477"/>
      <c r="UBX16" s="477"/>
      <c r="UBY16" s="463"/>
      <c r="UBZ16" s="475"/>
      <c r="UCA16" s="476"/>
      <c r="UCB16" s="476"/>
      <c r="UCC16" s="476"/>
      <c r="UCD16" s="476"/>
      <c r="UCE16" s="476"/>
      <c r="UCF16" s="476"/>
      <c r="UCG16" s="476"/>
      <c r="UCH16" s="476"/>
      <c r="UCI16" s="476"/>
      <c r="UCJ16" s="476"/>
      <c r="UCK16" s="476"/>
      <c r="UCL16" s="476"/>
      <c r="UCM16" s="477"/>
      <c r="UCN16" s="477"/>
      <c r="UCO16" s="463"/>
      <c r="UCP16" s="475"/>
      <c r="UCQ16" s="476"/>
      <c r="UCR16" s="476"/>
      <c r="UCS16" s="476"/>
      <c r="UCT16" s="476"/>
      <c r="UCU16" s="476"/>
      <c r="UCV16" s="476"/>
      <c r="UCW16" s="476"/>
      <c r="UCX16" s="476"/>
      <c r="UCY16" s="476"/>
      <c r="UCZ16" s="476"/>
      <c r="UDA16" s="476"/>
      <c r="UDB16" s="476"/>
      <c r="UDC16" s="477"/>
      <c r="UDD16" s="477"/>
      <c r="UDE16" s="463"/>
      <c r="UDF16" s="475"/>
      <c r="UDG16" s="476"/>
      <c r="UDH16" s="476"/>
      <c r="UDI16" s="476"/>
      <c r="UDJ16" s="476"/>
      <c r="UDK16" s="476"/>
      <c r="UDL16" s="476"/>
      <c r="UDM16" s="476"/>
      <c r="UDN16" s="476"/>
      <c r="UDO16" s="476"/>
      <c r="UDP16" s="476"/>
      <c r="UDQ16" s="476"/>
      <c r="UDR16" s="476"/>
      <c r="UDS16" s="477"/>
      <c r="UDT16" s="477"/>
      <c r="UDU16" s="463"/>
      <c r="UDV16" s="475"/>
      <c r="UDW16" s="476"/>
      <c r="UDX16" s="476"/>
      <c r="UDY16" s="476"/>
      <c r="UDZ16" s="476"/>
      <c r="UEA16" s="476"/>
      <c r="UEB16" s="476"/>
      <c r="UEC16" s="476"/>
      <c r="UED16" s="476"/>
      <c r="UEE16" s="476"/>
      <c r="UEF16" s="476"/>
      <c r="UEG16" s="476"/>
      <c r="UEH16" s="476"/>
      <c r="UEI16" s="477"/>
      <c r="UEJ16" s="477"/>
      <c r="UEK16" s="463"/>
      <c r="UEL16" s="475"/>
      <c r="UEM16" s="476"/>
      <c r="UEN16" s="476"/>
      <c r="UEO16" s="476"/>
      <c r="UEP16" s="476"/>
      <c r="UEQ16" s="476"/>
      <c r="UER16" s="476"/>
      <c r="UES16" s="476"/>
      <c r="UET16" s="476"/>
      <c r="UEU16" s="476"/>
      <c r="UEV16" s="476"/>
      <c r="UEW16" s="476"/>
      <c r="UEX16" s="476"/>
      <c r="UEY16" s="477"/>
      <c r="UEZ16" s="477"/>
      <c r="UFA16" s="463"/>
      <c r="UFB16" s="475"/>
      <c r="UFC16" s="476"/>
      <c r="UFD16" s="476"/>
      <c r="UFE16" s="476"/>
      <c r="UFF16" s="476"/>
      <c r="UFG16" s="476"/>
      <c r="UFH16" s="476"/>
      <c r="UFI16" s="476"/>
      <c r="UFJ16" s="476"/>
      <c r="UFK16" s="476"/>
      <c r="UFL16" s="476"/>
      <c r="UFM16" s="476"/>
      <c r="UFN16" s="476"/>
      <c r="UFO16" s="477"/>
      <c r="UFP16" s="477"/>
      <c r="UFQ16" s="463"/>
      <c r="UFR16" s="475"/>
      <c r="UFS16" s="476"/>
      <c r="UFT16" s="476"/>
      <c r="UFU16" s="476"/>
      <c r="UFV16" s="476"/>
      <c r="UFW16" s="476"/>
      <c r="UFX16" s="476"/>
      <c r="UFY16" s="476"/>
      <c r="UFZ16" s="476"/>
      <c r="UGA16" s="476"/>
      <c r="UGB16" s="476"/>
      <c r="UGC16" s="476"/>
      <c r="UGD16" s="476"/>
      <c r="UGE16" s="477"/>
      <c r="UGF16" s="477"/>
      <c r="UGG16" s="463"/>
      <c r="UGH16" s="475"/>
      <c r="UGI16" s="476"/>
      <c r="UGJ16" s="476"/>
      <c r="UGK16" s="476"/>
      <c r="UGL16" s="476"/>
      <c r="UGM16" s="476"/>
      <c r="UGN16" s="476"/>
      <c r="UGO16" s="476"/>
      <c r="UGP16" s="476"/>
      <c r="UGQ16" s="476"/>
      <c r="UGR16" s="476"/>
      <c r="UGS16" s="476"/>
      <c r="UGT16" s="476"/>
      <c r="UGU16" s="477"/>
      <c r="UGV16" s="477"/>
      <c r="UGW16" s="463"/>
      <c r="UGX16" s="475"/>
      <c r="UGY16" s="476"/>
      <c r="UGZ16" s="476"/>
      <c r="UHA16" s="476"/>
      <c r="UHB16" s="476"/>
      <c r="UHC16" s="476"/>
      <c r="UHD16" s="476"/>
      <c r="UHE16" s="476"/>
      <c r="UHF16" s="476"/>
      <c r="UHG16" s="476"/>
      <c r="UHH16" s="476"/>
      <c r="UHI16" s="476"/>
      <c r="UHJ16" s="476"/>
      <c r="UHK16" s="477"/>
      <c r="UHL16" s="477"/>
      <c r="UHM16" s="463"/>
      <c r="UHN16" s="475"/>
      <c r="UHO16" s="476"/>
      <c r="UHP16" s="476"/>
      <c r="UHQ16" s="476"/>
      <c r="UHR16" s="476"/>
      <c r="UHS16" s="476"/>
      <c r="UHT16" s="476"/>
      <c r="UHU16" s="476"/>
      <c r="UHV16" s="476"/>
      <c r="UHW16" s="476"/>
      <c r="UHX16" s="476"/>
      <c r="UHY16" s="476"/>
      <c r="UHZ16" s="476"/>
      <c r="UIA16" s="477"/>
      <c r="UIB16" s="477"/>
      <c r="UIC16" s="463"/>
      <c r="UID16" s="475"/>
      <c r="UIE16" s="476"/>
      <c r="UIF16" s="476"/>
      <c r="UIG16" s="476"/>
      <c r="UIH16" s="476"/>
      <c r="UII16" s="476"/>
      <c r="UIJ16" s="476"/>
      <c r="UIK16" s="476"/>
      <c r="UIL16" s="476"/>
      <c r="UIM16" s="476"/>
      <c r="UIN16" s="476"/>
      <c r="UIO16" s="476"/>
      <c r="UIP16" s="476"/>
      <c r="UIQ16" s="477"/>
      <c r="UIR16" s="477"/>
      <c r="UIS16" s="463"/>
      <c r="UIT16" s="475"/>
      <c r="UIU16" s="476"/>
      <c r="UIV16" s="476"/>
      <c r="UIW16" s="476"/>
      <c r="UIX16" s="476"/>
      <c r="UIY16" s="476"/>
      <c r="UIZ16" s="476"/>
      <c r="UJA16" s="476"/>
      <c r="UJB16" s="476"/>
      <c r="UJC16" s="476"/>
      <c r="UJD16" s="476"/>
      <c r="UJE16" s="476"/>
      <c r="UJF16" s="476"/>
      <c r="UJG16" s="477"/>
      <c r="UJH16" s="477"/>
      <c r="UJI16" s="463"/>
      <c r="UJJ16" s="475"/>
      <c r="UJK16" s="476"/>
      <c r="UJL16" s="476"/>
      <c r="UJM16" s="476"/>
      <c r="UJN16" s="476"/>
      <c r="UJO16" s="476"/>
      <c r="UJP16" s="476"/>
      <c r="UJQ16" s="476"/>
      <c r="UJR16" s="476"/>
      <c r="UJS16" s="476"/>
      <c r="UJT16" s="476"/>
      <c r="UJU16" s="476"/>
      <c r="UJV16" s="476"/>
      <c r="UJW16" s="477"/>
      <c r="UJX16" s="477"/>
      <c r="UJY16" s="463"/>
      <c r="UJZ16" s="475"/>
      <c r="UKA16" s="476"/>
      <c r="UKB16" s="476"/>
      <c r="UKC16" s="476"/>
      <c r="UKD16" s="476"/>
      <c r="UKE16" s="476"/>
      <c r="UKF16" s="476"/>
      <c r="UKG16" s="476"/>
      <c r="UKH16" s="476"/>
      <c r="UKI16" s="476"/>
      <c r="UKJ16" s="476"/>
      <c r="UKK16" s="476"/>
      <c r="UKL16" s="476"/>
      <c r="UKM16" s="477"/>
      <c r="UKN16" s="477"/>
      <c r="UKO16" s="463"/>
      <c r="UKP16" s="475"/>
      <c r="UKQ16" s="476"/>
      <c r="UKR16" s="476"/>
      <c r="UKS16" s="476"/>
      <c r="UKT16" s="476"/>
      <c r="UKU16" s="476"/>
      <c r="UKV16" s="476"/>
      <c r="UKW16" s="476"/>
      <c r="UKX16" s="476"/>
      <c r="UKY16" s="476"/>
      <c r="UKZ16" s="476"/>
      <c r="ULA16" s="476"/>
      <c r="ULB16" s="476"/>
      <c r="ULC16" s="477"/>
      <c r="ULD16" s="477"/>
      <c r="ULE16" s="463"/>
      <c r="ULF16" s="475"/>
      <c r="ULG16" s="476"/>
      <c r="ULH16" s="476"/>
      <c r="ULI16" s="476"/>
      <c r="ULJ16" s="476"/>
      <c r="ULK16" s="476"/>
      <c r="ULL16" s="476"/>
      <c r="ULM16" s="476"/>
      <c r="ULN16" s="476"/>
      <c r="ULO16" s="476"/>
      <c r="ULP16" s="476"/>
      <c r="ULQ16" s="476"/>
      <c r="ULR16" s="476"/>
      <c r="ULS16" s="477"/>
      <c r="ULT16" s="477"/>
      <c r="ULU16" s="463"/>
      <c r="ULV16" s="475"/>
      <c r="ULW16" s="476"/>
      <c r="ULX16" s="476"/>
      <c r="ULY16" s="476"/>
      <c r="ULZ16" s="476"/>
      <c r="UMA16" s="476"/>
      <c r="UMB16" s="476"/>
      <c r="UMC16" s="476"/>
      <c r="UMD16" s="476"/>
      <c r="UME16" s="476"/>
      <c r="UMF16" s="476"/>
      <c r="UMG16" s="476"/>
      <c r="UMH16" s="476"/>
      <c r="UMI16" s="477"/>
      <c r="UMJ16" s="477"/>
      <c r="UMK16" s="463"/>
      <c r="UML16" s="475"/>
      <c r="UMM16" s="476"/>
      <c r="UMN16" s="476"/>
      <c r="UMO16" s="476"/>
      <c r="UMP16" s="476"/>
      <c r="UMQ16" s="476"/>
      <c r="UMR16" s="476"/>
      <c r="UMS16" s="476"/>
      <c r="UMT16" s="476"/>
      <c r="UMU16" s="476"/>
      <c r="UMV16" s="476"/>
      <c r="UMW16" s="476"/>
      <c r="UMX16" s="476"/>
      <c r="UMY16" s="477"/>
      <c r="UMZ16" s="477"/>
      <c r="UNA16" s="463"/>
      <c r="UNB16" s="475"/>
      <c r="UNC16" s="476"/>
      <c r="UND16" s="476"/>
      <c r="UNE16" s="476"/>
      <c r="UNF16" s="476"/>
      <c r="UNG16" s="476"/>
      <c r="UNH16" s="476"/>
      <c r="UNI16" s="476"/>
      <c r="UNJ16" s="476"/>
      <c r="UNK16" s="476"/>
      <c r="UNL16" s="476"/>
      <c r="UNM16" s="476"/>
      <c r="UNN16" s="476"/>
      <c r="UNO16" s="477"/>
      <c r="UNP16" s="477"/>
      <c r="UNQ16" s="463"/>
      <c r="UNR16" s="475"/>
      <c r="UNS16" s="476"/>
      <c r="UNT16" s="476"/>
      <c r="UNU16" s="476"/>
      <c r="UNV16" s="476"/>
      <c r="UNW16" s="476"/>
      <c r="UNX16" s="476"/>
      <c r="UNY16" s="476"/>
      <c r="UNZ16" s="476"/>
      <c r="UOA16" s="476"/>
      <c r="UOB16" s="476"/>
      <c r="UOC16" s="476"/>
      <c r="UOD16" s="476"/>
      <c r="UOE16" s="477"/>
      <c r="UOF16" s="477"/>
      <c r="UOG16" s="463"/>
      <c r="UOH16" s="475"/>
      <c r="UOI16" s="476"/>
      <c r="UOJ16" s="476"/>
      <c r="UOK16" s="476"/>
      <c r="UOL16" s="476"/>
      <c r="UOM16" s="476"/>
      <c r="UON16" s="476"/>
      <c r="UOO16" s="476"/>
      <c r="UOP16" s="476"/>
      <c r="UOQ16" s="476"/>
      <c r="UOR16" s="476"/>
      <c r="UOS16" s="476"/>
      <c r="UOT16" s="476"/>
      <c r="UOU16" s="477"/>
      <c r="UOV16" s="477"/>
      <c r="UOW16" s="463"/>
      <c r="UOX16" s="475"/>
      <c r="UOY16" s="476"/>
      <c r="UOZ16" s="476"/>
      <c r="UPA16" s="476"/>
      <c r="UPB16" s="476"/>
      <c r="UPC16" s="476"/>
      <c r="UPD16" s="476"/>
      <c r="UPE16" s="476"/>
      <c r="UPF16" s="476"/>
      <c r="UPG16" s="476"/>
      <c r="UPH16" s="476"/>
      <c r="UPI16" s="476"/>
      <c r="UPJ16" s="476"/>
      <c r="UPK16" s="477"/>
      <c r="UPL16" s="477"/>
      <c r="UPM16" s="463"/>
      <c r="UPN16" s="475"/>
      <c r="UPO16" s="476"/>
      <c r="UPP16" s="476"/>
      <c r="UPQ16" s="476"/>
      <c r="UPR16" s="476"/>
      <c r="UPS16" s="476"/>
      <c r="UPT16" s="476"/>
      <c r="UPU16" s="476"/>
      <c r="UPV16" s="476"/>
      <c r="UPW16" s="476"/>
      <c r="UPX16" s="476"/>
      <c r="UPY16" s="476"/>
      <c r="UPZ16" s="476"/>
      <c r="UQA16" s="477"/>
      <c r="UQB16" s="477"/>
      <c r="UQC16" s="463"/>
      <c r="UQD16" s="475"/>
      <c r="UQE16" s="476"/>
      <c r="UQF16" s="476"/>
      <c r="UQG16" s="476"/>
      <c r="UQH16" s="476"/>
      <c r="UQI16" s="476"/>
      <c r="UQJ16" s="476"/>
      <c r="UQK16" s="476"/>
      <c r="UQL16" s="476"/>
      <c r="UQM16" s="476"/>
      <c r="UQN16" s="476"/>
      <c r="UQO16" s="476"/>
      <c r="UQP16" s="476"/>
      <c r="UQQ16" s="477"/>
      <c r="UQR16" s="477"/>
      <c r="UQS16" s="463"/>
      <c r="UQT16" s="475"/>
      <c r="UQU16" s="476"/>
      <c r="UQV16" s="476"/>
      <c r="UQW16" s="476"/>
      <c r="UQX16" s="476"/>
      <c r="UQY16" s="476"/>
      <c r="UQZ16" s="476"/>
      <c r="URA16" s="476"/>
      <c r="URB16" s="476"/>
      <c r="URC16" s="476"/>
      <c r="URD16" s="476"/>
      <c r="URE16" s="476"/>
      <c r="URF16" s="476"/>
      <c r="URG16" s="477"/>
      <c r="URH16" s="477"/>
      <c r="URI16" s="463"/>
      <c r="URJ16" s="475"/>
      <c r="URK16" s="476"/>
      <c r="URL16" s="476"/>
      <c r="URM16" s="476"/>
      <c r="URN16" s="476"/>
      <c r="URO16" s="476"/>
      <c r="URP16" s="476"/>
      <c r="URQ16" s="476"/>
      <c r="URR16" s="476"/>
      <c r="URS16" s="476"/>
      <c r="URT16" s="476"/>
      <c r="URU16" s="476"/>
      <c r="URV16" s="476"/>
      <c r="URW16" s="477"/>
      <c r="URX16" s="477"/>
      <c r="URY16" s="463"/>
      <c r="URZ16" s="475"/>
      <c r="USA16" s="476"/>
      <c r="USB16" s="476"/>
      <c r="USC16" s="476"/>
      <c r="USD16" s="476"/>
      <c r="USE16" s="476"/>
      <c r="USF16" s="476"/>
      <c r="USG16" s="476"/>
      <c r="USH16" s="476"/>
      <c r="USI16" s="476"/>
      <c r="USJ16" s="476"/>
      <c r="USK16" s="476"/>
      <c r="USL16" s="476"/>
      <c r="USM16" s="477"/>
      <c r="USN16" s="477"/>
      <c r="USO16" s="463"/>
      <c r="USP16" s="475"/>
      <c r="USQ16" s="476"/>
      <c r="USR16" s="476"/>
      <c r="USS16" s="476"/>
      <c r="UST16" s="476"/>
      <c r="USU16" s="476"/>
      <c r="USV16" s="476"/>
      <c r="USW16" s="476"/>
      <c r="USX16" s="476"/>
      <c r="USY16" s="476"/>
      <c r="USZ16" s="476"/>
      <c r="UTA16" s="476"/>
      <c r="UTB16" s="476"/>
      <c r="UTC16" s="477"/>
      <c r="UTD16" s="477"/>
      <c r="UTE16" s="463"/>
      <c r="UTF16" s="475"/>
      <c r="UTG16" s="476"/>
      <c r="UTH16" s="476"/>
      <c r="UTI16" s="476"/>
      <c r="UTJ16" s="476"/>
      <c r="UTK16" s="476"/>
      <c r="UTL16" s="476"/>
      <c r="UTM16" s="476"/>
      <c r="UTN16" s="476"/>
      <c r="UTO16" s="476"/>
      <c r="UTP16" s="476"/>
      <c r="UTQ16" s="476"/>
      <c r="UTR16" s="476"/>
      <c r="UTS16" s="477"/>
      <c r="UTT16" s="477"/>
      <c r="UTU16" s="463"/>
      <c r="UTV16" s="475"/>
      <c r="UTW16" s="476"/>
      <c r="UTX16" s="476"/>
      <c r="UTY16" s="476"/>
      <c r="UTZ16" s="476"/>
      <c r="UUA16" s="476"/>
      <c r="UUB16" s="476"/>
      <c r="UUC16" s="476"/>
      <c r="UUD16" s="476"/>
      <c r="UUE16" s="476"/>
      <c r="UUF16" s="476"/>
      <c r="UUG16" s="476"/>
      <c r="UUH16" s="476"/>
      <c r="UUI16" s="477"/>
      <c r="UUJ16" s="477"/>
      <c r="UUK16" s="463"/>
      <c r="UUL16" s="475"/>
      <c r="UUM16" s="476"/>
      <c r="UUN16" s="476"/>
      <c r="UUO16" s="476"/>
      <c r="UUP16" s="476"/>
      <c r="UUQ16" s="476"/>
      <c r="UUR16" s="476"/>
      <c r="UUS16" s="476"/>
      <c r="UUT16" s="476"/>
      <c r="UUU16" s="476"/>
      <c r="UUV16" s="476"/>
      <c r="UUW16" s="476"/>
      <c r="UUX16" s="476"/>
      <c r="UUY16" s="477"/>
      <c r="UUZ16" s="477"/>
      <c r="UVA16" s="463"/>
      <c r="UVB16" s="475"/>
      <c r="UVC16" s="476"/>
      <c r="UVD16" s="476"/>
      <c r="UVE16" s="476"/>
      <c r="UVF16" s="476"/>
      <c r="UVG16" s="476"/>
      <c r="UVH16" s="476"/>
      <c r="UVI16" s="476"/>
      <c r="UVJ16" s="476"/>
      <c r="UVK16" s="476"/>
      <c r="UVL16" s="476"/>
      <c r="UVM16" s="476"/>
      <c r="UVN16" s="476"/>
      <c r="UVO16" s="477"/>
      <c r="UVP16" s="477"/>
      <c r="UVQ16" s="463"/>
      <c r="UVR16" s="475"/>
      <c r="UVS16" s="476"/>
      <c r="UVT16" s="476"/>
      <c r="UVU16" s="476"/>
      <c r="UVV16" s="476"/>
      <c r="UVW16" s="476"/>
      <c r="UVX16" s="476"/>
      <c r="UVY16" s="476"/>
      <c r="UVZ16" s="476"/>
      <c r="UWA16" s="476"/>
      <c r="UWB16" s="476"/>
      <c r="UWC16" s="476"/>
      <c r="UWD16" s="476"/>
      <c r="UWE16" s="477"/>
      <c r="UWF16" s="477"/>
      <c r="UWG16" s="463"/>
      <c r="UWH16" s="475"/>
      <c r="UWI16" s="476"/>
      <c r="UWJ16" s="476"/>
      <c r="UWK16" s="476"/>
      <c r="UWL16" s="476"/>
      <c r="UWM16" s="476"/>
      <c r="UWN16" s="476"/>
      <c r="UWO16" s="476"/>
      <c r="UWP16" s="476"/>
      <c r="UWQ16" s="476"/>
      <c r="UWR16" s="476"/>
      <c r="UWS16" s="476"/>
      <c r="UWT16" s="476"/>
      <c r="UWU16" s="477"/>
      <c r="UWV16" s="477"/>
      <c r="UWW16" s="463"/>
      <c r="UWX16" s="475"/>
      <c r="UWY16" s="476"/>
      <c r="UWZ16" s="476"/>
      <c r="UXA16" s="476"/>
      <c r="UXB16" s="476"/>
      <c r="UXC16" s="476"/>
      <c r="UXD16" s="476"/>
      <c r="UXE16" s="476"/>
      <c r="UXF16" s="476"/>
      <c r="UXG16" s="476"/>
      <c r="UXH16" s="476"/>
      <c r="UXI16" s="476"/>
      <c r="UXJ16" s="476"/>
      <c r="UXK16" s="477"/>
      <c r="UXL16" s="477"/>
      <c r="UXM16" s="463"/>
      <c r="UXN16" s="475"/>
      <c r="UXO16" s="476"/>
      <c r="UXP16" s="476"/>
      <c r="UXQ16" s="476"/>
      <c r="UXR16" s="476"/>
      <c r="UXS16" s="476"/>
      <c r="UXT16" s="476"/>
      <c r="UXU16" s="476"/>
      <c r="UXV16" s="476"/>
      <c r="UXW16" s="476"/>
      <c r="UXX16" s="476"/>
      <c r="UXY16" s="476"/>
      <c r="UXZ16" s="476"/>
      <c r="UYA16" s="477"/>
      <c r="UYB16" s="477"/>
      <c r="UYC16" s="463"/>
      <c r="UYD16" s="475"/>
      <c r="UYE16" s="476"/>
      <c r="UYF16" s="476"/>
      <c r="UYG16" s="476"/>
      <c r="UYH16" s="476"/>
      <c r="UYI16" s="476"/>
      <c r="UYJ16" s="476"/>
      <c r="UYK16" s="476"/>
      <c r="UYL16" s="476"/>
      <c r="UYM16" s="476"/>
      <c r="UYN16" s="476"/>
      <c r="UYO16" s="476"/>
      <c r="UYP16" s="476"/>
      <c r="UYQ16" s="477"/>
      <c r="UYR16" s="477"/>
      <c r="UYS16" s="463"/>
      <c r="UYT16" s="475"/>
      <c r="UYU16" s="476"/>
      <c r="UYV16" s="476"/>
      <c r="UYW16" s="476"/>
      <c r="UYX16" s="476"/>
      <c r="UYY16" s="476"/>
      <c r="UYZ16" s="476"/>
      <c r="UZA16" s="476"/>
      <c r="UZB16" s="476"/>
      <c r="UZC16" s="476"/>
      <c r="UZD16" s="476"/>
      <c r="UZE16" s="476"/>
      <c r="UZF16" s="476"/>
      <c r="UZG16" s="477"/>
      <c r="UZH16" s="477"/>
      <c r="UZI16" s="463"/>
      <c r="UZJ16" s="475"/>
      <c r="UZK16" s="476"/>
      <c r="UZL16" s="476"/>
      <c r="UZM16" s="476"/>
      <c r="UZN16" s="476"/>
      <c r="UZO16" s="476"/>
      <c r="UZP16" s="476"/>
      <c r="UZQ16" s="476"/>
      <c r="UZR16" s="476"/>
      <c r="UZS16" s="476"/>
      <c r="UZT16" s="476"/>
      <c r="UZU16" s="476"/>
      <c r="UZV16" s="476"/>
      <c r="UZW16" s="477"/>
      <c r="UZX16" s="477"/>
      <c r="UZY16" s="463"/>
      <c r="UZZ16" s="475"/>
      <c r="VAA16" s="476"/>
      <c r="VAB16" s="476"/>
      <c r="VAC16" s="476"/>
      <c r="VAD16" s="476"/>
      <c r="VAE16" s="476"/>
      <c r="VAF16" s="476"/>
      <c r="VAG16" s="476"/>
      <c r="VAH16" s="476"/>
      <c r="VAI16" s="476"/>
      <c r="VAJ16" s="476"/>
      <c r="VAK16" s="476"/>
      <c r="VAL16" s="476"/>
      <c r="VAM16" s="477"/>
      <c r="VAN16" s="477"/>
      <c r="VAO16" s="463"/>
      <c r="VAP16" s="475"/>
      <c r="VAQ16" s="476"/>
      <c r="VAR16" s="476"/>
      <c r="VAS16" s="476"/>
      <c r="VAT16" s="476"/>
      <c r="VAU16" s="476"/>
      <c r="VAV16" s="476"/>
      <c r="VAW16" s="476"/>
      <c r="VAX16" s="476"/>
      <c r="VAY16" s="476"/>
      <c r="VAZ16" s="476"/>
      <c r="VBA16" s="476"/>
      <c r="VBB16" s="476"/>
      <c r="VBC16" s="477"/>
      <c r="VBD16" s="477"/>
      <c r="VBE16" s="463"/>
      <c r="VBF16" s="475"/>
      <c r="VBG16" s="476"/>
      <c r="VBH16" s="476"/>
      <c r="VBI16" s="476"/>
      <c r="VBJ16" s="476"/>
      <c r="VBK16" s="476"/>
      <c r="VBL16" s="476"/>
      <c r="VBM16" s="476"/>
      <c r="VBN16" s="476"/>
      <c r="VBO16" s="476"/>
      <c r="VBP16" s="476"/>
      <c r="VBQ16" s="476"/>
      <c r="VBR16" s="476"/>
      <c r="VBS16" s="477"/>
      <c r="VBT16" s="477"/>
      <c r="VBU16" s="463"/>
      <c r="VBV16" s="475"/>
      <c r="VBW16" s="476"/>
      <c r="VBX16" s="476"/>
      <c r="VBY16" s="476"/>
      <c r="VBZ16" s="476"/>
      <c r="VCA16" s="476"/>
      <c r="VCB16" s="476"/>
      <c r="VCC16" s="476"/>
      <c r="VCD16" s="476"/>
      <c r="VCE16" s="476"/>
      <c r="VCF16" s="476"/>
      <c r="VCG16" s="476"/>
      <c r="VCH16" s="476"/>
      <c r="VCI16" s="477"/>
      <c r="VCJ16" s="477"/>
      <c r="VCK16" s="463"/>
      <c r="VCL16" s="475"/>
      <c r="VCM16" s="476"/>
      <c r="VCN16" s="476"/>
      <c r="VCO16" s="476"/>
      <c r="VCP16" s="476"/>
      <c r="VCQ16" s="476"/>
      <c r="VCR16" s="476"/>
      <c r="VCS16" s="476"/>
      <c r="VCT16" s="476"/>
      <c r="VCU16" s="476"/>
      <c r="VCV16" s="476"/>
      <c r="VCW16" s="476"/>
      <c r="VCX16" s="476"/>
      <c r="VCY16" s="477"/>
      <c r="VCZ16" s="477"/>
      <c r="VDA16" s="463"/>
      <c r="VDB16" s="475"/>
      <c r="VDC16" s="476"/>
      <c r="VDD16" s="476"/>
      <c r="VDE16" s="476"/>
      <c r="VDF16" s="476"/>
      <c r="VDG16" s="476"/>
      <c r="VDH16" s="476"/>
      <c r="VDI16" s="476"/>
      <c r="VDJ16" s="476"/>
      <c r="VDK16" s="476"/>
      <c r="VDL16" s="476"/>
      <c r="VDM16" s="476"/>
      <c r="VDN16" s="476"/>
      <c r="VDO16" s="477"/>
      <c r="VDP16" s="477"/>
      <c r="VDQ16" s="463"/>
      <c r="VDR16" s="475"/>
      <c r="VDS16" s="476"/>
      <c r="VDT16" s="476"/>
      <c r="VDU16" s="476"/>
      <c r="VDV16" s="476"/>
      <c r="VDW16" s="476"/>
      <c r="VDX16" s="476"/>
      <c r="VDY16" s="476"/>
      <c r="VDZ16" s="476"/>
      <c r="VEA16" s="476"/>
      <c r="VEB16" s="476"/>
      <c r="VEC16" s="476"/>
      <c r="VED16" s="476"/>
      <c r="VEE16" s="477"/>
      <c r="VEF16" s="477"/>
      <c r="VEG16" s="463"/>
      <c r="VEH16" s="475"/>
      <c r="VEI16" s="476"/>
      <c r="VEJ16" s="476"/>
      <c r="VEK16" s="476"/>
      <c r="VEL16" s="476"/>
      <c r="VEM16" s="476"/>
      <c r="VEN16" s="476"/>
      <c r="VEO16" s="476"/>
      <c r="VEP16" s="476"/>
      <c r="VEQ16" s="476"/>
      <c r="VER16" s="476"/>
      <c r="VES16" s="476"/>
      <c r="VET16" s="476"/>
      <c r="VEU16" s="477"/>
      <c r="VEV16" s="477"/>
      <c r="VEW16" s="463"/>
      <c r="VEX16" s="475"/>
      <c r="VEY16" s="476"/>
      <c r="VEZ16" s="476"/>
      <c r="VFA16" s="476"/>
      <c r="VFB16" s="476"/>
      <c r="VFC16" s="476"/>
      <c r="VFD16" s="476"/>
      <c r="VFE16" s="476"/>
      <c r="VFF16" s="476"/>
      <c r="VFG16" s="476"/>
      <c r="VFH16" s="476"/>
      <c r="VFI16" s="476"/>
      <c r="VFJ16" s="476"/>
      <c r="VFK16" s="477"/>
      <c r="VFL16" s="477"/>
      <c r="VFM16" s="463"/>
      <c r="VFN16" s="475"/>
      <c r="VFO16" s="476"/>
      <c r="VFP16" s="476"/>
      <c r="VFQ16" s="476"/>
      <c r="VFR16" s="476"/>
      <c r="VFS16" s="476"/>
      <c r="VFT16" s="476"/>
      <c r="VFU16" s="476"/>
      <c r="VFV16" s="476"/>
      <c r="VFW16" s="476"/>
      <c r="VFX16" s="476"/>
      <c r="VFY16" s="476"/>
      <c r="VFZ16" s="476"/>
      <c r="VGA16" s="477"/>
      <c r="VGB16" s="477"/>
      <c r="VGC16" s="463"/>
      <c r="VGD16" s="475"/>
      <c r="VGE16" s="476"/>
      <c r="VGF16" s="476"/>
      <c r="VGG16" s="476"/>
      <c r="VGH16" s="476"/>
      <c r="VGI16" s="476"/>
      <c r="VGJ16" s="476"/>
      <c r="VGK16" s="476"/>
      <c r="VGL16" s="476"/>
      <c r="VGM16" s="476"/>
      <c r="VGN16" s="476"/>
      <c r="VGO16" s="476"/>
      <c r="VGP16" s="476"/>
      <c r="VGQ16" s="477"/>
      <c r="VGR16" s="477"/>
      <c r="VGS16" s="463"/>
      <c r="VGT16" s="475"/>
      <c r="VGU16" s="476"/>
      <c r="VGV16" s="476"/>
      <c r="VGW16" s="476"/>
      <c r="VGX16" s="476"/>
      <c r="VGY16" s="476"/>
      <c r="VGZ16" s="476"/>
      <c r="VHA16" s="476"/>
      <c r="VHB16" s="476"/>
      <c r="VHC16" s="476"/>
      <c r="VHD16" s="476"/>
      <c r="VHE16" s="476"/>
      <c r="VHF16" s="476"/>
      <c r="VHG16" s="477"/>
      <c r="VHH16" s="477"/>
      <c r="VHI16" s="463"/>
      <c r="VHJ16" s="475"/>
      <c r="VHK16" s="476"/>
      <c r="VHL16" s="476"/>
      <c r="VHM16" s="476"/>
      <c r="VHN16" s="476"/>
      <c r="VHO16" s="476"/>
      <c r="VHP16" s="476"/>
      <c r="VHQ16" s="476"/>
      <c r="VHR16" s="476"/>
      <c r="VHS16" s="476"/>
      <c r="VHT16" s="476"/>
      <c r="VHU16" s="476"/>
      <c r="VHV16" s="476"/>
      <c r="VHW16" s="477"/>
      <c r="VHX16" s="477"/>
      <c r="VHY16" s="463"/>
      <c r="VHZ16" s="475"/>
      <c r="VIA16" s="476"/>
      <c r="VIB16" s="476"/>
      <c r="VIC16" s="476"/>
      <c r="VID16" s="476"/>
      <c r="VIE16" s="476"/>
      <c r="VIF16" s="476"/>
      <c r="VIG16" s="476"/>
      <c r="VIH16" s="476"/>
      <c r="VII16" s="476"/>
      <c r="VIJ16" s="476"/>
      <c r="VIK16" s="476"/>
      <c r="VIL16" s="476"/>
      <c r="VIM16" s="477"/>
      <c r="VIN16" s="477"/>
      <c r="VIO16" s="463"/>
      <c r="VIP16" s="475"/>
      <c r="VIQ16" s="476"/>
      <c r="VIR16" s="476"/>
      <c r="VIS16" s="476"/>
      <c r="VIT16" s="476"/>
      <c r="VIU16" s="476"/>
      <c r="VIV16" s="476"/>
      <c r="VIW16" s="476"/>
      <c r="VIX16" s="476"/>
      <c r="VIY16" s="476"/>
      <c r="VIZ16" s="476"/>
      <c r="VJA16" s="476"/>
      <c r="VJB16" s="476"/>
      <c r="VJC16" s="477"/>
      <c r="VJD16" s="477"/>
      <c r="VJE16" s="463"/>
      <c r="VJF16" s="475"/>
      <c r="VJG16" s="476"/>
      <c r="VJH16" s="476"/>
      <c r="VJI16" s="476"/>
      <c r="VJJ16" s="476"/>
      <c r="VJK16" s="476"/>
      <c r="VJL16" s="476"/>
      <c r="VJM16" s="476"/>
      <c r="VJN16" s="476"/>
      <c r="VJO16" s="476"/>
      <c r="VJP16" s="476"/>
      <c r="VJQ16" s="476"/>
      <c r="VJR16" s="476"/>
      <c r="VJS16" s="477"/>
      <c r="VJT16" s="477"/>
      <c r="VJU16" s="463"/>
      <c r="VJV16" s="475"/>
      <c r="VJW16" s="476"/>
      <c r="VJX16" s="476"/>
      <c r="VJY16" s="476"/>
      <c r="VJZ16" s="476"/>
      <c r="VKA16" s="476"/>
      <c r="VKB16" s="476"/>
      <c r="VKC16" s="476"/>
      <c r="VKD16" s="476"/>
      <c r="VKE16" s="476"/>
      <c r="VKF16" s="476"/>
      <c r="VKG16" s="476"/>
      <c r="VKH16" s="476"/>
      <c r="VKI16" s="477"/>
      <c r="VKJ16" s="477"/>
      <c r="VKK16" s="463"/>
      <c r="VKL16" s="475"/>
      <c r="VKM16" s="476"/>
      <c r="VKN16" s="476"/>
      <c r="VKO16" s="476"/>
      <c r="VKP16" s="476"/>
      <c r="VKQ16" s="476"/>
      <c r="VKR16" s="476"/>
      <c r="VKS16" s="476"/>
      <c r="VKT16" s="476"/>
      <c r="VKU16" s="476"/>
      <c r="VKV16" s="476"/>
      <c r="VKW16" s="476"/>
      <c r="VKX16" s="476"/>
      <c r="VKY16" s="477"/>
      <c r="VKZ16" s="477"/>
      <c r="VLA16" s="463"/>
      <c r="VLB16" s="475"/>
      <c r="VLC16" s="476"/>
      <c r="VLD16" s="476"/>
      <c r="VLE16" s="476"/>
      <c r="VLF16" s="476"/>
      <c r="VLG16" s="476"/>
      <c r="VLH16" s="476"/>
      <c r="VLI16" s="476"/>
      <c r="VLJ16" s="476"/>
      <c r="VLK16" s="476"/>
      <c r="VLL16" s="476"/>
      <c r="VLM16" s="476"/>
      <c r="VLN16" s="476"/>
      <c r="VLO16" s="477"/>
      <c r="VLP16" s="477"/>
      <c r="VLQ16" s="463"/>
      <c r="VLR16" s="475"/>
      <c r="VLS16" s="476"/>
      <c r="VLT16" s="476"/>
      <c r="VLU16" s="476"/>
      <c r="VLV16" s="476"/>
      <c r="VLW16" s="476"/>
      <c r="VLX16" s="476"/>
      <c r="VLY16" s="476"/>
      <c r="VLZ16" s="476"/>
      <c r="VMA16" s="476"/>
      <c r="VMB16" s="476"/>
      <c r="VMC16" s="476"/>
      <c r="VMD16" s="476"/>
      <c r="VME16" s="477"/>
      <c r="VMF16" s="477"/>
      <c r="VMG16" s="463"/>
      <c r="VMH16" s="475"/>
      <c r="VMI16" s="476"/>
      <c r="VMJ16" s="476"/>
      <c r="VMK16" s="476"/>
      <c r="VML16" s="476"/>
      <c r="VMM16" s="476"/>
      <c r="VMN16" s="476"/>
      <c r="VMO16" s="476"/>
      <c r="VMP16" s="476"/>
      <c r="VMQ16" s="476"/>
      <c r="VMR16" s="476"/>
      <c r="VMS16" s="476"/>
      <c r="VMT16" s="476"/>
      <c r="VMU16" s="477"/>
      <c r="VMV16" s="477"/>
      <c r="VMW16" s="463"/>
      <c r="VMX16" s="475"/>
      <c r="VMY16" s="476"/>
      <c r="VMZ16" s="476"/>
      <c r="VNA16" s="476"/>
      <c r="VNB16" s="476"/>
      <c r="VNC16" s="476"/>
      <c r="VND16" s="476"/>
      <c r="VNE16" s="476"/>
      <c r="VNF16" s="476"/>
      <c r="VNG16" s="476"/>
      <c r="VNH16" s="476"/>
      <c r="VNI16" s="476"/>
      <c r="VNJ16" s="476"/>
      <c r="VNK16" s="477"/>
      <c r="VNL16" s="477"/>
      <c r="VNM16" s="463"/>
      <c r="VNN16" s="475"/>
      <c r="VNO16" s="476"/>
      <c r="VNP16" s="476"/>
      <c r="VNQ16" s="476"/>
      <c r="VNR16" s="476"/>
      <c r="VNS16" s="476"/>
      <c r="VNT16" s="476"/>
      <c r="VNU16" s="476"/>
      <c r="VNV16" s="476"/>
      <c r="VNW16" s="476"/>
      <c r="VNX16" s="476"/>
      <c r="VNY16" s="476"/>
      <c r="VNZ16" s="476"/>
      <c r="VOA16" s="477"/>
      <c r="VOB16" s="477"/>
      <c r="VOC16" s="463"/>
      <c r="VOD16" s="475"/>
      <c r="VOE16" s="476"/>
      <c r="VOF16" s="476"/>
      <c r="VOG16" s="476"/>
      <c r="VOH16" s="476"/>
      <c r="VOI16" s="476"/>
      <c r="VOJ16" s="476"/>
      <c r="VOK16" s="476"/>
      <c r="VOL16" s="476"/>
      <c r="VOM16" s="476"/>
      <c r="VON16" s="476"/>
      <c r="VOO16" s="476"/>
      <c r="VOP16" s="476"/>
      <c r="VOQ16" s="477"/>
      <c r="VOR16" s="477"/>
      <c r="VOS16" s="463"/>
      <c r="VOT16" s="475"/>
      <c r="VOU16" s="476"/>
      <c r="VOV16" s="476"/>
      <c r="VOW16" s="476"/>
      <c r="VOX16" s="476"/>
      <c r="VOY16" s="476"/>
      <c r="VOZ16" s="476"/>
      <c r="VPA16" s="476"/>
      <c r="VPB16" s="476"/>
      <c r="VPC16" s="476"/>
      <c r="VPD16" s="476"/>
      <c r="VPE16" s="476"/>
      <c r="VPF16" s="476"/>
      <c r="VPG16" s="477"/>
      <c r="VPH16" s="477"/>
      <c r="VPI16" s="463"/>
      <c r="VPJ16" s="475"/>
      <c r="VPK16" s="476"/>
      <c r="VPL16" s="476"/>
      <c r="VPM16" s="476"/>
      <c r="VPN16" s="476"/>
      <c r="VPO16" s="476"/>
      <c r="VPP16" s="476"/>
      <c r="VPQ16" s="476"/>
      <c r="VPR16" s="476"/>
      <c r="VPS16" s="476"/>
      <c r="VPT16" s="476"/>
      <c r="VPU16" s="476"/>
      <c r="VPV16" s="476"/>
      <c r="VPW16" s="477"/>
      <c r="VPX16" s="477"/>
      <c r="VPY16" s="463"/>
      <c r="VPZ16" s="475"/>
      <c r="VQA16" s="476"/>
      <c r="VQB16" s="476"/>
      <c r="VQC16" s="476"/>
      <c r="VQD16" s="476"/>
      <c r="VQE16" s="476"/>
      <c r="VQF16" s="476"/>
      <c r="VQG16" s="476"/>
      <c r="VQH16" s="476"/>
      <c r="VQI16" s="476"/>
      <c r="VQJ16" s="476"/>
      <c r="VQK16" s="476"/>
      <c r="VQL16" s="476"/>
      <c r="VQM16" s="477"/>
      <c r="VQN16" s="477"/>
      <c r="VQO16" s="463"/>
      <c r="VQP16" s="475"/>
      <c r="VQQ16" s="476"/>
      <c r="VQR16" s="476"/>
      <c r="VQS16" s="476"/>
      <c r="VQT16" s="476"/>
      <c r="VQU16" s="476"/>
      <c r="VQV16" s="476"/>
      <c r="VQW16" s="476"/>
      <c r="VQX16" s="476"/>
      <c r="VQY16" s="476"/>
      <c r="VQZ16" s="476"/>
      <c r="VRA16" s="476"/>
      <c r="VRB16" s="476"/>
      <c r="VRC16" s="477"/>
      <c r="VRD16" s="477"/>
      <c r="VRE16" s="463"/>
      <c r="VRF16" s="475"/>
      <c r="VRG16" s="476"/>
      <c r="VRH16" s="476"/>
      <c r="VRI16" s="476"/>
      <c r="VRJ16" s="476"/>
      <c r="VRK16" s="476"/>
      <c r="VRL16" s="476"/>
      <c r="VRM16" s="476"/>
      <c r="VRN16" s="476"/>
      <c r="VRO16" s="476"/>
      <c r="VRP16" s="476"/>
      <c r="VRQ16" s="476"/>
      <c r="VRR16" s="476"/>
      <c r="VRS16" s="477"/>
      <c r="VRT16" s="477"/>
      <c r="VRU16" s="463"/>
      <c r="VRV16" s="475"/>
      <c r="VRW16" s="476"/>
      <c r="VRX16" s="476"/>
      <c r="VRY16" s="476"/>
      <c r="VRZ16" s="476"/>
      <c r="VSA16" s="476"/>
      <c r="VSB16" s="476"/>
      <c r="VSC16" s="476"/>
      <c r="VSD16" s="476"/>
      <c r="VSE16" s="476"/>
      <c r="VSF16" s="476"/>
      <c r="VSG16" s="476"/>
      <c r="VSH16" s="476"/>
      <c r="VSI16" s="477"/>
      <c r="VSJ16" s="477"/>
      <c r="VSK16" s="463"/>
      <c r="VSL16" s="475"/>
      <c r="VSM16" s="476"/>
      <c r="VSN16" s="476"/>
      <c r="VSO16" s="476"/>
      <c r="VSP16" s="476"/>
      <c r="VSQ16" s="476"/>
      <c r="VSR16" s="476"/>
      <c r="VSS16" s="476"/>
      <c r="VST16" s="476"/>
      <c r="VSU16" s="476"/>
      <c r="VSV16" s="476"/>
      <c r="VSW16" s="476"/>
      <c r="VSX16" s="476"/>
      <c r="VSY16" s="477"/>
      <c r="VSZ16" s="477"/>
      <c r="VTA16" s="463"/>
      <c r="VTB16" s="475"/>
      <c r="VTC16" s="476"/>
      <c r="VTD16" s="476"/>
      <c r="VTE16" s="476"/>
      <c r="VTF16" s="476"/>
      <c r="VTG16" s="476"/>
      <c r="VTH16" s="476"/>
      <c r="VTI16" s="476"/>
      <c r="VTJ16" s="476"/>
      <c r="VTK16" s="476"/>
      <c r="VTL16" s="476"/>
      <c r="VTM16" s="476"/>
      <c r="VTN16" s="476"/>
      <c r="VTO16" s="477"/>
      <c r="VTP16" s="477"/>
      <c r="VTQ16" s="463"/>
      <c r="VTR16" s="475"/>
      <c r="VTS16" s="476"/>
      <c r="VTT16" s="476"/>
      <c r="VTU16" s="476"/>
      <c r="VTV16" s="476"/>
      <c r="VTW16" s="476"/>
      <c r="VTX16" s="476"/>
      <c r="VTY16" s="476"/>
      <c r="VTZ16" s="476"/>
      <c r="VUA16" s="476"/>
      <c r="VUB16" s="476"/>
      <c r="VUC16" s="476"/>
      <c r="VUD16" s="476"/>
      <c r="VUE16" s="477"/>
      <c r="VUF16" s="477"/>
      <c r="VUG16" s="463"/>
      <c r="VUH16" s="475"/>
      <c r="VUI16" s="476"/>
      <c r="VUJ16" s="476"/>
      <c r="VUK16" s="476"/>
      <c r="VUL16" s="476"/>
      <c r="VUM16" s="476"/>
      <c r="VUN16" s="476"/>
      <c r="VUO16" s="476"/>
      <c r="VUP16" s="476"/>
      <c r="VUQ16" s="476"/>
      <c r="VUR16" s="476"/>
      <c r="VUS16" s="476"/>
      <c r="VUT16" s="476"/>
      <c r="VUU16" s="477"/>
      <c r="VUV16" s="477"/>
      <c r="VUW16" s="463"/>
      <c r="VUX16" s="475"/>
      <c r="VUY16" s="476"/>
      <c r="VUZ16" s="476"/>
      <c r="VVA16" s="476"/>
      <c r="VVB16" s="476"/>
      <c r="VVC16" s="476"/>
      <c r="VVD16" s="476"/>
      <c r="VVE16" s="476"/>
      <c r="VVF16" s="476"/>
      <c r="VVG16" s="476"/>
      <c r="VVH16" s="476"/>
      <c r="VVI16" s="476"/>
      <c r="VVJ16" s="476"/>
      <c r="VVK16" s="477"/>
      <c r="VVL16" s="477"/>
      <c r="VVM16" s="463"/>
      <c r="VVN16" s="475"/>
      <c r="VVO16" s="476"/>
      <c r="VVP16" s="476"/>
      <c r="VVQ16" s="476"/>
      <c r="VVR16" s="476"/>
      <c r="VVS16" s="476"/>
      <c r="VVT16" s="476"/>
      <c r="VVU16" s="476"/>
      <c r="VVV16" s="476"/>
      <c r="VVW16" s="476"/>
      <c r="VVX16" s="476"/>
      <c r="VVY16" s="476"/>
      <c r="VVZ16" s="476"/>
      <c r="VWA16" s="477"/>
      <c r="VWB16" s="477"/>
      <c r="VWC16" s="463"/>
      <c r="VWD16" s="475"/>
      <c r="VWE16" s="476"/>
      <c r="VWF16" s="476"/>
      <c r="VWG16" s="476"/>
      <c r="VWH16" s="476"/>
      <c r="VWI16" s="476"/>
      <c r="VWJ16" s="476"/>
      <c r="VWK16" s="476"/>
      <c r="VWL16" s="476"/>
      <c r="VWM16" s="476"/>
      <c r="VWN16" s="476"/>
      <c r="VWO16" s="476"/>
      <c r="VWP16" s="476"/>
      <c r="VWQ16" s="477"/>
      <c r="VWR16" s="477"/>
      <c r="VWS16" s="463"/>
      <c r="VWT16" s="475"/>
      <c r="VWU16" s="476"/>
      <c r="VWV16" s="476"/>
      <c r="VWW16" s="476"/>
      <c r="VWX16" s="476"/>
      <c r="VWY16" s="476"/>
      <c r="VWZ16" s="476"/>
      <c r="VXA16" s="476"/>
      <c r="VXB16" s="476"/>
      <c r="VXC16" s="476"/>
      <c r="VXD16" s="476"/>
      <c r="VXE16" s="476"/>
      <c r="VXF16" s="476"/>
      <c r="VXG16" s="477"/>
      <c r="VXH16" s="477"/>
      <c r="VXI16" s="463"/>
      <c r="VXJ16" s="475"/>
      <c r="VXK16" s="476"/>
      <c r="VXL16" s="476"/>
      <c r="VXM16" s="476"/>
      <c r="VXN16" s="476"/>
      <c r="VXO16" s="476"/>
      <c r="VXP16" s="476"/>
      <c r="VXQ16" s="476"/>
      <c r="VXR16" s="476"/>
      <c r="VXS16" s="476"/>
      <c r="VXT16" s="476"/>
      <c r="VXU16" s="476"/>
      <c r="VXV16" s="476"/>
      <c r="VXW16" s="477"/>
      <c r="VXX16" s="477"/>
      <c r="VXY16" s="463"/>
      <c r="VXZ16" s="475"/>
      <c r="VYA16" s="476"/>
      <c r="VYB16" s="476"/>
      <c r="VYC16" s="476"/>
      <c r="VYD16" s="476"/>
      <c r="VYE16" s="476"/>
      <c r="VYF16" s="476"/>
      <c r="VYG16" s="476"/>
      <c r="VYH16" s="476"/>
      <c r="VYI16" s="476"/>
      <c r="VYJ16" s="476"/>
      <c r="VYK16" s="476"/>
      <c r="VYL16" s="476"/>
      <c r="VYM16" s="477"/>
      <c r="VYN16" s="477"/>
      <c r="VYO16" s="463"/>
      <c r="VYP16" s="475"/>
      <c r="VYQ16" s="476"/>
      <c r="VYR16" s="476"/>
      <c r="VYS16" s="476"/>
      <c r="VYT16" s="476"/>
      <c r="VYU16" s="476"/>
      <c r="VYV16" s="476"/>
      <c r="VYW16" s="476"/>
      <c r="VYX16" s="476"/>
      <c r="VYY16" s="476"/>
      <c r="VYZ16" s="476"/>
      <c r="VZA16" s="476"/>
      <c r="VZB16" s="476"/>
      <c r="VZC16" s="477"/>
      <c r="VZD16" s="477"/>
      <c r="VZE16" s="463"/>
      <c r="VZF16" s="475"/>
      <c r="VZG16" s="476"/>
      <c r="VZH16" s="476"/>
      <c r="VZI16" s="476"/>
      <c r="VZJ16" s="476"/>
      <c r="VZK16" s="476"/>
      <c r="VZL16" s="476"/>
      <c r="VZM16" s="476"/>
      <c r="VZN16" s="476"/>
      <c r="VZO16" s="476"/>
      <c r="VZP16" s="476"/>
      <c r="VZQ16" s="476"/>
      <c r="VZR16" s="476"/>
      <c r="VZS16" s="477"/>
      <c r="VZT16" s="477"/>
      <c r="VZU16" s="463"/>
      <c r="VZV16" s="475"/>
      <c r="VZW16" s="476"/>
      <c r="VZX16" s="476"/>
      <c r="VZY16" s="476"/>
      <c r="VZZ16" s="476"/>
      <c r="WAA16" s="476"/>
      <c r="WAB16" s="476"/>
      <c r="WAC16" s="476"/>
      <c r="WAD16" s="476"/>
      <c r="WAE16" s="476"/>
      <c r="WAF16" s="476"/>
      <c r="WAG16" s="476"/>
      <c r="WAH16" s="476"/>
      <c r="WAI16" s="477"/>
      <c r="WAJ16" s="477"/>
      <c r="WAK16" s="463"/>
      <c r="WAL16" s="475"/>
      <c r="WAM16" s="476"/>
      <c r="WAN16" s="476"/>
      <c r="WAO16" s="476"/>
      <c r="WAP16" s="476"/>
      <c r="WAQ16" s="476"/>
      <c r="WAR16" s="476"/>
      <c r="WAS16" s="476"/>
      <c r="WAT16" s="476"/>
      <c r="WAU16" s="476"/>
      <c r="WAV16" s="476"/>
      <c r="WAW16" s="476"/>
      <c r="WAX16" s="476"/>
      <c r="WAY16" s="477"/>
      <c r="WAZ16" s="477"/>
      <c r="WBA16" s="463"/>
      <c r="WBB16" s="475"/>
      <c r="WBC16" s="476"/>
      <c r="WBD16" s="476"/>
      <c r="WBE16" s="476"/>
      <c r="WBF16" s="476"/>
      <c r="WBG16" s="476"/>
      <c r="WBH16" s="476"/>
      <c r="WBI16" s="476"/>
      <c r="WBJ16" s="476"/>
      <c r="WBK16" s="476"/>
      <c r="WBL16" s="476"/>
      <c r="WBM16" s="476"/>
      <c r="WBN16" s="476"/>
      <c r="WBO16" s="477"/>
      <c r="WBP16" s="477"/>
      <c r="WBQ16" s="463"/>
      <c r="WBR16" s="475"/>
      <c r="WBS16" s="476"/>
      <c r="WBT16" s="476"/>
      <c r="WBU16" s="476"/>
      <c r="WBV16" s="476"/>
      <c r="WBW16" s="476"/>
      <c r="WBX16" s="476"/>
      <c r="WBY16" s="476"/>
      <c r="WBZ16" s="476"/>
      <c r="WCA16" s="476"/>
      <c r="WCB16" s="476"/>
      <c r="WCC16" s="476"/>
      <c r="WCD16" s="476"/>
      <c r="WCE16" s="477"/>
      <c r="WCF16" s="477"/>
      <c r="WCG16" s="463"/>
      <c r="WCH16" s="475"/>
      <c r="WCI16" s="476"/>
      <c r="WCJ16" s="476"/>
      <c r="WCK16" s="476"/>
      <c r="WCL16" s="476"/>
      <c r="WCM16" s="476"/>
      <c r="WCN16" s="476"/>
      <c r="WCO16" s="476"/>
      <c r="WCP16" s="476"/>
      <c r="WCQ16" s="476"/>
      <c r="WCR16" s="476"/>
      <c r="WCS16" s="476"/>
      <c r="WCT16" s="476"/>
      <c r="WCU16" s="477"/>
      <c r="WCV16" s="477"/>
      <c r="WCW16" s="463"/>
      <c r="WCX16" s="475"/>
      <c r="WCY16" s="476"/>
      <c r="WCZ16" s="476"/>
      <c r="WDA16" s="476"/>
      <c r="WDB16" s="476"/>
      <c r="WDC16" s="476"/>
      <c r="WDD16" s="476"/>
      <c r="WDE16" s="476"/>
      <c r="WDF16" s="476"/>
      <c r="WDG16" s="476"/>
      <c r="WDH16" s="476"/>
      <c r="WDI16" s="476"/>
      <c r="WDJ16" s="476"/>
      <c r="WDK16" s="477"/>
      <c r="WDL16" s="477"/>
      <c r="WDM16" s="463"/>
      <c r="WDN16" s="475"/>
      <c r="WDO16" s="476"/>
      <c r="WDP16" s="476"/>
      <c r="WDQ16" s="476"/>
      <c r="WDR16" s="476"/>
      <c r="WDS16" s="476"/>
      <c r="WDT16" s="476"/>
      <c r="WDU16" s="476"/>
      <c r="WDV16" s="476"/>
      <c r="WDW16" s="476"/>
      <c r="WDX16" s="476"/>
      <c r="WDY16" s="476"/>
      <c r="WDZ16" s="476"/>
      <c r="WEA16" s="477"/>
      <c r="WEB16" s="477"/>
      <c r="WEC16" s="463"/>
      <c r="WED16" s="475"/>
      <c r="WEE16" s="476"/>
      <c r="WEF16" s="476"/>
      <c r="WEG16" s="476"/>
      <c r="WEH16" s="476"/>
      <c r="WEI16" s="476"/>
      <c r="WEJ16" s="476"/>
      <c r="WEK16" s="476"/>
      <c r="WEL16" s="476"/>
      <c r="WEM16" s="476"/>
      <c r="WEN16" s="476"/>
      <c r="WEO16" s="476"/>
      <c r="WEP16" s="476"/>
      <c r="WEQ16" s="477"/>
      <c r="WER16" s="477"/>
      <c r="WES16" s="463"/>
      <c r="WET16" s="475"/>
      <c r="WEU16" s="476"/>
      <c r="WEV16" s="476"/>
      <c r="WEW16" s="476"/>
      <c r="WEX16" s="476"/>
      <c r="WEY16" s="476"/>
      <c r="WEZ16" s="476"/>
      <c r="WFA16" s="476"/>
      <c r="WFB16" s="476"/>
      <c r="WFC16" s="476"/>
      <c r="WFD16" s="476"/>
      <c r="WFE16" s="476"/>
      <c r="WFF16" s="476"/>
      <c r="WFG16" s="477"/>
      <c r="WFH16" s="477"/>
      <c r="WFI16" s="463"/>
      <c r="WFJ16" s="475"/>
      <c r="WFK16" s="476"/>
      <c r="WFL16" s="476"/>
      <c r="WFM16" s="476"/>
      <c r="WFN16" s="476"/>
      <c r="WFO16" s="476"/>
      <c r="WFP16" s="476"/>
      <c r="WFQ16" s="476"/>
      <c r="WFR16" s="476"/>
      <c r="WFS16" s="476"/>
      <c r="WFT16" s="476"/>
      <c r="WFU16" s="476"/>
      <c r="WFV16" s="476"/>
      <c r="WFW16" s="477"/>
      <c r="WFX16" s="477"/>
      <c r="WFY16" s="463"/>
      <c r="WFZ16" s="475"/>
      <c r="WGA16" s="476"/>
      <c r="WGB16" s="476"/>
      <c r="WGC16" s="476"/>
      <c r="WGD16" s="476"/>
      <c r="WGE16" s="476"/>
      <c r="WGF16" s="476"/>
      <c r="WGG16" s="476"/>
      <c r="WGH16" s="476"/>
      <c r="WGI16" s="476"/>
      <c r="WGJ16" s="476"/>
      <c r="WGK16" s="476"/>
      <c r="WGL16" s="476"/>
      <c r="WGM16" s="477"/>
      <c r="WGN16" s="477"/>
      <c r="WGO16" s="463"/>
      <c r="WGP16" s="475"/>
      <c r="WGQ16" s="476"/>
      <c r="WGR16" s="476"/>
      <c r="WGS16" s="476"/>
      <c r="WGT16" s="476"/>
      <c r="WGU16" s="476"/>
      <c r="WGV16" s="476"/>
      <c r="WGW16" s="476"/>
      <c r="WGX16" s="476"/>
      <c r="WGY16" s="476"/>
      <c r="WGZ16" s="476"/>
      <c r="WHA16" s="476"/>
      <c r="WHB16" s="476"/>
      <c r="WHC16" s="477"/>
      <c r="WHD16" s="477"/>
      <c r="WHE16" s="463"/>
      <c r="WHF16" s="475"/>
      <c r="WHG16" s="476"/>
      <c r="WHH16" s="476"/>
      <c r="WHI16" s="476"/>
      <c r="WHJ16" s="476"/>
      <c r="WHK16" s="476"/>
      <c r="WHL16" s="476"/>
      <c r="WHM16" s="476"/>
      <c r="WHN16" s="476"/>
      <c r="WHO16" s="476"/>
      <c r="WHP16" s="476"/>
      <c r="WHQ16" s="476"/>
      <c r="WHR16" s="476"/>
      <c r="WHS16" s="477"/>
      <c r="WHT16" s="477"/>
      <c r="WHU16" s="463"/>
      <c r="WHV16" s="475"/>
      <c r="WHW16" s="476"/>
      <c r="WHX16" s="476"/>
      <c r="WHY16" s="476"/>
      <c r="WHZ16" s="476"/>
      <c r="WIA16" s="476"/>
      <c r="WIB16" s="476"/>
      <c r="WIC16" s="476"/>
      <c r="WID16" s="476"/>
      <c r="WIE16" s="476"/>
      <c r="WIF16" s="476"/>
      <c r="WIG16" s="476"/>
      <c r="WIH16" s="476"/>
      <c r="WII16" s="477"/>
      <c r="WIJ16" s="477"/>
      <c r="WIK16" s="463"/>
      <c r="WIL16" s="475"/>
      <c r="WIM16" s="476"/>
      <c r="WIN16" s="476"/>
      <c r="WIO16" s="476"/>
      <c r="WIP16" s="476"/>
      <c r="WIQ16" s="476"/>
      <c r="WIR16" s="476"/>
      <c r="WIS16" s="476"/>
      <c r="WIT16" s="476"/>
      <c r="WIU16" s="476"/>
      <c r="WIV16" s="476"/>
      <c r="WIW16" s="476"/>
      <c r="WIX16" s="476"/>
      <c r="WIY16" s="477"/>
      <c r="WIZ16" s="477"/>
      <c r="WJA16" s="463"/>
      <c r="WJB16" s="475"/>
      <c r="WJC16" s="476"/>
      <c r="WJD16" s="476"/>
      <c r="WJE16" s="476"/>
      <c r="WJF16" s="476"/>
      <c r="WJG16" s="476"/>
      <c r="WJH16" s="476"/>
      <c r="WJI16" s="476"/>
      <c r="WJJ16" s="476"/>
      <c r="WJK16" s="476"/>
      <c r="WJL16" s="476"/>
      <c r="WJM16" s="476"/>
      <c r="WJN16" s="476"/>
      <c r="WJO16" s="477"/>
      <c r="WJP16" s="477"/>
      <c r="WJQ16" s="463"/>
      <c r="WJR16" s="475"/>
      <c r="WJS16" s="476"/>
      <c r="WJT16" s="476"/>
      <c r="WJU16" s="476"/>
      <c r="WJV16" s="476"/>
      <c r="WJW16" s="476"/>
      <c r="WJX16" s="476"/>
      <c r="WJY16" s="476"/>
      <c r="WJZ16" s="476"/>
      <c r="WKA16" s="476"/>
      <c r="WKB16" s="476"/>
      <c r="WKC16" s="476"/>
      <c r="WKD16" s="476"/>
      <c r="WKE16" s="477"/>
      <c r="WKF16" s="477"/>
      <c r="WKG16" s="463"/>
      <c r="WKH16" s="475"/>
      <c r="WKI16" s="476"/>
      <c r="WKJ16" s="476"/>
      <c r="WKK16" s="476"/>
      <c r="WKL16" s="476"/>
      <c r="WKM16" s="476"/>
      <c r="WKN16" s="476"/>
      <c r="WKO16" s="476"/>
      <c r="WKP16" s="476"/>
      <c r="WKQ16" s="476"/>
      <c r="WKR16" s="476"/>
      <c r="WKS16" s="476"/>
      <c r="WKT16" s="476"/>
      <c r="WKU16" s="477"/>
      <c r="WKV16" s="477"/>
      <c r="WKW16" s="463"/>
      <c r="WKX16" s="475"/>
      <c r="WKY16" s="476"/>
      <c r="WKZ16" s="476"/>
      <c r="WLA16" s="476"/>
      <c r="WLB16" s="476"/>
      <c r="WLC16" s="476"/>
      <c r="WLD16" s="476"/>
      <c r="WLE16" s="476"/>
      <c r="WLF16" s="476"/>
      <c r="WLG16" s="476"/>
      <c r="WLH16" s="476"/>
      <c r="WLI16" s="476"/>
      <c r="WLJ16" s="476"/>
      <c r="WLK16" s="477"/>
      <c r="WLL16" s="477"/>
      <c r="WLM16" s="463"/>
      <c r="WLN16" s="475"/>
      <c r="WLO16" s="476"/>
      <c r="WLP16" s="476"/>
      <c r="WLQ16" s="476"/>
      <c r="WLR16" s="476"/>
      <c r="WLS16" s="476"/>
      <c r="WLT16" s="476"/>
      <c r="WLU16" s="476"/>
      <c r="WLV16" s="476"/>
      <c r="WLW16" s="476"/>
      <c r="WLX16" s="476"/>
      <c r="WLY16" s="476"/>
      <c r="WLZ16" s="476"/>
      <c r="WMA16" s="477"/>
      <c r="WMB16" s="477"/>
      <c r="WMC16" s="463"/>
      <c r="WMD16" s="475"/>
      <c r="WME16" s="476"/>
      <c r="WMF16" s="476"/>
      <c r="WMG16" s="476"/>
      <c r="WMH16" s="476"/>
      <c r="WMI16" s="476"/>
      <c r="WMJ16" s="476"/>
      <c r="WMK16" s="476"/>
      <c r="WML16" s="476"/>
      <c r="WMM16" s="476"/>
      <c r="WMN16" s="476"/>
      <c r="WMO16" s="476"/>
      <c r="WMP16" s="476"/>
      <c r="WMQ16" s="477"/>
      <c r="WMR16" s="477"/>
      <c r="WMS16" s="463"/>
      <c r="WMT16" s="475"/>
      <c r="WMU16" s="476"/>
      <c r="WMV16" s="476"/>
      <c r="WMW16" s="476"/>
      <c r="WMX16" s="476"/>
      <c r="WMY16" s="476"/>
      <c r="WMZ16" s="476"/>
      <c r="WNA16" s="476"/>
      <c r="WNB16" s="476"/>
      <c r="WNC16" s="476"/>
      <c r="WND16" s="476"/>
      <c r="WNE16" s="476"/>
      <c r="WNF16" s="476"/>
      <c r="WNG16" s="477"/>
      <c r="WNH16" s="477"/>
      <c r="WNI16" s="463"/>
      <c r="WNJ16" s="475"/>
      <c r="WNK16" s="476"/>
      <c r="WNL16" s="476"/>
      <c r="WNM16" s="476"/>
      <c r="WNN16" s="476"/>
      <c r="WNO16" s="476"/>
      <c r="WNP16" s="476"/>
      <c r="WNQ16" s="476"/>
      <c r="WNR16" s="476"/>
      <c r="WNS16" s="476"/>
      <c r="WNT16" s="476"/>
      <c r="WNU16" s="476"/>
      <c r="WNV16" s="476"/>
      <c r="WNW16" s="477"/>
      <c r="WNX16" s="477"/>
      <c r="WNY16" s="463"/>
      <c r="WNZ16" s="475"/>
      <c r="WOA16" s="476"/>
      <c r="WOB16" s="476"/>
      <c r="WOC16" s="476"/>
      <c r="WOD16" s="476"/>
      <c r="WOE16" s="476"/>
      <c r="WOF16" s="476"/>
      <c r="WOG16" s="476"/>
      <c r="WOH16" s="476"/>
      <c r="WOI16" s="476"/>
      <c r="WOJ16" s="476"/>
      <c r="WOK16" s="476"/>
      <c r="WOL16" s="476"/>
      <c r="WOM16" s="477"/>
      <c r="WON16" s="477"/>
      <c r="WOO16" s="463"/>
      <c r="WOP16" s="475"/>
      <c r="WOQ16" s="476"/>
      <c r="WOR16" s="476"/>
      <c r="WOS16" s="476"/>
      <c r="WOT16" s="476"/>
      <c r="WOU16" s="476"/>
      <c r="WOV16" s="476"/>
      <c r="WOW16" s="476"/>
      <c r="WOX16" s="476"/>
      <c r="WOY16" s="476"/>
      <c r="WOZ16" s="476"/>
      <c r="WPA16" s="476"/>
      <c r="WPB16" s="476"/>
      <c r="WPC16" s="477"/>
      <c r="WPD16" s="477"/>
      <c r="WPE16" s="463"/>
      <c r="WPF16" s="475"/>
      <c r="WPG16" s="476"/>
      <c r="WPH16" s="476"/>
      <c r="WPI16" s="476"/>
      <c r="WPJ16" s="476"/>
      <c r="WPK16" s="476"/>
      <c r="WPL16" s="476"/>
      <c r="WPM16" s="476"/>
      <c r="WPN16" s="476"/>
      <c r="WPO16" s="476"/>
      <c r="WPP16" s="476"/>
      <c r="WPQ16" s="476"/>
      <c r="WPR16" s="476"/>
      <c r="WPS16" s="477"/>
      <c r="WPT16" s="477"/>
      <c r="WPU16" s="463"/>
      <c r="WPV16" s="475"/>
      <c r="WPW16" s="476"/>
      <c r="WPX16" s="476"/>
      <c r="WPY16" s="476"/>
      <c r="WPZ16" s="476"/>
      <c r="WQA16" s="476"/>
      <c r="WQB16" s="476"/>
      <c r="WQC16" s="476"/>
      <c r="WQD16" s="476"/>
      <c r="WQE16" s="476"/>
      <c r="WQF16" s="476"/>
      <c r="WQG16" s="476"/>
      <c r="WQH16" s="476"/>
      <c r="WQI16" s="477"/>
      <c r="WQJ16" s="477"/>
      <c r="WQK16" s="463"/>
      <c r="WQL16" s="475"/>
      <c r="WQM16" s="476"/>
      <c r="WQN16" s="476"/>
      <c r="WQO16" s="476"/>
      <c r="WQP16" s="476"/>
      <c r="WQQ16" s="476"/>
      <c r="WQR16" s="476"/>
      <c r="WQS16" s="476"/>
      <c r="WQT16" s="476"/>
      <c r="WQU16" s="476"/>
      <c r="WQV16" s="476"/>
      <c r="WQW16" s="476"/>
      <c r="WQX16" s="476"/>
      <c r="WQY16" s="477"/>
      <c r="WQZ16" s="477"/>
      <c r="WRA16" s="463"/>
      <c r="WRB16" s="475"/>
      <c r="WRC16" s="476"/>
      <c r="WRD16" s="476"/>
      <c r="WRE16" s="476"/>
      <c r="WRF16" s="476"/>
      <c r="WRG16" s="476"/>
      <c r="WRH16" s="476"/>
      <c r="WRI16" s="476"/>
      <c r="WRJ16" s="476"/>
      <c r="WRK16" s="476"/>
      <c r="WRL16" s="476"/>
      <c r="WRM16" s="476"/>
      <c r="WRN16" s="476"/>
      <c r="WRO16" s="477"/>
      <c r="WRP16" s="477"/>
      <c r="WRQ16" s="463"/>
      <c r="WRR16" s="475"/>
      <c r="WRS16" s="476"/>
      <c r="WRT16" s="476"/>
      <c r="WRU16" s="476"/>
      <c r="WRV16" s="476"/>
      <c r="WRW16" s="476"/>
      <c r="WRX16" s="476"/>
      <c r="WRY16" s="476"/>
      <c r="WRZ16" s="476"/>
      <c r="WSA16" s="476"/>
      <c r="WSB16" s="476"/>
      <c r="WSC16" s="476"/>
      <c r="WSD16" s="476"/>
      <c r="WSE16" s="477"/>
      <c r="WSF16" s="477"/>
      <c r="WSG16" s="463"/>
      <c r="WSH16" s="475"/>
      <c r="WSI16" s="476"/>
      <c r="WSJ16" s="476"/>
      <c r="WSK16" s="476"/>
      <c r="WSL16" s="476"/>
      <c r="WSM16" s="476"/>
      <c r="WSN16" s="476"/>
      <c r="WSO16" s="476"/>
      <c r="WSP16" s="476"/>
      <c r="WSQ16" s="476"/>
      <c r="WSR16" s="476"/>
      <c r="WSS16" s="476"/>
      <c r="WST16" s="476"/>
      <c r="WSU16" s="477"/>
      <c r="WSV16" s="477"/>
      <c r="WSW16" s="463"/>
      <c r="WSX16" s="475"/>
      <c r="WSY16" s="476"/>
      <c r="WSZ16" s="476"/>
      <c r="WTA16" s="476"/>
      <c r="WTB16" s="476"/>
      <c r="WTC16" s="476"/>
      <c r="WTD16" s="476"/>
      <c r="WTE16" s="476"/>
      <c r="WTF16" s="476"/>
      <c r="WTG16" s="476"/>
      <c r="WTH16" s="476"/>
      <c r="WTI16" s="476"/>
      <c r="WTJ16" s="476"/>
      <c r="WTK16" s="477"/>
      <c r="WTL16" s="477"/>
      <c r="WTM16" s="463"/>
      <c r="WTN16" s="475"/>
      <c r="WTO16" s="476"/>
      <c r="WTP16" s="476"/>
      <c r="WTQ16" s="476"/>
      <c r="WTR16" s="476"/>
      <c r="WTS16" s="476"/>
      <c r="WTT16" s="476"/>
      <c r="WTU16" s="476"/>
      <c r="WTV16" s="476"/>
      <c r="WTW16" s="476"/>
      <c r="WTX16" s="476"/>
      <c r="WTY16" s="476"/>
      <c r="WTZ16" s="476"/>
      <c r="WUA16" s="477"/>
      <c r="WUB16" s="477"/>
      <c r="WUC16" s="463"/>
      <c r="WUD16" s="475"/>
      <c r="WUE16" s="476"/>
      <c r="WUF16" s="476"/>
      <c r="WUG16" s="476"/>
      <c r="WUH16" s="476"/>
      <c r="WUI16" s="476"/>
      <c r="WUJ16" s="476"/>
      <c r="WUK16" s="476"/>
      <c r="WUL16" s="476"/>
      <c r="WUM16" s="476"/>
      <c r="WUN16" s="476"/>
      <c r="WUO16" s="476"/>
      <c r="WUP16" s="476"/>
      <c r="WUQ16" s="477"/>
      <c r="WUR16" s="477"/>
      <c r="WUS16" s="463"/>
      <c r="WUT16" s="475"/>
      <c r="WUU16" s="476"/>
      <c r="WUV16" s="476"/>
      <c r="WUW16" s="476"/>
      <c r="WUX16" s="476"/>
      <c r="WUY16" s="476"/>
      <c r="WUZ16" s="476"/>
      <c r="WVA16" s="476"/>
      <c r="WVB16" s="476"/>
      <c r="WVC16" s="476"/>
      <c r="WVD16" s="476"/>
      <c r="WVE16" s="476"/>
      <c r="WVF16" s="476"/>
      <c r="WVG16" s="477"/>
      <c r="WVH16" s="477"/>
      <c r="WVI16" s="463"/>
      <c r="WVJ16" s="475"/>
      <c r="WVK16" s="476"/>
      <c r="WVL16" s="476"/>
      <c r="WVM16" s="476"/>
      <c r="WVN16" s="476"/>
      <c r="WVO16" s="476"/>
      <c r="WVP16" s="476"/>
      <c r="WVQ16" s="476"/>
      <c r="WVR16" s="476"/>
      <c r="WVS16" s="476"/>
      <c r="WVT16" s="476"/>
      <c r="WVU16" s="476"/>
      <c r="WVV16" s="476"/>
      <c r="WVW16" s="477"/>
      <c r="WVX16" s="477"/>
      <c r="WVY16" s="463"/>
      <c r="WVZ16" s="475"/>
      <c r="WWA16" s="476"/>
      <c r="WWB16" s="476"/>
      <c r="WWC16" s="476"/>
      <c r="WWD16" s="476"/>
      <c r="WWE16" s="476"/>
      <c r="WWF16" s="476"/>
      <c r="WWG16" s="476"/>
      <c r="WWH16" s="476"/>
      <c r="WWI16" s="476"/>
      <c r="WWJ16" s="476"/>
      <c r="WWK16" s="476"/>
      <c r="WWL16" s="476"/>
      <c r="WWM16" s="477"/>
      <c r="WWN16" s="477"/>
      <c r="WWO16" s="463"/>
      <c r="WWP16" s="475"/>
      <c r="WWQ16" s="476"/>
      <c r="WWR16" s="476"/>
      <c r="WWS16" s="476"/>
      <c r="WWT16" s="476"/>
      <c r="WWU16" s="476"/>
      <c r="WWV16" s="476"/>
      <c r="WWW16" s="476"/>
      <c r="WWX16" s="476"/>
      <c r="WWY16" s="476"/>
      <c r="WWZ16" s="476"/>
      <c r="WXA16" s="476"/>
      <c r="WXB16" s="476"/>
      <c r="WXC16" s="477"/>
      <c r="WXD16" s="477"/>
      <c r="WXE16" s="463"/>
      <c r="WXF16" s="475"/>
      <c r="WXG16" s="476"/>
      <c r="WXH16" s="476"/>
      <c r="WXI16" s="476"/>
      <c r="WXJ16" s="476"/>
      <c r="WXK16" s="476"/>
      <c r="WXL16" s="476"/>
      <c r="WXM16" s="476"/>
      <c r="WXN16" s="476"/>
      <c r="WXO16" s="476"/>
      <c r="WXP16" s="476"/>
      <c r="WXQ16" s="476"/>
      <c r="WXR16" s="476"/>
      <c r="WXS16" s="477"/>
      <c r="WXT16" s="477"/>
      <c r="WXU16" s="463"/>
      <c r="WXV16" s="475"/>
      <c r="WXW16" s="476"/>
      <c r="WXX16" s="476"/>
      <c r="WXY16" s="476"/>
      <c r="WXZ16" s="476"/>
      <c r="WYA16" s="476"/>
      <c r="WYB16" s="476"/>
      <c r="WYC16" s="476"/>
      <c r="WYD16" s="476"/>
      <c r="WYE16" s="476"/>
      <c r="WYF16" s="476"/>
      <c r="WYG16" s="476"/>
      <c r="WYH16" s="476"/>
      <c r="WYI16" s="477"/>
      <c r="WYJ16" s="477"/>
      <c r="WYK16" s="463"/>
      <c r="WYL16" s="475"/>
      <c r="WYM16" s="476"/>
      <c r="WYN16" s="476"/>
      <c r="WYO16" s="476"/>
      <c r="WYP16" s="476"/>
      <c r="WYQ16" s="476"/>
      <c r="WYR16" s="476"/>
      <c r="WYS16" s="476"/>
      <c r="WYT16" s="476"/>
      <c r="WYU16" s="476"/>
      <c r="WYV16" s="476"/>
      <c r="WYW16" s="476"/>
      <c r="WYX16" s="476"/>
      <c r="WYY16" s="477"/>
      <c r="WYZ16" s="477"/>
      <c r="WZA16" s="463"/>
      <c r="WZB16" s="475"/>
      <c r="WZC16" s="476"/>
      <c r="WZD16" s="476"/>
      <c r="WZE16" s="476"/>
      <c r="WZF16" s="476"/>
      <c r="WZG16" s="476"/>
      <c r="WZH16" s="476"/>
      <c r="WZI16" s="476"/>
      <c r="WZJ16" s="476"/>
      <c r="WZK16" s="476"/>
      <c r="WZL16" s="476"/>
      <c r="WZM16" s="476"/>
      <c r="WZN16" s="476"/>
      <c r="WZO16" s="477"/>
      <c r="WZP16" s="477"/>
      <c r="WZQ16" s="463"/>
      <c r="WZR16" s="475"/>
      <c r="WZS16" s="476"/>
      <c r="WZT16" s="476"/>
      <c r="WZU16" s="476"/>
      <c r="WZV16" s="476"/>
      <c r="WZW16" s="476"/>
      <c r="WZX16" s="476"/>
      <c r="WZY16" s="476"/>
      <c r="WZZ16" s="476"/>
      <c r="XAA16" s="476"/>
      <c r="XAB16" s="476"/>
      <c r="XAC16" s="476"/>
      <c r="XAD16" s="476"/>
      <c r="XAE16" s="477"/>
      <c r="XAF16" s="477"/>
      <c r="XAG16" s="463"/>
      <c r="XAH16" s="475"/>
      <c r="XAI16" s="476"/>
      <c r="XAJ16" s="476"/>
      <c r="XAK16" s="476"/>
      <c r="XAL16" s="476"/>
      <c r="XAM16" s="476"/>
      <c r="XAN16" s="476"/>
      <c r="XAO16" s="476"/>
      <c r="XAP16" s="476"/>
      <c r="XAQ16" s="476"/>
      <c r="XAR16" s="476"/>
      <c r="XAS16" s="476"/>
      <c r="XAT16" s="476"/>
      <c r="XAU16" s="477"/>
      <c r="XAV16" s="477"/>
      <c r="XAW16" s="463"/>
      <c r="XAX16" s="475"/>
      <c r="XAY16" s="476"/>
      <c r="XAZ16" s="476"/>
      <c r="XBA16" s="476"/>
      <c r="XBB16" s="476"/>
      <c r="XBC16" s="476"/>
      <c r="XBD16" s="476"/>
      <c r="XBE16" s="476"/>
      <c r="XBF16" s="476"/>
      <c r="XBG16" s="476"/>
      <c r="XBH16" s="476"/>
      <c r="XBI16" s="476"/>
      <c r="XBJ16" s="476"/>
      <c r="XBK16" s="477"/>
      <c r="XBL16" s="477"/>
      <c r="XBM16" s="463"/>
      <c r="XBN16" s="475"/>
      <c r="XBO16" s="476"/>
      <c r="XBP16" s="476"/>
      <c r="XBQ16" s="476"/>
      <c r="XBR16" s="476"/>
      <c r="XBS16" s="476"/>
      <c r="XBT16" s="476"/>
      <c r="XBU16" s="476"/>
      <c r="XBV16" s="476"/>
      <c r="XBW16" s="476"/>
      <c r="XBX16" s="476"/>
      <c r="XBY16" s="476"/>
      <c r="XBZ16" s="476"/>
      <c r="XCA16" s="477"/>
      <c r="XCB16" s="477"/>
      <c r="XCC16" s="463"/>
      <c r="XCD16" s="475"/>
      <c r="XCE16" s="476"/>
      <c r="XCF16" s="476"/>
      <c r="XCG16" s="476"/>
      <c r="XCH16" s="476"/>
      <c r="XCI16" s="476"/>
      <c r="XCJ16" s="476"/>
      <c r="XCK16" s="476"/>
      <c r="XCL16" s="476"/>
      <c r="XCM16" s="476"/>
      <c r="XCN16" s="476"/>
      <c r="XCO16" s="476"/>
      <c r="XCP16" s="476"/>
      <c r="XCQ16" s="477"/>
      <c r="XCR16" s="477"/>
      <c r="XCS16" s="463"/>
      <c r="XCT16" s="475"/>
      <c r="XCU16" s="476"/>
      <c r="XCV16" s="476"/>
      <c r="XCW16" s="476"/>
      <c r="XCX16" s="476"/>
      <c r="XCY16" s="476"/>
      <c r="XCZ16" s="476"/>
      <c r="XDA16" s="476"/>
      <c r="XDB16" s="476"/>
      <c r="XDC16" s="476"/>
      <c r="XDD16" s="476"/>
      <c r="XDE16" s="476"/>
      <c r="XDF16" s="476"/>
      <c r="XDG16" s="477"/>
      <c r="XDH16" s="477"/>
      <c r="XDI16" s="463"/>
      <c r="XDJ16" s="475"/>
      <c r="XDK16" s="476"/>
      <c r="XDL16" s="476"/>
      <c r="XDM16" s="476"/>
      <c r="XDN16" s="476"/>
      <c r="XDO16" s="476"/>
      <c r="XDP16" s="476"/>
      <c r="XDQ16" s="476"/>
      <c r="XDR16" s="476"/>
      <c r="XDS16" s="476"/>
      <c r="XDT16" s="476"/>
      <c r="XDU16" s="476"/>
      <c r="XDV16" s="476"/>
      <c r="XDW16" s="477"/>
      <c r="XDX16" s="477"/>
      <c r="XDY16" s="463"/>
      <c r="XDZ16" s="475"/>
      <c r="XEA16" s="476"/>
      <c r="XEB16" s="476"/>
      <c r="XEC16" s="476"/>
      <c r="XED16" s="476"/>
      <c r="XEE16" s="476"/>
      <c r="XEF16" s="476"/>
      <c r="XEG16" s="476"/>
      <c r="XEH16" s="476"/>
      <c r="XEI16" s="476"/>
      <c r="XEJ16" s="476"/>
      <c r="XEK16" s="476"/>
      <c r="XEL16" s="476"/>
      <c r="XEM16" s="477"/>
      <c r="XEN16" s="477"/>
      <c r="XEO16" s="463"/>
      <c r="XEP16" s="475"/>
      <c r="XEQ16" s="476"/>
    </row>
    <row r="17" spans="1:16371" ht="17.25" thickBot="1" x14ac:dyDescent="0.3">
      <c r="A17" s="478" t="s">
        <v>526</v>
      </c>
      <c r="B17" s="479" t="s">
        <v>341</v>
      </c>
      <c r="C17" s="480">
        <f>INVENTARIOS!C25</f>
        <v>638.95000000000005</v>
      </c>
      <c r="D17" s="480">
        <f>INVENTARIOS!D25</f>
        <v>529.44000000000005</v>
      </c>
      <c r="E17" s="480">
        <f>INVENTARIOS!E25</f>
        <v>1167.5999999999999</v>
      </c>
      <c r="F17" s="480">
        <f>INVENTARIOS!F25</f>
        <v>783.8</v>
      </c>
      <c r="G17" s="480">
        <f>INVENTARIOS!G25</f>
        <v>592.54999999999995</v>
      </c>
      <c r="H17" s="480">
        <f>INVENTARIOS!H25</f>
        <v>722.71</v>
      </c>
      <c r="I17" s="480">
        <f>INVENTARIOS!I25</f>
        <v>1027.56</v>
      </c>
      <c r="J17" s="480">
        <f>INVENTARIOS!J25</f>
        <v>465.82</v>
      </c>
      <c r="K17" s="480">
        <f>INVENTARIOS!K25</f>
        <v>700.88</v>
      </c>
      <c r="L17" s="480">
        <f>INVENTARIOS!L25</f>
        <v>638.30999999999995</v>
      </c>
      <c r="M17" s="480">
        <f>INVENTARIOS!M25</f>
        <v>725.94</v>
      </c>
      <c r="N17" s="480">
        <f>INVENTARIOS!N25</f>
        <v>403.31</v>
      </c>
      <c r="O17" s="481">
        <f t="shared" si="15"/>
        <v>699.73916666666673</v>
      </c>
      <c r="P17" s="533">
        <f>IFERROR(AVERAGEIFS('INDICADORES PRODUCCION'!C17:N17,'INDICADORES PRODUCCION'!C17:N17,"&gt;0",'INDICADORES PRODUCCION'!C$7:N$7,"&gt;="&amp;DATE(YEAR('INDICADORES PRODUCCION'!N$7),1,1),'INDICADORES PRODUCCION'!C$7:N$7,"&lt;="&amp;DATE(YEAR('INDICADORES PRODUCCION'!N$7),12,31)),"-")</f>
        <v>617.11</v>
      </c>
      <c r="Q17" s="481">
        <v>672.57799999999997</v>
      </c>
      <c r="R17" s="475"/>
      <c r="S17" s="804"/>
      <c r="T17" s="804"/>
      <c r="U17" s="804"/>
      <c r="V17" s="804"/>
      <c r="W17" s="804"/>
      <c r="X17" s="804"/>
      <c r="Y17" s="804"/>
      <c r="Z17" s="804"/>
      <c r="AA17" s="804"/>
      <c r="AB17" s="804"/>
      <c r="AC17" s="804"/>
      <c r="AD17" s="476"/>
      <c r="AE17" s="799">
        <f t="shared" si="2"/>
        <v>-638.95000000000005</v>
      </c>
      <c r="AF17" s="799">
        <f t="shared" si="3"/>
        <v>-529.44000000000005</v>
      </c>
      <c r="AG17" s="799">
        <f t="shared" si="4"/>
        <v>-1167.5999999999999</v>
      </c>
      <c r="AH17" s="799">
        <f t="shared" si="5"/>
        <v>-783.8</v>
      </c>
      <c r="AI17" s="799">
        <f t="shared" si="6"/>
        <v>-592.54999999999995</v>
      </c>
      <c r="AJ17" s="799">
        <f t="shared" si="7"/>
        <v>-722.71</v>
      </c>
      <c r="AK17" s="799">
        <f t="shared" si="8"/>
        <v>-1027.56</v>
      </c>
      <c r="AL17" s="799">
        <f t="shared" si="9"/>
        <v>-465.82</v>
      </c>
      <c r="AM17" s="799">
        <f t="shared" si="10"/>
        <v>-700.88</v>
      </c>
      <c r="AN17" s="799">
        <f t="shared" si="11"/>
        <v>-638.30999999999995</v>
      </c>
      <c r="AO17" s="799">
        <f t="shared" si="12"/>
        <v>-725.94</v>
      </c>
      <c r="AP17" s="799"/>
      <c r="AQ17" s="799"/>
      <c r="AR17" s="799"/>
      <c r="AS17" s="799"/>
      <c r="AT17" s="799"/>
      <c r="AU17" s="799"/>
      <c r="AV17" s="799"/>
      <c r="AW17" s="799"/>
      <c r="AX17" s="799"/>
      <c r="AY17" s="799"/>
      <c r="AZ17" s="799">
        <f t="shared" si="1"/>
        <v>-725.94</v>
      </c>
      <c r="BA17" s="799"/>
      <c r="BB17" s="799"/>
      <c r="BC17" s="476"/>
      <c r="BD17" s="476"/>
      <c r="BE17" s="476"/>
      <c r="BF17" s="476"/>
      <c r="BG17" s="476"/>
      <c r="BH17" s="476"/>
      <c r="BI17" s="476"/>
      <c r="BJ17" s="476"/>
      <c r="BK17" s="477"/>
      <c r="BL17" s="477"/>
      <c r="BM17" s="463"/>
      <c r="BN17" s="475"/>
      <c r="BO17" s="476"/>
      <c r="BP17" s="476"/>
      <c r="BQ17" s="476"/>
      <c r="BR17" s="476"/>
      <c r="BS17" s="476"/>
      <c r="BT17" s="476"/>
      <c r="BU17" s="476"/>
      <c r="BV17" s="476"/>
      <c r="BW17" s="476"/>
      <c r="BX17" s="476"/>
      <c r="BY17" s="476"/>
      <c r="BZ17" s="476"/>
      <c r="CA17" s="477"/>
      <c r="CB17" s="477"/>
      <c r="CC17" s="463"/>
      <c r="CD17" s="475"/>
      <c r="CE17" s="476"/>
      <c r="CF17" s="476"/>
      <c r="CG17" s="476"/>
      <c r="CH17" s="476"/>
      <c r="CI17" s="476"/>
      <c r="CJ17" s="476"/>
      <c r="CK17" s="476"/>
      <c r="CL17" s="476"/>
      <c r="CM17" s="476"/>
      <c r="CN17" s="476"/>
      <c r="CO17" s="476"/>
      <c r="CP17" s="476"/>
      <c r="CQ17" s="477"/>
      <c r="CR17" s="477"/>
      <c r="CS17" s="463"/>
      <c r="CT17" s="475"/>
      <c r="CU17" s="476"/>
      <c r="CV17" s="476"/>
      <c r="CW17" s="476"/>
      <c r="CX17" s="476"/>
      <c r="CY17" s="476"/>
      <c r="CZ17" s="476"/>
      <c r="DA17" s="476"/>
      <c r="DB17" s="476"/>
      <c r="DC17" s="476"/>
      <c r="DD17" s="476"/>
      <c r="DE17" s="476"/>
      <c r="DF17" s="476"/>
      <c r="DG17" s="477"/>
      <c r="DH17" s="477"/>
      <c r="DI17" s="463"/>
      <c r="DJ17" s="475"/>
      <c r="DK17" s="476"/>
      <c r="DL17" s="476"/>
      <c r="DM17" s="476"/>
      <c r="DN17" s="476"/>
      <c r="DO17" s="476"/>
      <c r="DP17" s="476"/>
      <c r="DQ17" s="476"/>
      <c r="DR17" s="476"/>
      <c r="DS17" s="476"/>
      <c r="DT17" s="476"/>
      <c r="DU17" s="476"/>
      <c r="DV17" s="476"/>
      <c r="DW17" s="477"/>
      <c r="DX17" s="477"/>
      <c r="DY17" s="463"/>
      <c r="DZ17" s="475"/>
      <c r="EA17" s="476"/>
      <c r="EB17" s="476"/>
      <c r="EC17" s="476"/>
      <c r="ED17" s="476"/>
      <c r="EE17" s="476"/>
      <c r="EF17" s="476"/>
      <c r="EG17" s="476"/>
      <c r="EH17" s="476"/>
      <c r="EI17" s="476"/>
      <c r="EJ17" s="476"/>
      <c r="EK17" s="476"/>
      <c r="EL17" s="476"/>
      <c r="EM17" s="477"/>
      <c r="EN17" s="477"/>
      <c r="EO17" s="463"/>
      <c r="EP17" s="475"/>
      <c r="EQ17" s="476"/>
      <c r="ER17" s="476"/>
      <c r="ES17" s="476"/>
      <c r="ET17" s="476"/>
      <c r="EU17" s="476"/>
      <c r="EV17" s="476"/>
      <c r="EW17" s="476"/>
      <c r="EX17" s="476"/>
      <c r="EY17" s="476"/>
      <c r="EZ17" s="476"/>
      <c r="FA17" s="476"/>
      <c r="FB17" s="476"/>
      <c r="FC17" s="477"/>
      <c r="FD17" s="477"/>
      <c r="FE17" s="463"/>
      <c r="FF17" s="475"/>
      <c r="FG17" s="476"/>
      <c r="FH17" s="476"/>
      <c r="FI17" s="476"/>
      <c r="FJ17" s="476"/>
      <c r="FK17" s="476"/>
      <c r="FL17" s="476"/>
      <c r="FM17" s="476"/>
      <c r="FN17" s="476"/>
      <c r="FO17" s="476"/>
      <c r="FP17" s="476"/>
      <c r="FQ17" s="476"/>
      <c r="FR17" s="476"/>
      <c r="FS17" s="477"/>
      <c r="FT17" s="477"/>
      <c r="FU17" s="463"/>
      <c r="FV17" s="475"/>
      <c r="FW17" s="476"/>
      <c r="FX17" s="476"/>
      <c r="FY17" s="476"/>
      <c r="FZ17" s="476"/>
      <c r="GA17" s="476"/>
      <c r="GB17" s="476"/>
      <c r="GC17" s="476"/>
      <c r="GD17" s="476"/>
      <c r="GE17" s="476"/>
      <c r="GF17" s="476"/>
      <c r="GG17" s="476"/>
      <c r="GH17" s="476"/>
      <c r="GI17" s="477"/>
      <c r="GJ17" s="477"/>
      <c r="GK17" s="463"/>
      <c r="GL17" s="475"/>
      <c r="GM17" s="476"/>
      <c r="GN17" s="476"/>
      <c r="GO17" s="476"/>
      <c r="GP17" s="476"/>
      <c r="GQ17" s="476"/>
      <c r="GR17" s="476"/>
      <c r="GS17" s="476"/>
      <c r="GT17" s="476"/>
      <c r="GU17" s="476"/>
      <c r="GV17" s="476"/>
      <c r="GW17" s="476"/>
      <c r="GX17" s="476"/>
      <c r="GY17" s="477"/>
      <c r="GZ17" s="477"/>
      <c r="HA17" s="463"/>
      <c r="HB17" s="475"/>
      <c r="HC17" s="476"/>
      <c r="HD17" s="476"/>
      <c r="HE17" s="476"/>
      <c r="HF17" s="476"/>
      <c r="HG17" s="476"/>
      <c r="HH17" s="476"/>
      <c r="HI17" s="476"/>
      <c r="HJ17" s="476"/>
      <c r="HK17" s="476"/>
      <c r="HL17" s="476"/>
      <c r="HM17" s="476"/>
      <c r="HN17" s="476"/>
      <c r="HO17" s="477"/>
      <c r="HP17" s="477"/>
      <c r="HQ17" s="463"/>
      <c r="HR17" s="475"/>
      <c r="HS17" s="476"/>
      <c r="HT17" s="476"/>
      <c r="HU17" s="476"/>
      <c r="HV17" s="476"/>
      <c r="HW17" s="476"/>
      <c r="HX17" s="476"/>
      <c r="HY17" s="476"/>
      <c r="HZ17" s="476"/>
      <c r="IA17" s="476"/>
      <c r="IB17" s="476"/>
      <c r="IC17" s="476"/>
      <c r="ID17" s="476"/>
      <c r="IE17" s="477"/>
      <c r="IF17" s="477"/>
      <c r="IG17" s="463"/>
      <c r="IH17" s="475"/>
      <c r="II17" s="476"/>
      <c r="IJ17" s="476"/>
      <c r="IK17" s="476"/>
      <c r="IL17" s="476"/>
      <c r="IM17" s="476"/>
      <c r="IN17" s="476"/>
      <c r="IO17" s="476"/>
      <c r="IP17" s="476"/>
      <c r="IQ17" s="476"/>
      <c r="IR17" s="476"/>
      <c r="IS17" s="476"/>
      <c r="IT17" s="476"/>
      <c r="IU17" s="477"/>
      <c r="IV17" s="477"/>
      <c r="IW17" s="463"/>
      <c r="IX17" s="475"/>
      <c r="IY17" s="476"/>
      <c r="IZ17" s="476"/>
      <c r="JA17" s="476"/>
      <c r="JB17" s="476"/>
      <c r="JC17" s="476"/>
      <c r="JD17" s="476"/>
      <c r="JE17" s="476"/>
      <c r="JF17" s="476"/>
      <c r="JG17" s="476"/>
      <c r="JH17" s="476"/>
      <c r="JI17" s="476"/>
      <c r="JJ17" s="476"/>
      <c r="JK17" s="477"/>
      <c r="JL17" s="477"/>
      <c r="JM17" s="463"/>
      <c r="JN17" s="475"/>
      <c r="JO17" s="476"/>
      <c r="JP17" s="476"/>
      <c r="JQ17" s="476"/>
      <c r="JR17" s="476"/>
      <c r="JS17" s="476"/>
      <c r="JT17" s="476"/>
      <c r="JU17" s="476"/>
      <c r="JV17" s="476"/>
      <c r="JW17" s="476"/>
      <c r="JX17" s="476"/>
      <c r="JY17" s="476"/>
      <c r="JZ17" s="476"/>
      <c r="KA17" s="477"/>
      <c r="KB17" s="477"/>
      <c r="KC17" s="463"/>
      <c r="KD17" s="475"/>
      <c r="KE17" s="476"/>
      <c r="KF17" s="476"/>
      <c r="KG17" s="476"/>
      <c r="KH17" s="476"/>
      <c r="KI17" s="476"/>
      <c r="KJ17" s="476"/>
      <c r="KK17" s="476"/>
      <c r="KL17" s="476"/>
      <c r="KM17" s="476"/>
      <c r="KN17" s="476"/>
      <c r="KO17" s="476"/>
      <c r="KP17" s="476"/>
      <c r="KQ17" s="477"/>
      <c r="KR17" s="477"/>
      <c r="KS17" s="463"/>
      <c r="KT17" s="475"/>
      <c r="KU17" s="476"/>
      <c r="KV17" s="476"/>
      <c r="KW17" s="476"/>
      <c r="KX17" s="476"/>
      <c r="KY17" s="476"/>
      <c r="KZ17" s="476"/>
      <c r="LA17" s="476"/>
      <c r="LB17" s="476"/>
      <c r="LC17" s="476"/>
      <c r="LD17" s="476"/>
      <c r="LE17" s="476"/>
      <c r="LF17" s="476"/>
      <c r="LG17" s="477"/>
      <c r="LH17" s="477"/>
      <c r="LI17" s="463"/>
      <c r="LJ17" s="475"/>
      <c r="LK17" s="476"/>
      <c r="LL17" s="476"/>
      <c r="LM17" s="476"/>
      <c r="LN17" s="476"/>
      <c r="LO17" s="476"/>
      <c r="LP17" s="476"/>
      <c r="LQ17" s="476"/>
      <c r="LR17" s="476"/>
      <c r="LS17" s="476"/>
      <c r="LT17" s="476"/>
      <c r="LU17" s="476"/>
      <c r="LV17" s="476"/>
      <c r="LW17" s="477"/>
      <c r="LX17" s="477"/>
      <c r="LY17" s="463"/>
      <c r="LZ17" s="475"/>
      <c r="MA17" s="476"/>
      <c r="MB17" s="476"/>
      <c r="MC17" s="476"/>
      <c r="MD17" s="476"/>
      <c r="ME17" s="476"/>
      <c r="MF17" s="476"/>
      <c r="MG17" s="476"/>
      <c r="MH17" s="476"/>
      <c r="MI17" s="476"/>
      <c r="MJ17" s="476"/>
      <c r="MK17" s="476"/>
      <c r="ML17" s="476"/>
      <c r="MM17" s="477"/>
      <c r="MN17" s="477"/>
      <c r="MO17" s="463"/>
      <c r="MP17" s="475"/>
      <c r="MQ17" s="476"/>
      <c r="MR17" s="476"/>
      <c r="MS17" s="476"/>
      <c r="MT17" s="476"/>
      <c r="MU17" s="476"/>
      <c r="MV17" s="476"/>
      <c r="MW17" s="476"/>
      <c r="MX17" s="476"/>
      <c r="MY17" s="476"/>
      <c r="MZ17" s="476"/>
      <c r="NA17" s="476"/>
      <c r="NB17" s="476"/>
      <c r="NC17" s="477"/>
      <c r="ND17" s="477"/>
      <c r="NE17" s="463"/>
      <c r="NF17" s="475"/>
      <c r="NG17" s="476"/>
      <c r="NH17" s="476"/>
      <c r="NI17" s="476"/>
      <c r="NJ17" s="476"/>
      <c r="NK17" s="476"/>
      <c r="NL17" s="476"/>
      <c r="NM17" s="476"/>
      <c r="NN17" s="476"/>
      <c r="NO17" s="476"/>
      <c r="NP17" s="476"/>
      <c r="NQ17" s="476"/>
      <c r="NR17" s="476"/>
      <c r="NS17" s="477"/>
      <c r="NT17" s="477"/>
      <c r="NU17" s="463"/>
      <c r="NV17" s="475"/>
      <c r="NW17" s="476"/>
      <c r="NX17" s="476"/>
      <c r="NY17" s="476"/>
      <c r="NZ17" s="476"/>
      <c r="OA17" s="476"/>
      <c r="OB17" s="476"/>
      <c r="OC17" s="476"/>
      <c r="OD17" s="476"/>
      <c r="OE17" s="476"/>
      <c r="OF17" s="476"/>
      <c r="OG17" s="476"/>
      <c r="OH17" s="476"/>
      <c r="OI17" s="477"/>
      <c r="OJ17" s="477"/>
      <c r="OK17" s="463"/>
      <c r="OL17" s="475"/>
      <c r="OM17" s="476"/>
      <c r="ON17" s="476"/>
      <c r="OO17" s="476"/>
      <c r="OP17" s="476"/>
      <c r="OQ17" s="476"/>
      <c r="OR17" s="476"/>
      <c r="OS17" s="476"/>
      <c r="OT17" s="476"/>
      <c r="OU17" s="476"/>
      <c r="OV17" s="476"/>
      <c r="OW17" s="476"/>
      <c r="OX17" s="476"/>
      <c r="OY17" s="477"/>
      <c r="OZ17" s="477"/>
      <c r="PA17" s="463"/>
      <c r="PB17" s="475"/>
      <c r="PC17" s="476"/>
      <c r="PD17" s="476"/>
      <c r="PE17" s="476"/>
      <c r="PF17" s="476"/>
      <c r="PG17" s="476"/>
      <c r="PH17" s="476"/>
      <c r="PI17" s="476"/>
      <c r="PJ17" s="476"/>
      <c r="PK17" s="476"/>
      <c r="PL17" s="476"/>
      <c r="PM17" s="476"/>
      <c r="PN17" s="476"/>
      <c r="PO17" s="477"/>
      <c r="PP17" s="477"/>
      <c r="PQ17" s="463"/>
      <c r="PR17" s="475"/>
      <c r="PS17" s="476"/>
      <c r="PT17" s="476"/>
      <c r="PU17" s="476"/>
      <c r="PV17" s="476"/>
      <c r="PW17" s="476"/>
      <c r="PX17" s="476"/>
      <c r="PY17" s="476"/>
      <c r="PZ17" s="476"/>
      <c r="QA17" s="476"/>
      <c r="QB17" s="476"/>
      <c r="QC17" s="476"/>
      <c r="QD17" s="476"/>
      <c r="QE17" s="477"/>
      <c r="QF17" s="477"/>
      <c r="QG17" s="463"/>
      <c r="QH17" s="475"/>
      <c r="QI17" s="476"/>
      <c r="QJ17" s="476"/>
      <c r="QK17" s="476"/>
      <c r="QL17" s="476"/>
      <c r="QM17" s="476"/>
      <c r="QN17" s="476"/>
      <c r="QO17" s="476"/>
      <c r="QP17" s="476"/>
      <c r="QQ17" s="476"/>
      <c r="QR17" s="476"/>
      <c r="QS17" s="476"/>
      <c r="QT17" s="476"/>
      <c r="QU17" s="477"/>
      <c r="QV17" s="477"/>
      <c r="QW17" s="463"/>
      <c r="QX17" s="475"/>
      <c r="QY17" s="476"/>
      <c r="QZ17" s="476"/>
      <c r="RA17" s="476"/>
      <c r="RB17" s="476"/>
      <c r="RC17" s="476"/>
      <c r="RD17" s="476"/>
      <c r="RE17" s="476"/>
      <c r="RF17" s="476"/>
      <c r="RG17" s="476"/>
      <c r="RH17" s="476"/>
      <c r="RI17" s="476"/>
      <c r="RJ17" s="476"/>
      <c r="RK17" s="477"/>
      <c r="RL17" s="477"/>
      <c r="RM17" s="463"/>
      <c r="RN17" s="475"/>
      <c r="RO17" s="476"/>
      <c r="RP17" s="476"/>
      <c r="RQ17" s="476"/>
      <c r="RR17" s="476"/>
      <c r="RS17" s="476"/>
      <c r="RT17" s="476"/>
      <c r="RU17" s="476"/>
      <c r="RV17" s="476"/>
      <c r="RW17" s="476"/>
      <c r="RX17" s="476"/>
      <c r="RY17" s="476"/>
      <c r="RZ17" s="476"/>
      <c r="SA17" s="477"/>
      <c r="SB17" s="477"/>
      <c r="SC17" s="463"/>
      <c r="SD17" s="475"/>
      <c r="SE17" s="476"/>
      <c r="SF17" s="476"/>
      <c r="SG17" s="476"/>
      <c r="SH17" s="476"/>
      <c r="SI17" s="476"/>
      <c r="SJ17" s="476"/>
      <c r="SK17" s="476"/>
      <c r="SL17" s="476"/>
      <c r="SM17" s="476"/>
      <c r="SN17" s="476"/>
      <c r="SO17" s="476"/>
      <c r="SP17" s="476"/>
      <c r="SQ17" s="477"/>
      <c r="SR17" s="477"/>
      <c r="SS17" s="463"/>
      <c r="ST17" s="475"/>
      <c r="SU17" s="476"/>
      <c r="SV17" s="476"/>
      <c r="SW17" s="476"/>
      <c r="SX17" s="476"/>
      <c r="SY17" s="476"/>
      <c r="SZ17" s="476"/>
      <c r="TA17" s="476"/>
      <c r="TB17" s="476"/>
      <c r="TC17" s="476"/>
      <c r="TD17" s="476"/>
      <c r="TE17" s="476"/>
      <c r="TF17" s="476"/>
      <c r="TG17" s="477"/>
      <c r="TH17" s="477"/>
      <c r="TI17" s="463"/>
      <c r="TJ17" s="475"/>
      <c r="TK17" s="476"/>
      <c r="TL17" s="476"/>
      <c r="TM17" s="476"/>
      <c r="TN17" s="476"/>
      <c r="TO17" s="476"/>
      <c r="TP17" s="476"/>
      <c r="TQ17" s="476"/>
      <c r="TR17" s="476"/>
      <c r="TS17" s="476"/>
      <c r="TT17" s="476"/>
      <c r="TU17" s="476"/>
      <c r="TV17" s="476"/>
      <c r="TW17" s="477"/>
      <c r="TX17" s="477"/>
      <c r="TY17" s="463"/>
      <c r="TZ17" s="475"/>
      <c r="UA17" s="476"/>
      <c r="UB17" s="476"/>
      <c r="UC17" s="476"/>
      <c r="UD17" s="476"/>
      <c r="UE17" s="476"/>
      <c r="UF17" s="476"/>
      <c r="UG17" s="476"/>
      <c r="UH17" s="476"/>
      <c r="UI17" s="476"/>
      <c r="UJ17" s="476"/>
      <c r="UK17" s="476"/>
      <c r="UL17" s="476"/>
      <c r="UM17" s="477"/>
      <c r="UN17" s="477"/>
      <c r="UO17" s="463"/>
      <c r="UP17" s="475"/>
      <c r="UQ17" s="476"/>
      <c r="UR17" s="476"/>
      <c r="US17" s="476"/>
      <c r="UT17" s="476"/>
      <c r="UU17" s="476"/>
      <c r="UV17" s="476"/>
      <c r="UW17" s="476"/>
      <c r="UX17" s="476"/>
      <c r="UY17" s="476"/>
      <c r="UZ17" s="476"/>
      <c r="VA17" s="476"/>
      <c r="VB17" s="476"/>
      <c r="VC17" s="477"/>
      <c r="VD17" s="477"/>
      <c r="VE17" s="463"/>
      <c r="VF17" s="475"/>
      <c r="VG17" s="476"/>
      <c r="VH17" s="476"/>
      <c r="VI17" s="476"/>
      <c r="VJ17" s="476"/>
      <c r="VK17" s="476"/>
      <c r="VL17" s="476"/>
      <c r="VM17" s="476"/>
      <c r="VN17" s="476"/>
      <c r="VO17" s="476"/>
      <c r="VP17" s="476"/>
      <c r="VQ17" s="476"/>
      <c r="VR17" s="476"/>
      <c r="VS17" s="477"/>
      <c r="VT17" s="477"/>
      <c r="VU17" s="463"/>
      <c r="VV17" s="475"/>
      <c r="VW17" s="476"/>
      <c r="VX17" s="476"/>
      <c r="VY17" s="476"/>
      <c r="VZ17" s="476"/>
      <c r="WA17" s="476"/>
      <c r="WB17" s="476"/>
      <c r="WC17" s="476"/>
      <c r="WD17" s="476"/>
      <c r="WE17" s="476"/>
      <c r="WF17" s="476"/>
      <c r="WG17" s="476"/>
      <c r="WH17" s="476"/>
      <c r="WI17" s="477"/>
      <c r="WJ17" s="477"/>
      <c r="WK17" s="463"/>
      <c r="WL17" s="475"/>
      <c r="WM17" s="476"/>
      <c r="WN17" s="476"/>
      <c r="WO17" s="476"/>
      <c r="WP17" s="476"/>
      <c r="WQ17" s="476"/>
      <c r="WR17" s="476"/>
      <c r="WS17" s="476"/>
      <c r="WT17" s="476"/>
      <c r="WU17" s="476"/>
      <c r="WV17" s="476"/>
      <c r="WW17" s="476"/>
      <c r="WX17" s="476"/>
      <c r="WY17" s="477"/>
      <c r="WZ17" s="477"/>
      <c r="XA17" s="463"/>
      <c r="XB17" s="475"/>
      <c r="XC17" s="476"/>
      <c r="XD17" s="476"/>
      <c r="XE17" s="476"/>
      <c r="XF17" s="476"/>
      <c r="XG17" s="476"/>
      <c r="XH17" s="476"/>
      <c r="XI17" s="476"/>
      <c r="XJ17" s="476"/>
      <c r="XK17" s="476"/>
      <c r="XL17" s="476"/>
      <c r="XM17" s="476"/>
      <c r="XN17" s="476"/>
      <c r="XO17" s="477"/>
      <c r="XP17" s="477"/>
      <c r="XQ17" s="463"/>
      <c r="XR17" s="475"/>
      <c r="XS17" s="476"/>
      <c r="XT17" s="476"/>
      <c r="XU17" s="476"/>
      <c r="XV17" s="476"/>
      <c r="XW17" s="476"/>
      <c r="XX17" s="476"/>
      <c r="XY17" s="476"/>
      <c r="XZ17" s="476"/>
      <c r="YA17" s="476"/>
      <c r="YB17" s="476"/>
      <c r="YC17" s="476"/>
      <c r="YD17" s="476"/>
      <c r="YE17" s="477"/>
      <c r="YF17" s="477"/>
      <c r="YG17" s="463"/>
      <c r="YH17" s="475"/>
      <c r="YI17" s="476"/>
      <c r="YJ17" s="476"/>
      <c r="YK17" s="476"/>
      <c r="YL17" s="476"/>
      <c r="YM17" s="476"/>
      <c r="YN17" s="476"/>
      <c r="YO17" s="476"/>
      <c r="YP17" s="476"/>
      <c r="YQ17" s="476"/>
      <c r="YR17" s="476"/>
      <c r="YS17" s="476"/>
      <c r="YT17" s="476"/>
      <c r="YU17" s="477"/>
      <c r="YV17" s="477"/>
      <c r="YW17" s="463"/>
      <c r="YX17" s="475"/>
      <c r="YY17" s="476"/>
      <c r="YZ17" s="476"/>
      <c r="ZA17" s="476"/>
      <c r="ZB17" s="476"/>
      <c r="ZC17" s="476"/>
      <c r="ZD17" s="476"/>
      <c r="ZE17" s="476"/>
      <c r="ZF17" s="476"/>
      <c r="ZG17" s="476"/>
      <c r="ZH17" s="476"/>
      <c r="ZI17" s="476"/>
      <c r="ZJ17" s="476"/>
      <c r="ZK17" s="477"/>
      <c r="ZL17" s="477"/>
      <c r="ZM17" s="463"/>
      <c r="ZN17" s="475"/>
      <c r="ZO17" s="476"/>
      <c r="ZP17" s="476"/>
      <c r="ZQ17" s="476"/>
      <c r="ZR17" s="476"/>
      <c r="ZS17" s="476"/>
      <c r="ZT17" s="476"/>
      <c r="ZU17" s="476"/>
      <c r="ZV17" s="476"/>
      <c r="ZW17" s="476"/>
      <c r="ZX17" s="476"/>
      <c r="ZY17" s="476"/>
      <c r="ZZ17" s="476"/>
      <c r="AAA17" s="477"/>
      <c r="AAB17" s="477"/>
      <c r="AAC17" s="463"/>
      <c r="AAD17" s="475"/>
      <c r="AAE17" s="476"/>
      <c r="AAF17" s="476"/>
      <c r="AAG17" s="476"/>
      <c r="AAH17" s="476"/>
      <c r="AAI17" s="476"/>
      <c r="AAJ17" s="476"/>
      <c r="AAK17" s="476"/>
      <c r="AAL17" s="476"/>
      <c r="AAM17" s="476"/>
      <c r="AAN17" s="476"/>
      <c r="AAO17" s="476"/>
      <c r="AAP17" s="476"/>
      <c r="AAQ17" s="477"/>
      <c r="AAR17" s="477"/>
      <c r="AAS17" s="463"/>
      <c r="AAT17" s="475"/>
      <c r="AAU17" s="476"/>
      <c r="AAV17" s="476"/>
      <c r="AAW17" s="476"/>
      <c r="AAX17" s="476"/>
      <c r="AAY17" s="476"/>
      <c r="AAZ17" s="476"/>
      <c r="ABA17" s="476"/>
      <c r="ABB17" s="476"/>
      <c r="ABC17" s="476"/>
      <c r="ABD17" s="476"/>
      <c r="ABE17" s="476"/>
      <c r="ABF17" s="476"/>
      <c r="ABG17" s="477"/>
      <c r="ABH17" s="477"/>
      <c r="ABI17" s="463"/>
      <c r="ABJ17" s="475"/>
      <c r="ABK17" s="476"/>
      <c r="ABL17" s="476"/>
      <c r="ABM17" s="476"/>
      <c r="ABN17" s="476"/>
      <c r="ABO17" s="476"/>
      <c r="ABP17" s="476"/>
      <c r="ABQ17" s="476"/>
      <c r="ABR17" s="476"/>
      <c r="ABS17" s="476"/>
      <c r="ABT17" s="476"/>
      <c r="ABU17" s="476"/>
      <c r="ABV17" s="476"/>
      <c r="ABW17" s="477"/>
      <c r="ABX17" s="477"/>
      <c r="ABY17" s="463"/>
      <c r="ABZ17" s="475"/>
      <c r="ACA17" s="476"/>
      <c r="ACB17" s="476"/>
      <c r="ACC17" s="476"/>
      <c r="ACD17" s="476"/>
      <c r="ACE17" s="476"/>
      <c r="ACF17" s="476"/>
      <c r="ACG17" s="476"/>
      <c r="ACH17" s="476"/>
      <c r="ACI17" s="476"/>
      <c r="ACJ17" s="476"/>
      <c r="ACK17" s="476"/>
      <c r="ACL17" s="476"/>
      <c r="ACM17" s="477"/>
      <c r="ACN17" s="477"/>
      <c r="ACO17" s="463"/>
      <c r="ACP17" s="475"/>
      <c r="ACQ17" s="476"/>
      <c r="ACR17" s="476"/>
      <c r="ACS17" s="476"/>
      <c r="ACT17" s="476"/>
      <c r="ACU17" s="476"/>
      <c r="ACV17" s="476"/>
      <c r="ACW17" s="476"/>
      <c r="ACX17" s="476"/>
      <c r="ACY17" s="476"/>
      <c r="ACZ17" s="476"/>
      <c r="ADA17" s="476"/>
      <c r="ADB17" s="476"/>
      <c r="ADC17" s="477"/>
      <c r="ADD17" s="477"/>
      <c r="ADE17" s="463"/>
      <c r="ADF17" s="475"/>
      <c r="ADG17" s="476"/>
      <c r="ADH17" s="476"/>
      <c r="ADI17" s="476"/>
      <c r="ADJ17" s="476"/>
      <c r="ADK17" s="476"/>
      <c r="ADL17" s="476"/>
      <c r="ADM17" s="476"/>
      <c r="ADN17" s="476"/>
      <c r="ADO17" s="476"/>
      <c r="ADP17" s="476"/>
      <c r="ADQ17" s="476"/>
      <c r="ADR17" s="476"/>
      <c r="ADS17" s="477"/>
      <c r="ADT17" s="477"/>
      <c r="ADU17" s="463"/>
      <c r="ADV17" s="475"/>
      <c r="ADW17" s="476"/>
      <c r="ADX17" s="476"/>
      <c r="ADY17" s="476"/>
      <c r="ADZ17" s="476"/>
      <c r="AEA17" s="476"/>
      <c r="AEB17" s="476"/>
      <c r="AEC17" s="476"/>
      <c r="AED17" s="476"/>
      <c r="AEE17" s="476"/>
      <c r="AEF17" s="476"/>
      <c r="AEG17" s="476"/>
      <c r="AEH17" s="476"/>
      <c r="AEI17" s="477"/>
      <c r="AEJ17" s="477"/>
      <c r="AEK17" s="463"/>
      <c r="AEL17" s="475"/>
      <c r="AEM17" s="476"/>
      <c r="AEN17" s="476"/>
      <c r="AEO17" s="476"/>
      <c r="AEP17" s="476"/>
      <c r="AEQ17" s="476"/>
      <c r="AER17" s="476"/>
      <c r="AES17" s="476"/>
      <c r="AET17" s="476"/>
      <c r="AEU17" s="476"/>
      <c r="AEV17" s="476"/>
      <c r="AEW17" s="476"/>
      <c r="AEX17" s="476"/>
      <c r="AEY17" s="477"/>
      <c r="AEZ17" s="477"/>
      <c r="AFA17" s="463"/>
      <c r="AFB17" s="475"/>
      <c r="AFC17" s="476"/>
      <c r="AFD17" s="476"/>
      <c r="AFE17" s="476"/>
      <c r="AFF17" s="476"/>
      <c r="AFG17" s="476"/>
      <c r="AFH17" s="476"/>
      <c r="AFI17" s="476"/>
      <c r="AFJ17" s="476"/>
      <c r="AFK17" s="476"/>
      <c r="AFL17" s="476"/>
      <c r="AFM17" s="476"/>
      <c r="AFN17" s="476"/>
      <c r="AFO17" s="477"/>
      <c r="AFP17" s="477"/>
      <c r="AFQ17" s="463"/>
      <c r="AFR17" s="475"/>
      <c r="AFS17" s="476"/>
      <c r="AFT17" s="476"/>
      <c r="AFU17" s="476"/>
      <c r="AFV17" s="476"/>
      <c r="AFW17" s="476"/>
      <c r="AFX17" s="476"/>
      <c r="AFY17" s="476"/>
      <c r="AFZ17" s="476"/>
      <c r="AGA17" s="476"/>
      <c r="AGB17" s="476"/>
      <c r="AGC17" s="476"/>
      <c r="AGD17" s="476"/>
      <c r="AGE17" s="477"/>
      <c r="AGF17" s="477"/>
      <c r="AGG17" s="463"/>
      <c r="AGH17" s="475"/>
      <c r="AGI17" s="476"/>
      <c r="AGJ17" s="476"/>
      <c r="AGK17" s="476"/>
      <c r="AGL17" s="476"/>
      <c r="AGM17" s="476"/>
      <c r="AGN17" s="476"/>
      <c r="AGO17" s="476"/>
      <c r="AGP17" s="476"/>
      <c r="AGQ17" s="476"/>
      <c r="AGR17" s="476"/>
      <c r="AGS17" s="476"/>
      <c r="AGT17" s="476"/>
      <c r="AGU17" s="477"/>
      <c r="AGV17" s="477"/>
      <c r="AGW17" s="463"/>
      <c r="AGX17" s="475"/>
      <c r="AGY17" s="476"/>
      <c r="AGZ17" s="476"/>
      <c r="AHA17" s="476"/>
      <c r="AHB17" s="476"/>
      <c r="AHC17" s="476"/>
      <c r="AHD17" s="476"/>
      <c r="AHE17" s="476"/>
      <c r="AHF17" s="476"/>
      <c r="AHG17" s="476"/>
      <c r="AHH17" s="476"/>
      <c r="AHI17" s="476"/>
      <c r="AHJ17" s="476"/>
      <c r="AHK17" s="477"/>
      <c r="AHL17" s="477"/>
      <c r="AHM17" s="463"/>
      <c r="AHN17" s="475"/>
      <c r="AHO17" s="476"/>
      <c r="AHP17" s="476"/>
      <c r="AHQ17" s="476"/>
      <c r="AHR17" s="476"/>
      <c r="AHS17" s="476"/>
      <c r="AHT17" s="476"/>
      <c r="AHU17" s="476"/>
      <c r="AHV17" s="476"/>
      <c r="AHW17" s="476"/>
      <c r="AHX17" s="476"/>
      <c r="AHY17" s="476"/>
      <c r="AHZ17" s="476"/>
      <c r="AIA17" s="477"/>
      <c r="AIB17" s="477"/>
      <c r="AIC17" s="463"/>
      <c r="AID17" s="475"/>
      <c r="AIE17" s="476"/>
      <c r="AIF17" s="476"/>
      <c r="AIG17" s="476"/>
      <c r="AIH17" s="476"/>
      <c r="AII17" s="476"/>
      <c r="AIJ17" s="476"/>
      <c r="AIK17" s="476"/>
      <c r="AIL17" s="476"/>
      <c r="AIM17" s="476"/>
      <c r="AIN17" s="476"/>
      <c r="AIO17" s="476"/>
      <c r="AIP17" s="476"/>
      <c r="AIQ17" s="477"/>
      <c r="AIR17" s="477"/>
      <c r="AIS17" s="463"/>
      <c r="AIT17" s="475"/>
      <c r="AIU17" s="476"/>
      <c r="AIV17" s="476"/>
      <c r="AIW17" s="476"/>
      <c r="AIX17" s="476"/>
      <c r="AIY17" s="476"/>
      <c r="AIZ17" s="476"/>
      <c r="AJA17" s="476"/>
      <c r="AJB17" s="476"/>
      <c r="AJC17" s="476"/>
      <c r="AJD17" s="476"/>
      <c r="AJE17" s="476"/>
      <c r="AJF17" s="476"/>
      <c r="AJG17" s="477"/>
      <c r="AJH17" s="477"/>
      <c r="AJI17" s="463"/>
      <c r="AJJ17" s="475"/>
      <c r="AJK17" s="476"/>
      <c r="AJL17" s="476"/>
      <c r="AJM17" s="476"/>
      <c r="AJN17" s="476"/>
      <c r="AJO17" s="476"/>
      <c r="AJP17" s="476"/>
      <c r="AJQ17" s="476"/>
      <c r="AJR17" s="476"/>
      <c r="AJS17" s="476"/>
      <c r="AJT17" s="476"/>
      <c r="AJU17" s="476"/>
      <c r="AJV17" s="476"/>
      <c r="AJW17" s="477"/>
      <c r="AJX17" s="477"/>
      <c r="AJY17" s="463"/>
      <c r="AJZ17" s="475"/>
      <c r="AKA17" s="476"/>
      <c r="AKB17" s="476"/>
      <c r="AKC17" s="476"/>
      <c r="AKD17" s="476"/>
      <c r="AKE17" s="476"/>
      <c r="AKF17" s="476"/>
      <c r="AKG17" s="476"/>
      <c r="AKH17" s="476"/>
      <c r="AKI17" s="476"/>
      <c r="AKJ17" s="476"/>
      <c r="AKK17" s="476"/>
      <c r="AKL17" s="476"/>
      <c r="AKM17" s="477"/>
      <c r="AKN17" s="477"/>
      <c r="AKO17" s="463"/>
      <c r="AKP17" s="475"/>
      <c r="AKQ17" s="476"/>
      <c r="AKR17" s="476"/>
      <c r="AKS17" s="476"/>
      <c r="AKT17" s="476"/>
      <c r="AKU17" s="476"/>
      <c r="AKV17" s="476"/>
      <c r="AKW17" s="476"/>
      <c r="AKX17" s="476"/>
      <c r="AKY17" s="476"/>
      <c r="AKZ17" s="476"/>
      <c r="ALA17" s="476"/>
      <c r="ALB17" s="476"/>
      <c r="ALC17" s="477"/>
      <c r="ALD17" s="477"/>
      <c r="ALE17" s="463"/>
      <c r="ALF17" s="475"/>
      <c r="ALG17" s="476"/>
      <c r="ALH17" s="476"/>
      <c r="ALI17" s="476"/>
      <c r="ALJ17" s="476"/>
      <c r="ALK17" s="476"/>
      <c r="ALL17" s="476"/>
      <c r="ALM17" s="476"/>
      <c r="ALN17" s="476"/>
      <c r="ALO17" s="476"/>
      <c r="ALP17" s="476"/>
      <c r="ALQ17" s="476"/>
      <c r="ALR17" s="476"/>
      <c r="ALS17" s="477"/>
      <c r="ALT17" s="477"/>
      <c r="ALU17" s="463"/>
      <c r="ALV17" s="475"/>
      <c r="ALW17" s="476"/>
      <c r="ALX17" s="476"/>
      <c r="ALY17" s="476"/>
      <c r="ALZ17" s="476"/>
      <c r="AMA17" s="476"/>
      <c r="AMB17" s="476"/>
      <c r="AMC17" s="476"/>
      <c r="AMD17" s="476"/>
      <c r="AME17" s="476"/>
      <c r="AMF17" s="476"/>
      <c r="AMG17" s="476"/>
      <c r="AMH17" s="476"/>
      <c r="AMI17" s="477"/>
      <c r="AMJ17" s="477"/>
      <c r="AMK17" s="463"/>
      <c r="AML17" s="475"/>
      <c r="AMM17" s="476"/>
      <c r="AMN17" s="476"/>
      <c r="AMO17" s="476"/>
      <c r="AMP17" s="476"/>
      <c r="AMQ17" s="476"/>
      <c r="AMR17" s="476"/>
      <c r="AMS17" s="476"/>
      <c r="AMT17" s="476"/>
      <c r="AMU17" s="476"/>
      <c r="AMV17" s="476"/>
      <c r="AMW17" s="476"/>
      <c r="AMX17" s="476"/>
      <c r="AMY17" s="477"/>
      <c r="AMZ17" s="477"/>
      <c r="ANA17" s="463"/>
      <c r="ANB17" s="475"/>
      <c r="ANC17" s="476"/>
      <c r="AND17" s="476"/>
      <c r="ANE17" s="476"/>
      <c r="ANF17" s="476"/>
      <c r="ANG17" s="476"/>
      <c r="ANH17" s="476"/>
      <c r="ANI17" s="476"/>
      <c r="ANJ17" s="476"/>
      <c r="ANK17" s="476"/>
      <c r="ANL17" s="476"/>
      <c r="ANM17" s="476"/>
      <c r="ANN17" s="476"/>
      <c r="ANO17" s="477"/>
      <c r="ANP17" s="477"/>
      <c r="ANQ17" s="463"/>
      <c r="ANR17" s="475"/>
      <c r="ANS17" s="476"/>
      <c r="ANT17" s="476"/>
      <c r="ANU17" s="476"/>
      <c r="ANV17" s="476"/>
      <c r="ANW17" s="476"/>
      <c r="ANX17" s="476"/>
      <c r="ANY17" s="476"/>
      <c r="ANZ17" s="476"/>
      <c r="AOA17" s="476"/>
      <c r="AOB17" s="476"/>
      <c r="AOC17" s="476"/>
      <c r="AOD17" s="476"/>
      <c r="AOE17" s="477"/>
      <c r="AOF17" s="477"/>
      <c r="AOG17" s="463"/>
      <c r="AOH17" s="475"/>
      <c r="AOI17" s="476"/>
      <c r="AOJ17" s="476"/>
      <c r="AOK17" s="476"/>
      <c r="AOL17" s="476"/>
      <c r="AOM17" s="476"/>
      <c r="AON17" s="476"/>
      <c r="AOO17" s="476"/>
      <c r="AOP17" s="476"/>
      <c r="AOQ17" s="476"/>
      <c r="AOR17" s="476"/>
      <c r="AOS17" s="476"/>
      <c r="AOT17" s="476"/>
      <c r="AOU17" s="477"/>
      <c r="AOV17" s="477"/>
      <c r="AOW17" s="463"/>
      <c r="AOX17" s="475"/>
      <c r="AOY17" s="476"/>
      <c r="AOZ17" s="476"/>
      <c r="APA17" s="476"/>
      <c r="APB17" s="476"/>
      <c r="APC17" s="476"/>
      <c r="APD17" s="476"/>
      <c r="APE17" s="476"/>
      <c r="APF17" s="476"/>
      <c r="APG17" s="476"/>
      <c r="APH17" s="476"/>
      <c r="API17" s="476"/>
      <c r="APJ17" s="476"/>
      <c r="APK17" s="477"/>
      <c r="APL17" s="477"/>
      <c r="APM17" s="463"/>
      <c r="APN17" s="475"/>
      <c r="APO17" s="476"/>
      <c r="APP17" s="476"/>
      <c r="APQ17" s="476"/>
      <c r="APR17" s="476"/>
      <c r="APS17" s="476"/>
      <c r="APT17" s="476"/>
      <c r="APU17" s="476"/>
      <c r="APV17" s="476"/>
      <c r="APW17" s="476"/>
      <c r="APX17" s="476"/>
      <c r="APY17" s="476"/>
      <c r="APZ17" s="476"/>
      <c r="AQA17" s="477"/>
      <c r="AQB17" s="477"/>
      <c r="AQC17" s="463"/>
      <c r="AQD17" s="475"/>
      <c r="AQE17" s="476"/>
      <c r="AQF17" s="476"/>
      <c r="AQG17" s="476"/>
      <c r="AQH17" s="476"/>
      <c r="AQI17" s="476"/>
      <c r="AQJ17" s="476"/>
      <c r="AQK17" s="476"/>
      <c r="AQL17" s="476"/>
      <c r="AQM17" s="476"/>
      <c r="AQN17" s="476"/>
      <c r="AQO17" s="476"/>
      <c r="AQP17" s="476"/>
      <c r="AQQ17" s="477"/>
      <c r="AQR17" s="477"/>
      <c r="AQS17" s="463"/>
      <c r="AQT17" s="475"/>
      <c r="AQU17" s="476"/>
      <c r="AQV17" s="476"/>
      <c r="AQW17" s="476"/>
      <c r="AQX17" s="476"/>
      <c r="AQY17" s="476"/>
      <c r="AQZ17" s="476"/>
      <c r="ARA17" s="476"/>
      <c r="ARB17" s="476"/>
      <c r="ARC17" s="476"/>
      <c r="ARD17" s="476"/>
      <c r="ARE17" s="476"/>
      <c r="ARF17" s="476"/>
      <c r="ARG17" s="477"/>
      <c r="ARH17" s="477"/>
      <c r="ARI17" s="463"/>
      <c r="ARJ17" s="475"/>
      <c r="ARK17" s="476"/>
      <c r="ARL17" s="476"/>
      <c r="ARM17" s="476"/>
      <c r="ARN17" s="476"/>
      <c r="ARO17" s="476"/>
      <c r="ARP17" s="476"/>
      <c r="ARQ17" s="476"/>
      <c r="ARR17" s="476"/>
      <c r="ARS17" s="476"/>
      <c r="ART17" s="476"/>
      <c r="ARU17" s="476"/>
      <c r="ARV17" s="476"/>
      <c r="ARW17" s="477"/>
      <c r="ARX17" s="477"/>
      <c r="ARY17" s="463"/>
      <c r="ARZ17" s="475"/>
      <c r="ASA17" s="476"/>
      <c r="ASB17" s="476"/>
      <c r="ASC17" s="476"/>
      <c r="ASD17" s="476"/>
      <c r="ASE17" s="476"/>
      <c r="ASF17" s="476"/>
      <c r="ASG17" s="476"/>
      <c r="ASH17" s="476"/>
      <c r="ASI17" s="476"/>
      <c r="ASJ17" s="476"/>
      <c r="ASK17" s="476"/>
      <c r="ASL17" s="476"/>
      <c r="ASM17" s="477"/>
      <c r="ASN17" s="477"/>
      <c r="ASO17" s="463"/>
      <c r="ASP17" s="475"/>
      <c r="ASQ17" s="476"/>
      <c r="ASR17" s="476"/>
      <c r="ASS17" s="476"/>
      <c r="AST17" s="476"/>
      <c r="ASU17" s="476"/>
      <c r="ASV17" s="476"/>
      <c r="ASW17" s="476"/>
      <c r="ASX17" s="476"/>
      <c r="ASY17" s="476"/>
      <c r="ASZ17" s="476"/>
      <c r="ATA17" s="476"/>
      <c r="ATB17" s="476"/>
      <c r="ATC17" s="477"/>
      <c r="ATD17" s="477"/>
      <c r="ATE17" s="463"/>
      <c r="ATF17" s="475"/>
      <c r="ATG17" s="476"/>
      <c r="ATH17" s="476"/>
      <c r="ATI17" s="476"/>
      <c r="ATJ17" s="476"/>
      <c r="ATK17" s="476"/>
      <c r="ATL17" s="476"/>
      <c r="ATM17" s="476"/>
      <c r="ATN17" s="476"/>
      <c r="ATO17" s="476"/>
      <c r="ATP17" s="476"/>
      <c r="ATQ17" s="476"/>
      <c r="ATR17" s="476"/>
      <c r="ATS17" s="477"/>
      <c r="ATT17" s="477"/>
      <c r="ATU17" s="463"/>
      <c r="ATV17" s="475"/>
      <c r="ATW17" s="476"/>
      <c r="ATX17" s="476"/>
      <c r="ATY17" s="476"/>
      <c r="ATZ17" s="476"/>
      <c r="AUA17" s="476"/>
      <c r="AUB17" s="476"/>
      <c r="AUC17" s="476"/>
      <c r="AUD17" s="476"/>
      <c r="AUE17" s="476"/>
      <c r="AUF17" s="476"/>
      <c r="AUG17" s="476"/>
      <c r="AUH17" s="476"/>
      <c r="AUI17" s="477"/>
      <c r="AUJ17" s="477"/>
      <c r="AUK17" s="463"/>
      <c r="AUL17" s="475"/>
      <c r="AUM17" s="476"/>
      <c r="AUN17" s="476"/>
      <c r="AUO17" s="476"/>
      <c r="AUP17" s="476"/>
      <c r="AUQ17" s="476"/>
      <c r="AUR17" s="476"/>
      <c r="AUS17" s="476"/>
      <c r="AUT17" s="476"/>
      <c r="AUU17" s="476"/>
      <c r="AUV17" s="476"/>
      <c r="AUW17" s="476"/>
      <c r="AUX17" s="476"/>
      <c r="AUY17" s="477"/>
      <c r="AUZ17" s="477"/>
      <c r="AVA17" s="463"/>
      <c r="AVB17" s="475"/>
      <c r="AVC17" s="476"/>
      <c r="AVD17" s="476"/>
      <c r="AVE17" s="476"/>
      <c r="AVF17" s="476"/>
      <c r="AVG17" s="476"/>
      <c r="AVH17" s="476"/>
      <c r="AVI17" s="476"/>
      <c r="AVJ17" s="476"/>
      <c r="AVK17" s="476"/>
      <c r="AVL17" s="476"/>
      <c r="AVM17" s="476"/>
      <c r="AVN17" s="476"/>
      <c r="AVO17" s="477"/>
      <c r="AVP17" s="477"/>
      <c r="AVQ17" s="463"/>
      <c r="AVR17" s="475"/>
      <c r="AVS17" s="476"/>
      <c r="AVT17" s="476"/>
      <c r="AVU17" s="476"/>
      <c r="AVV17" s="476"/>
      <c r="AVW17" s="476"/>
      <c r="AVX17" s="476"/>
      <c r="AVY17" s="476"/>
      <c r="AVZ17" s="476"/>
      <c r="AWA17" s="476"/>
      <c r="AWB17" s="476"/>
      <c r="AWC17" s="476"/>
      <c r="AWD17" s="476"/>
      <c r="AWE17" s="477"/>
      <c r="AWF17" s="477"/>
      <c r="AWG17" s="463"/>
      <c r="AWH17" s="475"/>
      <c r="AWI17" s="476"/>
      <c r="AWJ17" s="476"/>
      <c r="AWK17" s="476"/>
      <c r="AWL17" s="476"/>
      <c r="AWM17" s="476"/>
      <c r="AWN17" s="476"/>
      <c r="AWO17" s="476"/>
      <c r="AWP17" s="476"/>
      <c r="AWQ17" s="476"/>
      <c r="AWR17" s="476"/>
      <c r="AWS17" s="476"/>
      <c r="AWT17" s="476"/>
      <c r="AWU17" s="477"/>
      <c r="AWV17" s="477"/>
      <c r="AWW17" s="463"/>
      <c r="AWX17" s="475"/>
      <c r="AWY17" s="476"/>
      <c r="AWZ17" s="476"/>
      <c r="AXA17" s="476"/>
      <c r="AXB17" s="476"/>
      <c r="AXC17" s="476"/>
      <c r="AXD17" s="476"/>
      <c r="AXE17" s="476"/>
      <c r="AXF17" s="476"/>
      <c r="AXG17" s="476"/>
      <c r="AXH17" s="476"/>
      <c r="AXI17" s="476"/>
      <c r="AXJ17" s="476"/>
      <c r="AXK17" s="477"/>
      <c r="AXL17" s="477"/>
      <c r="AXM17" s="463"/>
      <c r="AXN17" s="475"/>
      <c r="AXO17" s="476"/>
      <c r="AXP17" s="476"/>
      <c r="AXQ17" s="476"/>
      <c r="AXR17" s="476"/>
      <c r="AXS17" s="476"/>
      <c r="AXT17" s="476"/>
      <c r="AXU17" s="476"/>
      <c r="AXV17" s="476"/>
      <c r="AXW17" s="476"/>
      <c r="AXX17" s="476"/>
      <c r="AXY17" s="476"/>
      <c r="AXZ17" s="476"/>
      <c r="AYA17" s="477"/>
      <c r="AYB17" s="477"/>
      <c r="AYC17" s="463"/>
      <c r="AYD17" s="475"/>
      <c r="AYE17" s="476"/>
      <c r="AYF17" s="476"/>
      <c r="AYG17" s="476"/>
      <c r="AYH17" s="476"/>
      <c r="AYI17" s="476"/>
      <c r="AYJ17" s="476"/>
      <c r="AYK17" s="476"/>
      <c r="AYL17" s="476"/>
      <c r="AYM17" s="476"/>
      <c r="AYN17" s="476"/>
      <c r="AYO17" s="476"/>
      <c r="AYP17" s="476"/>
      <c r="AYQ17" s="477"/>
      <c r="AYR17" s="477"/>
      <c r="AYS17" s="463"/>
      <c r="AYT17" s="475"/>
      <c r="AYU17" s="476"/>
      <c r="AYV17" s="476"/>
      <c r="AYW17" s="476"/>
      <c r="AYX17" s="476"/>
      <c r="AYY17" s="476"/>
      <c r="AYZ17" s="476"/>
      <c r="AZA17" s="476"/>
      <c r="AZB17" s="476"/>
      <c r="AZC17" s="476"/>
      <c r="AZD17" s="476"/>
      <c r="AZE17" s="476"/>
      <c r="AZF17" s="476"/>
      <c r="AZG17" s="477"/>
      <c r="AZH17" s="477"/>
      <c r="AZI17" s="463"/>
      <c r="AZJ17" s="475"/>
      <c r="AZK17" s="476"/>
      <c r="AZL17" s="476"/>
      <c r="AZM17" s="476"/>
      <c r="AZN17" s="476"/>
      <c r="AZO17" s="476"/>
      <c r="AZP17" s="476"/>
      <c r="AZQ17" s="476"/>
      <c r="AZR17" s="476"/>
      <c r="AZS17" s="476"/>
      <c r="AZT17" s="476"/>
      <c r="AZU17" s="476"/>
      <c r="AZV17" s="476"/>
      <c r="AZW17" s="477"/>
      <c r="AZX17" s="477"/>
      <c r="AZY17" s="463"/>
      <c r="AZZ17" s="475"/>
      <c r="BAA17" s="476"/>
      <c r="BAB17" s="476"/>
      <c r="BAC17" s="476"/>
      <c r="BAD17" s="476"/>
      <c r="BAE17" s="476"/>
      <c r="BAF17" s="476"/>
      <c r="BAG17" s="476"/>
      <c r="BAH17" s="476"/>
      <c r="BAI17" s="476"/>
      <c r="BAJ17" s="476"/>
      <c r="BAK17" s="476"/>
      <c r="BAL17" s="476"/>
      <c r="BAM17" s="477"/>
      <c r="BAN17" s="477"/>
      <c r="BAO17" s="463"/>
      <c r="BAP17" s="475"/>
      <c r="BAQ17" s="476"/>
      <c r="BAR17" s="476"/>
      <c r="BAS17" s="476"/>
      <c r="BAT17" s="476"/>
      <c r="BAU17" s="476"/>
      <c r="BAV17" s="476"/>
      <c r="BAW17" s="476"/>
      <c r="BAX17" s="476"/>
      <c r="BAY17" s="476"/>
      <c r="BAZ17" s="476"/>
      <c r="BBA17" s="476"/>
      <c r="BBB17" s="476"/>
      <c r="BBC17" s="477"/>
      <c r="BBD17" s="477"/>
      <c r="BBE17" s="463"/>
      <c r="BBF17" s="475"/>
      <c r="BBG17" s="476"/>
      <c r="BBH17" s="476"/>
      <c r="BBI17" s="476"/>
      <c r="BBJ17" s="476"/>
      <c r="BBK17" s="476"/>
      <c r="BBL17" s="476"/>
      <c r="BBM17" s="476"/>
      <c r="BBN17" s="476"/>
      <c r="BBO17" s="476"/>
      <c r="BBP17" s="476"/>
      <c r="BBQ17" s="476"/>
      <c r="BBR17" s="476"/>
      <c r="BBS17" s="477"/>
      <c r="BBT17" s="477"/>
      <c r="BBU17" s="463"/>
      <c r="BBV17" s="475"/>
      <c r="BBW17" s="476"/>
      <c r="BBX17" s="476"/>
      <c r="BBY17" s="476"/>
      <c r="BBZ17" s="476"/>
      <c r="BCA17" s="476"/>
      <c r="BCB17" s="476"/>
      <c r="BCC17" s="476"/>
      <c r="BCD17" s="476"/>
      <c r="BCE17" s="476"/>
      <c r="BCF17" s="476"/>
      <c r="BCG17" s="476"/>
      <c r="BCH17" s="476"/>
      <c r="BCI17" s="477"/>
      <c r="BCJ17" s="477"/>
      <c r="BCK17" s="463"/>
      <c r="BCL17" s="475"/>
      <c r="BCM17" s="476"/>
      <c r="BCN17" s="476"/>
      <c r="BCO17" s="476"/>
      <c r="BCP17" s="476"/>
      <c r="BCQ17" s="476"/>
      <c r="BCR17" s="476"/>
      <c r="BCS17" s="476"/>
      <c r="BCT17" s="476"/>
      <c r="BCU17" s="476"/>
      <c r="BCV17" s="476"/>
      <c r="BCW17" s="476"/>
      <c r="BCX17" s="476"/>
      <c r="BCY17" s="477"/>
      <c r="BCZ17" s="477"/>
      <c r="BDA17" s="463"/>
      <c r="BDB17" s="475"/>
      <c r="BDC17" s="476"/>
      <c r="BDD17" s="476"/>
      <c r="BDE17" s="476"/>
      <c r="BDF17" s="476"/>
      <c r="BDG17" s="476"/>
      <c r="BDH17" s="476"/>
      <c r="BDI17" s="476"/>
      <c r="BDJ17" s="476"/>
      <c r="BDK17" s="476"/>
      <c r="BDL17" s="476"/>
      <c r="BDM17" s="476"/>
      <c r="BDN17" s="476"/>
      <c r="BDO17" s="477"/>
      <c r="BDP17" s="477"/>
      <c r="BDQ17" s="463"/>
      <c r="BDR17" s="475"/>
      <c r="BDS17" s="476"/>
      <c r="BDT17" s="476"/>
      <c r="BDU17" s="476"/>
      <c r="BDV17" s="476"/>
      <c r="BDW17" s="476"/>
      <c r="BDX17" s="476"/>
      <c r="BDY17" s="476"/>
      <c r="BDZ17" s="476"/>
      <c r="BEA17" s="476"/>
      <c r="BEB17" s="476"/>
      <c r="BEC17" s="476"/>
      <c r="BED17" s="476"/>
      <c r="BEE17" s="477"/>
      <c r="BEF17" s="477"/>
      <c r="BEG17" s="463"/>
      <c r="BEH17" s="475"/>
      <c r="BEI17" s="476"/>
      <c r="BEJ17" s="476"/>
      <c r="BEK17" s="476"/>
      <c r="BEL17" s="476"/>
      <c r="BEM17" s="476"/>
      <c r="BEN17" s="476"/>
      <c r="BEO17" s="476"/>
      <c r="BEP17" s="476"/>
      <c r="BEQ17" s="476"/>
      <c r="BER17" s="476"/>
      <c r="BES17" s="476"/>
      <c r="BET17" s="476"/>
      <c r="BEU17" s="477"/>
      <c r="BEV17" s="477"/>
      <c r="BEW17" s="463"/>
      <c r="BEX17" s="475"/>
      <c r="BEY17" s="476"/>
      <c r="BEZ17" s="476"/>
      <c r="BFA17" s="476"/>
      <c r="BFB17" s="476"/>
      <c r="BFC17" s="476"/>
      <c r="BFD17" s="476"/>
      <c r="BFE17" s="476"/>
      <c r="BFF17" s="476"/>
      <c r="BFG17" s="476"/>
      <c r="BFH17" s="476"/>
      <c r="BFI17" s="476"/>
      <c r="BFJ17" s="476"/>
      <c r="BFK17" s="477"/>
      <c r="BFL17" s="477"/>
      <c r="BFM17" s="463"/>
      <c r="BFN17" s="475"/>
      <c r="BFO17" s="476"/>
      <c r="BFP17" s="476"/>
      <c r="BFQ17" s="476"/>
      <c r="BFR17" s="476"/>
      <c r="BFS17" s="476"/>
      <c r="BFT17" s="476"/>
      <c r="BFU17" s="476"/>
      <c r="BFV17" s="476"/>
      <c r="BFW17" s="476"/>
      <c r="BFX17" s="476"/>
      <c r="BFY17" s="476"/>
      <c r="BFZ17" s="476"/>
      <c r="BGA17" s="477"/>
      <c r="BGB17" s="477"/>
      <c r="BGC17" s="463"/>
      <c r="BGD17" s="475"/>
      <c r="BGE17" s="476"/>
      <c r="BGF17" s="476"/>
      <c r="BGG17" s="476"/>
      <c r="BGH17" s="476"/>
      <c r="BGI17" s="476"/>
      <c r="BGJ17" s="476"/>
      <c r="BGK17" s="476"/>
      <c r="BGL17" s="476"/>
      <c r="BGM17" s="476"/>
      <c r="BGN17" s="476"/>
      <c r="BGO17" s="476"/>
      <c r="BGP17" s="476"/>
      <c r="BGQ17" s="477"/>
      <c r="BGR17" s="477"/>
      <c r="BGS17" s="463"/>
      <c r="BGT17" s="475"/>
      <c r="BGU17" s="476"/>
      <c r="BGV17" s="476"/>
      <c r="BGW17" s="476"/>
      <c r="BGX17" s="476"/>
      <c r="BGY17" s="476"/>
      <c r="BGZ17" s="476"/>
      <c r="BHA17" s="476"/>
      <c r="BHB17" s="476"/>
      <c r="BHC17" s="476"/>
      <c r="BHD17" s="476"/>
      <c r="BHE17" s="476"/>
      <c r="BHF17" s="476"/>
      <c r="BHG17" s="477"/>
      <c r="BHH17" s="477"/>
      <c r="BHI17" s="463"/>
      <c r="BHJ17" s="475"/>
      <c r="BHK17" s="476"/>
      <c r="BHL17" s="476"/>
      <c r="BHM17" s="476"/>
      <c r="BHN17" s="476"/>
      <c r="BHO17" s="476"/>
      <c r="BHP17" s="476"/>
      <c r="BHQ17" s="476"/>
      <c r="BHR17" s="476"/>
      <c r="BHS17" s="476"/>
      <c r="BHT17" s="476"/>
      <c r="BHU17" s="476"/>
      <c r="BHV17" s="476"/>
      <c r="BHW17" s="477"/>
      <c r="BHX17" s="477"/>
      <c r="BHY17" s="463"/>
      <c r="BHZ17" s="475"/>
      <c r="BIA17" s="476"/>
      <c r="BIB17" s="476"/>
      <c r="BIC17" s="476"/>
      <c r="BID17" s="476"/>
      <c r="BIE17" s="476"/>
      <c r="BIF17" s="476"/>
      <c r="BIG17" s="476"/>
      <c r="BIH17" s="476"/>
      <c r="BII17" s="476"/>
      <c r="BIJ17" s="476"/>
      <c r="BIK17" s="476"/>
      <c r="BIL17" s="476"/>
      <c r="BIM17" s="477"/>
      <c r="BIN17" s="477"/>
      <c r="BIO17" s="463"/>
      <c r="BIP17" s="475"/>
      <c r="BIQ17" s="476"/>
      <c r="BIR17" s="476"/>
      <c r="BIS17" s="476"/>
      <c r="BIT17" s="476"/>
      <c r="BIU17" s="476"/>
      <c r="BIV17" s="476"/>
      <c r="BIW17" s="476"/>
      <c r="BIX17" s="476"/>
      <c r="BIY17" s="476"/>
      <c r="BIZ17" s="476"/>
      <c r="BJA17" s="476"/>
      <c r="BJB17" s="476"/>
      <c r="BJC17" s="477"/>
      <c r="BJD17" s="477"/>
      <c r="BJE17" s="463"/>
      <c r="BJF17" s="475"/>
      <c r="BJG17" s="476"/>
      <c r="BJH17" s="476"/>
      <c r="BJI17" s="476"/>
      <c r="BJJ17" s="476"/>
      <c r="BJK17" s="476"/>
      <c r="BJL17" s="476"/>
      <c r="BJM17" s="476"/>
      <c r="BJN17" s="476"/>
      <c r="BJO17" s="476"/>
      <c r="BJP17" s="476"/>
      <c r="BJQ17" s="476"/>
      <c r="BJR17" s="476"/>
      <c r="BJS17" s="477"/>
      <c r="BJT17" s="477"/>
      <c r="BJU17" s="463"/>
      <c r="BJV17" s="475"/>
      <c r="BJW17" s="476"/>
      <c r="BJX17" s="476"/>
      <c r="BJY17" s="476"/>
      <c r="BJZ17" s="476"/>
      <c r="BKA17" s="476"/>
      <c r="BKB17" s="476"/>
      <c r="BKC17" s="476"/>
      <c r="BKD17" s="476"/>
      <c r="BKE17" s="476"/>
      <c r="BKF17" s="476"/>
      <c r="BKG17" s="476"/>
      <c r="BKH17" s="476"/>
      <c r="BKI17" s="477"/>
      <c r="BKJ17" s="477"/>
      <c r="BKK17" s="463"/>
      <c r="BKL17" s="475"/>
      <c r="BKM17" s="476"/>
      <c r="BKN17" s="476"/>
      <c r="BKO17" s="476"/>
      <c r="BKP17" s="476"/>
      <c r="BKQ17" s="476"/>
      <c r="BKR17" s="476"/>
      <c r="BKS17" s="476"/>
      <c r="BKT17" s="476"/>
      <c r="BKU17" s="476"/>
      <c r="BKV17" s="476"/>
      <c r="BKW17" s="476"/>
      <c r="BKX17" s="476"/>
      <c r="BKY17" s="477"/>
      <c r="BKZ17" s="477"/>
      <c r="BLA17" s="463"/>
      <c r="BLB17" s="475"/>
      <c r="BLC17" s="476"/>
      <c r="BLD17" s="476"/>
      <c r="BLE17" s="476"/>
      <c r="BLF17" s="476"/>
      <c r="BLG17" s="476"/>
      <c r="BLH17" s="476"/>
      <c r="BLI17" s="476"/>
      <c r="BLJ17" s="476"/>
      <c r="BLK17" s="476"/>
      <c r="BLL17" s="476"/>
      <c r="BLM17" s="476"/>
      <c r="BLN17" s="476"/>
      <c r="BLO17" s="477"/>
      <c r="BLP17" s="477"/>
      <c r="BLQ17" s="463"/>
      <c r="BLR17" s="475"/>
      <c r="BLS17" s="476"/>
      <c r="BLT17" s="476"/>
      <c r="BLU17" s="476"/>
      <c r="BLV17" s="476"/>
      <c r="BLW17" s="476"/>
      <c r="BLX17" s="476"/>
      <c r="BLY17" s="476"/>
      <c r="BLZ17" s="476"/>
      <c r="BMA17" s="476"/>
      <c r="BMB17" s="476"/>
      <c r="BMC17" s="476"/>
      <c r="BMD17" s="476"/>
      <c r="BME17" s="477"/>
      <c r="BMF17" s="477"/>
      <c r="BMG17" s="463"/>
      <c r="BMH17" s="475"/>
      <c r="BMI17" s="476"/>
      <c r="BMJ17" s="476"/>
      <c r="BMK17" s="476"/>
      <c r="BML17" s="476"/>
      <c r="BMM17" s="476"/>
      <c r="BMN17" s="476"/>
      <c r="BMO17" s="476"/>
      <c r="BMP17" s="476"/>
      <c r="BMQ17" s="476"/>
      <c r="BMR17" s="476"/>
      <c r="BMS17" s="476"/>
      <c r="BMT17" s="476"/>
      <c r="BMU17" s="477"/>
      <c r="BMV17" s="477"/>
      <c r="BMW17" s="463"/>
      <c r="BMX17" s="475"/>
      <c r="BMY17" s="476"/>
      <c r="BMZ17" s="476"/>
      <c r="BNA17" s="476"/>
      <c r="BNB17" s="476"/>
      <c r="BNC17" s="476"/>
      <c r="BND17" s="476"/>
      <c r="BNE17" s="476"/>
      <c r="BNF17" s="476"/>
      <c r="BNG17" s="476"/>
      <c r="BNH17" s="476"/>
      <c r="BNI17" s="476"/>
      <c r="BNJ17" s="476"/>
      <c r="BNK17" s="477"/>
      <c r="BNL17" s="477"/>
      <c r="BNM17" s="463"/>
      <c r="BNN17" s="475"/>
      <c r="BNO17" s="476"/>
      <c r="BNP17" s="476"/>
      <c r="BNQ17" s="476"/>
      <c r="BNR17" s="476"/>
      <c r="BNS17" s="476"/>
      <c r="BNT17" s="476"/>
      <c r="BNU17" s="476"/>
      <c r="BNV17" s="476"/>
      <c r="BNW17" s="476"/>
      <c r="BNX17" s="476"/>
      <c r="BNY17" s="476"/>
      <c r="BNZ17" s="476"/>
      <c r="BOA17" s="477"/>
      <c r="BOB17" s="477"/>
      <c r="BOC17" s="463"/>
      <c r="BOD17" s="475"/>
      <c r="BOE17" s="476"/>
      <c r="BOF17" s="476"/>
      <c r="BOG17" s="476"/>
      <c r="BOH17" s="476"/>
      <c r="BOI17" s="476"/>
      <c r="BOJ17" s="476"/>
      <c r="BOK17" s="476"/>
      <c r="BOL17" s="476"/>
      <c r="BOM17" s="476"/>
      <c r="BON17" s="476"/>
      <c r="BOO17" s="476"/>
      <c r="BOP17" s="476"/>
      <c r="BOQ17" s="477"/>
      <c r="BOR17" s="477"/>
      <c r="BOS17" s="463"/>
      <c r="BOT17" s="475"/>
      <c r="BOU17" s="476"/>
      <c r="BOV17" s="476"/>
      <c r="BOW17" s="476"/>
      <c r="BOX17" s="476"/>
      <c r="BOY17" s="476"/>
      <c r="BOZ17" s="476"/>
      <c r="BPA17" s="476"/>
      <c r="BPB17" s="476"/>
      <c r="BPC17" s="476"/>
      <c r="BPD17" s="476"/>
      <c r="BPE17" s="476"/>
      <c r="BPF17" s="476"/>
      <c r="BPG17" s="477"/>
      <c r="BPH17" s="477"/>
      <c r="BPI17" s="463"/>
      <c r="BPJ17" s="475"/>
      <c r="BPK17" s="476"/>
      <c r="BPL17" s="476"/>
      <c r="BPM17" s="476"/>
      <c r="BPN17" s="476"/>
      <c r="BPO17" s="476"/>
      <c r="BPP17" s="476"/>
      <c r="BPQ17" s="476"/>
      <c r="BPR17" s="476"/>
      <c r="BPS17" s="476"/>
      <c r="BPT17" s="476"/>
      <c r="BPU17" s="476"/>
      <c r="BPV17" s="476"/>
      <c r="BPW17" s="477"/>
      <c r="BPX17" s="477"/>
      <c r="BPY17" s="463"/>
      <c r="BPZ17" s="475"/>
      <c r="BQA17" s="476"/>
      <c r="BQB17" s="476"/>
      <c r="BQC17" s="476"/>
      <c r="BQD17" s="476"/>
      <c r="BQE17" s="476"/>
      <c r="BQF17" s="476"/>
      <c r="BQG17" s="476"/>
      <c r="BQH17" s="476"/>
      <c r="BQI17" s="476"/>
      <c r="BQJ17" s="476"/>
      <c r="BQK17" s="476"/>
      <c r="BQL17" s="476"/>
      <c r="BQM17" s="477"/>
      <c r="BQN17" s="477"/>
      <c r="BQO17" s="463"/>
      <c r="BQP17" s="475"/>
      <c r="BQQ17" s="476"/>
      <c r="BQR17" s="476"/>
      <c r="BQS17" s="476"/>
      <c r="BQT17" s="476"/>
      <c r="BQU17" s="476"/>
      <c r="BQV17" s="476"/>
      <c r="BQW17" s="476"/>
      <c r="BQX17" s="476"/>
      <c r="BQY17" s="476"/>
      <c r="BQZ17" s="476"/>
      <c r="BRA17" s="476"/>
      <c r="BRB17" s="476"/>
      <c r="BRC17" s="477"/>
      <c r="BRD17" s="477"/>
      <c r="BRE17" s="463"/>
      <c r="BRF17" s="475"/>
      <c r="BRG17" s="476"/>
      <c r="BRH17" s="476"/>
      <c r="BRI17" s="476"/>
      <c r="BRJ17" s="476"/>
      <c r="BRK17" s="476"/>
      <c r="BRL17" s="476"/>
      <c r="BRM17" s="476"/>
      <c r="BRN17" s="476"/>
      <c r="BRO17" s="476"/>
      <c r="BRP17" s="476"/>
      <c r="BRQ17" s="476"/>
      <c r="BRR17" s="476"/>
      <c r="BRS17" s="477"/>
      <c r="BRT17" s="477"/>
      <c r="BRU17" s="463"/>
      <c r="BRV17" s="475"/>
      <c r="BRW17" s="476"/>
      <c r="BRX17" s="476"/>
      <c r="BRY17" s="476"/>
      <c r="BRZ17" s="476"/>
      <c r="BSA17" s="476"/>
      <c r="BSB17" s="476"/>
      <c r="BSC17" s="476"/>
      <c r="BSD17" s="476"/>
      <c r="BSE17" s="476"/>
      <c r="BSF17" s="476"/>
      <c r="BSG17" s="476"/>
      <c r="BSH17" s="476"/>
      <c r="BSI17" s="477"/>
      <c r="BSJ17" s="477"/>
      <c r="BSK17" s="463"/>
      <c r="BSL17" s="475"/>
      <c r="BSM17" s="476"/>
      <c r="BSN17" s="476"/>
      <c r="BSO17" s="476"/>
      <c r="BSP17" s="476"/>
      <c r="BSQ17" s="476"/>
      <c r="BSR17" s="476"/>
      <c r="BSS17" s="476"/>
      <c r="BST17" s="476"/>
      <c r="BSU17" s="476"/>
      <c r="BSV17" s="476"/>
      <c r="BSW17" s="476"/>
      <c r="BSX17" s="476"/>
      <c r="BSY17" s="477"/>
      <c r="BSZ17" s="477"/>
      <c r="BTA17" s="463"/>
      <c r="BTB17" s="475"/>
      <c r="BTC17" s="476"/>
      <c r="BTD17" s="476"/>
      <c r="BTE17" s="476"/>
      <c r="BTF17" s="476"/>
      <c r="BTG17" s="476"/>
      <c r="BTH17" s="476"/>
      <c r="BTI17" s="476"/>
      <c r="BTJ17" s="476"/>
      <c r="BTK17" s="476"/>
      <c r="BTL17" s="476"/>
      <c r="BTM17" s="476"/>
      <c r="BTN17" s="476"/>
      <c r="BTO17" s="477"/>
      <c r="BTP17" s="477"/>
      <c r="BTQ17" s="463"/>
      <c r="BTR17" s="475"/>
      <c r="BTS17" s="476"/>
      <c r="BTT17" s="476"/>
      <c r="BTU17" s="476"/>
      <c r="BTV17" s="476"/>
      <c r="BTW17" s="476"/>
      <c r="BTX17" s="476"/>
      <c r="BTY17" s="476"/>
      <c r="BTZ17" s="476"/>
      <c r="BUA17" s="476"/>
      <c r="BUB17" s="476"/>
      <c r="BUC17" s="476"/>
      <c r="BUD17" s="476"/>
      <c r="BUE17" s="477"/>
      <c r="BUF17" s="477"/>
      <c r="BUG17" s="463"/>
      <c r="BUH17" s="475"/>
      <c r="BUI17" s="476"/>
      <c r="BUJ17" s="476"/>
      <c r="BUK17" s="476"/>
      <c r="BUL17" s="476"/>
      <c r="BUM17" s="476"/>
      <c r="BUN17" s="476"/>
      <c r="BUO17" s="476"/>
      <c r="BUP17" s="476"/>
      <c r="BUQ17" s="476"/>
      <c r="BUR17" s="476"/>
      <c r="BUS17" s="476"/>
      <c r="BUT17" s="476"/>
      <c r="BUU17" s="477"/>
      <c r="BUV17" s="477"/>
      <c r="BUW17" s="463"/>
      <c r="BUX17" s="475"/>
      <c r="BUY17" s="476"/>
      <c r="BUZ17" s="476"/>
      <c r="BVA17" s="476"/>
      <c r="BVB17" s="476"/>
      <c r="BVC17" s="476"/>
      <c r="BVD17" s="476"/>
      <c r="BVE17" s="476"/>
      <c r="BVF17" s="476"/>
      <c r="BVG17" s="476"/>
      <c r="BVH17" s="476"/>
      <c r="BVI17" s="476"/>
      <c r="BVJ17" s="476"/>
      <c r="BVK17" s="477"/>
      <c r="BVL17" s="477"/>
      <c r="BVM17" s="463"/>
      <c r="BVN17" s="475"/>
      <c r="BVO17" s="476"/>
      <c r="BVP17" s="476"/>
      <c r="BVQ17" s="476"/>
      <c r="BVR17" s="476"/>
      <c r="BVS17" s="476"/>
      <c r="BVT17" s="476"/>
      <c r="BVU17" s="476"/>
      <c r="BVV17" s="476"/>
      <c r="BVW17" s="476"/>
      <c r="BVX17" s="476"/>
      <c r="BVY17" s="476"/>
      <c r="BVZ17" s="476"/>
      <c r="BWA17" s="477"/>
      <c r="BWB17" s="477"/>
      <c r="BWC17" s="463"/>
      <c r="BWD17" s="475"/>
      <c r="BWE17" s="476"/>
      <c r="BWF17" s="476"/>
      <c r="BWG17" s="476"/>
      <c r="BWH17" s="476"/>
      <c r="BWI17" s="476"/>
      <c r="BWJ17" s="476"/>
      <c r="BWK17" s="476"/>
      <c r="BWL17" s="476"/>
      <c r="BWM17" s="476"/>
      <c r="BWN17" s="476"/>
      <c r="BWO17" s="476"/>
      <c r="BWP17" s="476"/>
      <c r="BWQ17" s="477"/>
      <c r="BWR17" s="477"/>
      <c r="BWS17" s="463"/>
      <c r="BWT17" s="475"/>
      <c r="BWU17" s="476"/>
      <c r="BWV17" s="476"/>
      <c r="BWW17" s="476"/>
      <c r="BWX17" s="476"/>
      <c r="BWY17" s="476"/>
      <c r="BWZ17" s="476"/>
      <c r="BXA17" s="476"/>
      <c r="BXB17" s="476"/>
      <c r="BXC17" s="476"/>
      <c r="BXD17" s="476"/>
      <c r="BXE17" s="476"/>
      <c r="BXF17" s="476"/>
      <c r="BXG17" s="477"/>
      <c r="BXH17" s="477"/>
      <c r="BXI17" s="463"/>
      <c r="BXJ17" s="475"/>
      <c r="BXK17" s="476"/>
      <c r="BXL17" s="476"/>
      <c r="BXM17" s="476"/>
      <c r="BXN17" s="476"/>
      <c r="BXO17" s="476"/>
      <c r="BXP17" s="476"/>
      <c r="BXQ17" s="476"/>
      <c r="BXR17" s="476"/>
      <c r="BXS17" s="476"/>
      <c r="BXT17" s="476"/>
      <c r="BXU17" s="476"/>
      <c r="BXV17" s="476"/>
      <c r="BXW17" s="477"/>
      <c r="BXX17" s="477"/>
      <c r="BXY17" s="463"/>
      <c r="BXZ17" s="475"/>
      <c r="BYA17" s="476"/>
      <c r="BYB17" s="476"/>
      <c r="BYC17" s="476"/>
      <c r="BYD17" s="476"/>
      <c r="BYE17" s="476"/>
      <c r="BYF17" s="476"/>
      <c r="BYG17" s="476"/>
      <c r="BYH17" s="476"/>
      <c r="BYI17" s="476"/>
      <c r="BYJ17" s="476"/>
      <c r="BYK17" s="476"/>
      <c r="BYL17" s="476"/>
      <c r="BYM17" s="477"/>
      <c r="BYN17" s="477"/>
      <c r="BYO17" s="463"/>
      <c r="BYP17" s="475"/>
      <c r="BYQ17" s="476"/>
      <c r="BYR17" s="476"/>
      <c r="BYS17" s="476"/>
      <c r="BYT17" s="476"/>
      <c r="BYU17" s="476"/>
      <c r="BYV17" s="476"/>
      <c r="BYW17" s="476"/>
      <c r="BYX17" s="476"/>
      <c r="BYY17" s="476"/>
      <c r="BYZ17" s="476"/>
      <c r="BZA17" s="476"/>
      <c r="BZB17" s="476"/>
      <c r="BZC17" s="477"/>
      <c r="BZD17" s="477"/>
      <c r="BZE17" s="463"/>
      <c r="BZF17" s="475"/>
      <c r="BZG17" s="476"/>
      <c r="BZH17" s="476"/>
      <c r="BZI17" s="476"/>
      <c r="BZJ17" s="476"/>
      <c r="BZK17" s="476"/>
      <c r="BZL17" s="476"/>
      <c r="BZM17" s="476"/>
      <c r="BZN17" s="476"/>
      <c r="BZO17" s="476"/>
      <c r="BZP17" s="476"/>
      <c r="BZQ17" s="476"/>
      <c r="BZR17" s="476"/>
      <c r="BZS17" s="477"/>
      <c r="BZT17" s="477"/>
      <c r="BZU17" s="463"/>
      <c r="BZV17" s="475"/>
      <c r="BZW17" s="476"/>
      <c r="BZX17" s="476"/>
      <c r="BZY17" s="476"/>
      <c r="BZZ17" s="476"/>
      <c r="CAA17" s="476"/>
      <c r="CAB17" s="476"/>
      <c r="CAC17" s="476"/>
      <c r="CAD17" s="476"/>
      <c r="CAE17" s="476"/>
      <c r="CAF17" s="476"/>
      <c r="CAG17" s="476"/>
      <c r="CAH17" s="476"/>
      <c r="CAI17" s="477"/>
      <c r="CAJ17" s="477"/>
      <c r="CAK17" s="463"/>
      <c r="CAL17" s="475"/>
      <c r="CAM17" s="476"/>
      <c r="CAN17" s="476"/>
      <c r="CAO17" s="476"/>
      <c r="CAP17" s="476"/>
      <c r="CAQ17" s="476"/>
      <c r="CAR17" s="476"/>
      <c r="CAS17" s="476"/>
      <c r="CAT17" s="476"/>
      <c r="CAU17" s="476"/>
      <c r="CAV17" s="476"/>
      <c r="CAW17" s="476"/>
      <c r="CAX17" s="476"/>
      <c r="CAY17" s="477"/>
      <c r="CAZ17" s="477"/>
      <c r="CBA17" s="463"/>
      <c r="CBB17" s="475"/>
      <c r="CBC17" s="476"/>
      <c r="CBD17" s="476"/>
      <c r="CBE17" s="476"/>
      <c r="CBF17" s="476"/>
      <c r="CBG17" s="476"/>
      <c r="CBH17" s="476"/>
      <c r="CBI17" s="476"/>
      <c r="CBJ17" s="476"/>
      <c r="CBK17" s="476"/>
      <c r="CBL17" s="476"/>
      <c r="CBM17" s="476"/>
      <c r="CBN17" s="476"/>
      <c r="CBO17" s="477"/>
      <c r="CBP17" s="477"/>
      <c r="CBQ17" s="463"/>
      <c r="CBR17" s="475"/>
      <c r="CBS17" s="476"/>
      <c r="CBT17" s="476"/>
      <c r="CBU17" s="476"/>
      <c r="CBV17" s="476"/>
      <c r="CBW17" s="476"/>
      <c r="CBX17" s="476"/>
      <c r="CBY17" s="476"/>
      <c r="CBZ17" s="476"/>
      <c r="CCA17" s="476"/>
      <c r="CCB17" s="476"/>
      <c r="CCC17" s="476"/>
      <c r="CCD17" s="476"/>
      <c r="CCE17" s="477"/>
      <c r="CCF17" s="477"/>
      <c r="CCG17" s="463"/>
      <c r="CCH17" s="475"/>
      <c r="CCI17" s="476"/>
      <c r="CCJ17" s="476"/>
      <c r="CCK17" s="476"/>
      <c r="CCL17" s="476"/>
      <c r="CCM17" s="476"/>
      <c r="CCN17" s="476"/>
      <c r="CCO17" s="476"/>
      <c r="CCP17" s="476"/>
      <c r="CCQ17" s="476"/>
      <c r="CCR17" s="476"/>
      <c r="CCS17" s="476"/>
      <c r="CCT17" s="476"/>
      <c r="CCU17" s="477"/>
      <c r="CCV17" s="477"/>
      <c r="CCW17" s="463"/>
      <c r="CCX17" s="475"/>
      <c r="CCY17" s="476"/>
      <c r="CCZ17" s="476"/>
      <c r="CDA17" s="476"/>
      <c r="CDB17" s="476"/>
      <c r="CDC17" s="476"/>
      <c r="CDD17" s="476"/>
      <c r="CDE17" s="476"/>
      <c r="CDF17" s="476"/>
      <c r="CDG17" s="476"/>
      <c r="CDH17" s="476"/>
      <c r="CDI17" s="476"/>
      <c r="CDJ17" s="476"/>
      <c r="CDK17" s="477"/>
      <c r="CDL17" s="477"/>
      <c r="CDM17" s="463"/>
      <c r="CDN17" s="475"/>
      <c r="CDO17" s="476"/>
      <c r="CDP17" s="476"/>
      <c r="CDQ17" s="476"/>
      <c r="CDR17" s="476"/>
      <c r="CDS17" s="476"/>
      <c r="CDT17" s="476"/>
      <c r="CDU17" s="476"/>
      <c r="CDV17" s="476"/>
      <c r="CDW17" s="476"/>
      <c r="CDX17" s="476"/>
      <c r="CDY17" s="476"/>
      <c r="CDZ17" s="476"/>
      <c r="CEA17" s="477"/>
      <c r="CEB17" s="477"/>
      <c r="CEC17" s="463"/>
      <c r="CED17" s="475"/>
      <c r="CEE17" s="476"/>
      <c r="CEF17" s="476"/>
      <c r="CEG17" s="476"/>
      <c r="CEH17" s="476"/>
      <c r="CEI17" s="476"/>
      <c r="CEJ17" s="476"/>
      <c r="CEK17" s="476"/>
      <c r="CEL17" s="476"/>
      <c r="CEM17" s="476"/>
      <c r="CEN17" s="476"/>
      <c r="CEO17" s="476"/>
      <c r="CEP17" s="476"/>
      <c r="CEQ17" s="477"/>
      <c r="CER17" s="477"/>
      <c r="CES17" s="463"/>
      <c r="CET17" s="475"/>
      <c r="CEU17" s="476"/>
      <c r="CEV17" s="476"/>
      <c r="CEW17" s="476"/>
      <c r="CEX17" s="476"/>
      <c r="CEY17" s="476"/>
      <c r="CEZ17" s="476"/>
      <c r="CFA17" s="476"/>
      <c r="CFB17" s="476"/>
      <c r="CFC17" s="476"/>
      <c r="CFD17" s="476"/>
      <c r="CFE17" s="476"/>
      <c r="CFF17" s="476"/>
      <c r="CFG17" s="477"/>
      <c r="CFH17" s="477"/>
      <c r="CFI17" s="463"/>
      <c r="CFJ17" s="475"/>
      <c r="CFK17" s="476"/>
      <c r="CFL17" s="476"/>
      <c r="CFM17" s="476"/>
      <c r="CFN17" s="476"/>
      <c r="CFO17" s="476"/>
      <c r="CFP17" s="476"/>
      <c r="CFQ17" s="476"/>
      <c r="CFR17" s="476"/>
      <c r="CFS17" s="476"/>
      <c r="CFT17" s="476"/>
      <c r="CFU17" s="476"/>
      <c r="CFV17" s="476"/>
      <c r="CFW17" s="477"/>
      <c r="CFX17" s="477"/>
      <c r="CFY17" s="463"/>
      <c r="CFZ17" s="475"/>
      <c r="CGA17" s="476"/>
      <c r="CGB17" s="476"/>
      <c r="CGC17" s="476"/>
      <c r="CGD17" s="476"/>
      <c r="CGE17" s="476"/>
      <c r="CGF17" s="476"/>
      <c r="CGG17" s="476"/>
      <c r="CGH17" s="476"/>
      <c r="CGI17" s="476"/>
      <c r="CGJ17" s="476"/>
      <c r="CGK17" s="476"/>
      <c r="CGL17" s="476"/>
      <c r="CGM17" s="477"/>
      <c r="CGN17" s="477"/>
      <c r="CGO17" s="463"/>
      <c r="CGP17" s="475"/>
      <c r="CGQ17" s="476"/>
      <c r="CGR17" s="476"/>
      <c r="CGS17" s="476"/>
      <c r="CGT17" s="476"/>
      <c r="CGU17" s="476"/>
      <c r="CGV17" s="476"/>
      <c r="CGW17" s="476"/>
      <c r="CGX17" s="476"/>
      <c r="CGY17" s="476"/>
      <c r="CGZ17" s="476"/>
      <c r="CHA17" s="476"/>
      <c r="CHB17" s="476"/>
      <c r="CHC17" s="477"/>
      <c r="CHD17" s="477"/>
      <c r="CHE17" s="463"/>
      <c r="CHF17" s="475"/>
      <c r="CHG17" s="476"/>
      <c r="CHH17" s="476"/>
      <c r="CHI17" s="476"/>
      <c r="CHJ17" s="476"/>
      <c r="CHK17" s="476"/>
      <c r="CHL17" s="476"/>
      <c r="CHM17" s="476"/>
      <c r="CHN17" s="476"/>
      <c r="CHO17" s="476"/>
      <c r="CHP17" s="476"/>
      <c r="CHQ17" s="476"/>
      <c r="CHR17" s="476"/>
      <c r="CHS17" s="477"/>
      <c r="CHT17" s="477"/>
      <c r="CHU17" s="463"/>
      <c r="CHV17" s="475"/>
      <c r="CHW17" s="476"/>
      <c r="CHX17" s="476"/>
      <c r="CHY17" s="476"/>
      <c r="CHZ17" s="476"/>
      <c r="CIA17" s="476"/>
      <c r="CIB17" s="476"/>
      <c r="CIC17" s="476"/>
      <c r="CID17" s="476"/>
      <c r="CIE17" s="476"/>
      <c r="CIF17" s="476"/>
      <c r="CIG17" s="476"/>
      <c r="CIH17" s="476"/>
      <c r="CII17" s="477"/>
      <c r="CIJ17" s="477"/>
      <c r="CIK17" s="463"/>
      <c r="CIL17" s="475"/>
      <c r="CIM17" s="476"/>
      <c r="CIN17" s="476"/>
      <c r="CIO17" s="476"/>
      <c r="CIP17" s="476"/>
      <c r="CIQ17" s="476"/>
      <c r="CIR17" s="476"/>
      <c r="CIS17" s="476"/>
      <c r="CIT17" s="476"/>
      <c r="CIU17" s="476"/>
      <c r="CIV17" s="476"/>
      <c r="CIW17" s="476"/>
      <c r="CIX17" s="476"/>
      <c r="CIY17" s="477"/>
      <c r="CIZ17" s="477"/>
      <c r="CJA17" s="463"/>
      <c r="CJB17" s="475"/>
      <c r="CJC17" s="476"/>
      <c r="CJD17" s="476"/>
      <c r="CJE17" s="476"/>
      <c r="CJF17" s="476"/>
      <c r="CJG17" s="476"/>
      <c r="CJH17" s="476"/>
      <c r="CJI17" s="476"/>
      <c r="CJJ17" s="476"/>
      <c r="CJK17" s="476"/>
      <c r="CJL17" s="476"/>
      <c r="CJM17" s="476"/>
      <c r="CJN17" s="476"/>
      <c r="CJO17" s="477"/>
      <c r="CJP17" s="477"/>
      <c r="CJQ17" s="463"/>
      <c r="CJR17" s="475"/>
      <c r="CJS17" s="476"/>
      <c r="CJT17" s="476"/>
      <c r="CJU17" s="476"/>
      <c r="CJV17" s="476"/>
      <c r="CJW17" s="476"/>
      <c r="CJX17" s="476"/>
      <c r="CJY17" s="476"/>
      <c r="CJZ17" s="476"/>
      <c r="CKA17" s="476"/>
      <c r="CKB17" s="476"/>
      <c r="CKC17" s="476"/>
      <c r="CKD17" s="476"/>
      <c r="CKE17" s="477"/>
      <c r="CKF17" s="477"/>
      <c r="CKG17" s="463"/>
      <c r="CKH17" s="475"/>
      <c r="CKI17" s="476"/>
      <c r="CKJ17" s="476"/>
      <c r="CKK17" s="476"/>
      <c r="CKL17" s="476"/>
      <c r="CKM17" s="476"/>
      <c r="CKN17" s="476"/>
      <c r="CKO17" s="476"/>
      <c r="CKP17" s="476"/>
      <c r="CKQ17" s="476"/>
      <c r="CKR17" s="476"/>
      <c r="CKS17" s="476"/>
      <c r="CKT17" s="476"/>
      <c r="CKU17" s="477"/>
      <c r="CKV17" s="477"/>
      <c r="CKW17" s="463"/>
      <c r="CKX17" s="475"/>
      <c r="CKY17" s="476"/>
      <c r="CKZ17" s="476"/>
      <c r="CLA17" s="476"/>
      <c r="CLB17" s="476"/>
      <c r="CLC17" s="476"/>
      <c r="CLD17" s="476"/>
      <c r="CLE17" s="476"/>
      <c r="CLF17" s="476"/>
      <c r="CLG17" s="476"/>
      <c r="CLH17" s="476"/>
      <c r="CLI17" s="476"/>
      <c r="CLJ17" s="476"/>
      <c r="CLK17" s="477"/>
      <c r="CLL17" s="477"/>
      <c r="CLM17" s="463"/>
      <c r="CLN17" s="475"/>
      <c r="CLO17" s="476"/>
      <c r="CLP17" s="476"/>
      <c r="CLQ17" s="476"/>
      <c r="CLR17" s="476"/>
      <c r="CLS17" s="476"/>
      <c r="CLT17" s="476"/>
      <c r="CLU17" s="476"/>
      <c r="CLV17" s="476"/>
      <c r="CLW17" s="476"/>
      <c r="CLX17" s="476"/>
      <c r="CLY17" s="476"/>
      <c r="CLZ17" s="476"/>
      <c r="CMA17" s="477"/>
      <c r="CMB17" s="477"/>
      <c r="CMC17" s="463"/>
      <c r="CMD17" s="475"/>
      <c r="CME17" s="476"/>
      <c r="CMF17" s="476"/>
      <c r="CMG17" s="476"/>
      <c r="CMH17" s="476"/>
      <c r="CMI17" s="476"/>
      <c r="CMJ17" s="476"/>
      <c r="CMK17" s="476"/>
      <c r="CML17" s="476"/>
      <c r="CMM17" s="476"/>
      <c r="CMN17" s="476"/>
      <c r="CMO17" s="476"/>
      <c r="CMP17" s="476"/>
      <c r="CMQ17" s="477"/>
      <c r="CMR17" s="477"/>
      <c r="CMS17" s="463"/>
      <c r="CMT17" s="475"/>
      <c r="CMU17" s="476"/>
      <c r="CMV17" s="476"/>
      <c r="CMW17" s="476"/>
      <c r="CMX17" s="476"/>
      <c r="CMY17" s="476"/>
      <c r="CMZ17" s="476"/>
      <c r="CNA17" s="476"/>
      <c r="CNB17" s="476"/>
      <c r="CNC17" s="476"/>
      <c r="CND17" s="476"/>
      <c r="CNE17" s="476"/>
      <c r="CNF17" s="476"/>
      <c r="CNG17" s="477"/>
      <c r="CNH17" s="477"/>
      <c r="CNI17" s="463"/>
      <c r="CNJ17" s="475"/>
      <c r="CNK17" s="476"/>
      <c r="CNL17" s="476"/>
      <c r="CNM17" s="476"/>
      <c r="CNN17" s="476"/>
      <c r="CNO17" s="476"/>
      <c r="CNP17" s="476"/>
      <c r="CNQ17" s="476"/>
      <c r="CNR17" s="476"/>
      <c r="CNS17" s="476"/>
      <c r="CNT17" s="476"/>
      <c r="CNU17" s="476"/>
      <c r="CNV17" s="476"/>
      <c r="CNW17" s="477"/>
      <c r="CNX17" s="477"/>
      <c r="CNY17" s="463"/>
      <c r="CNZ17" s="475"/>
      <c r="COA17" s="476"/>
      <c r="COB17" s="476"/>
      <c r="COC17" s="476"/>
      <c r="COD17" s="476"/>
      <c r="COE17" s="476"/>
      <c r="COF17" s="476"/>
      <c r="COG17" s="476"/>
      <c r="COH17" s="476"/>
      <c r="COI17" s="476"/>
      <c r="COJ17" s="476"/>
      <c r="COK17" s="476"/>
      <c r="COL17" s="476"/>
      <c r="COM17" s="477"/>
      <c r="CON17" s="477"/>
      <c r="COO17" s="463"/>
      <c r="COP17" s="475"/>
      <c r="COQ17" s="476"/>
      <c r="COR17" s="476"/>
      <c r="COS17" s="476"/>
      <c r="COT17" s="476"/>
      <c r="COU17" s="476"/>
      <c r="COV17" s="476"/>
      <c r="COW17" s="476"/>
      <c r="COX17" s="476"/>
      <c r="COY17" s="476"/>
      <c r="COZ17" s="476"/>
      <c r="CPA17" s="476"/>
      <c r="CPB17" s="476"/>
      <c r="CPC17" s="477"/>
      <c r="CPD17" s="477"/>
      <c r="CPE17" s="463"/>
      <c r="CPF17" s="475"/>
      <c r="CPG17" s="476"/>
      <c r="CPH17" s="476"/>
      <c r="CPI17" s="476"/>
      <c r="CPJ17" s="476"/>
      <c r="CPK17" s="476"/>
      <c r="CPL17" s="476"/>
      <c r="CPM17" s="476"/>
      <c r="CPN17" s="476"/>
      <c r="CPO17" s="476"/>
      <c r="CPP17" s="476"/>
      <c r="CPQ17" s="476"/>
      <c r="CPR17" s="476"/>
      <c r="CPS17" s="477"/>
      <c r="CPT17" s="477"/>
      <c r="CPU17" s="463"/>
      <c r="CPV17" s="475"/>
      <c r="CPW17" s="476"/>
      <c r="CPX17" s="476"/>
      <c r="CPY17" s="476"/>
      <c r="CPZ17" s="476"/>
      <c r="CQA17" s="476"/>
      <c r="CQB17" s="476"/>
      <c r="CQC17" s="476"/>
      <c r="CQD17" s="476"/>
      <c r="CQE17" s="476"/>
      <c r="CQF17" s="476"/>
      <c r="CQG17" s="476"/>
      <c r="CQH17" s="476"/>
      <c r="CQI17" s="477"/>
      <c r="CQJ17" s="477"/>
      <c r="CQK17" s="463"/>
      <c r="CQL17" s="475"/>
      <c r="CQM17" s="476"/>
      <c r="CQN17" s="476"/>
      <c r="CQO17" s="476"/>
      <c r="CQP17" s="476"/>
      <c r="CQQ17" s="476"/>
      <c r="CQR17" s="476"/>
      <c r="CQS17" s="476"/>
      <c r="CQT17" s="476"/>
      <c r="CQU17" s="476"/>
      <c r="CQV17" s="476"/>
      <c r="CQW17" s="476"/>
      <c r="CQX17" s="476"/>
      <c r="CQY17" s="477"/>
      <c r="CQZ17" s="477"/>
      <c r="CRA17" s="463"/>
      <c r="CRB17" s="475"/>
      <c r="CRC17" s="476"/>
      <c r="CRD17" s="476"/>
      <c r="CRE17" s="476"/>
      <c r="CRF17" s="476"/>
      <c r="CRG17" s="476"/>
      <c r="CRH17" s="476"/>
      <c r="CRI17" s="476"/>
      <c r="CRJ17" s="476"/>
      <c r="CRK17" s="476"/>
      <c r="CRL17" s="476"/>
      <c r="CRM17" s="476"/>
      <c r="CRN17" s="476"/>
      <c r="CRO17" s="477"/>
      <c r="CRP17" s="477"/>
      <c r="CRQ17" s="463"/>
      <c r="CRR17" s="475"/>
      <c r="CRS17" s="476"/>
      <c r="CRT17" s="476"/>
      <c r="CRU17" s="476"/>
      <c r="CRV17" s="476"/>
      <c r="CRW17" s="476"/>
      <c r="CRX17" s="476"/>
      <c r="CRY17" s="476"/>
      <c r="CRZ17" s="476"/>
      <c r="CSA17" s="476"/>
      <c r="CSB17" s="476"/>
      <c r="CSC17" s="476"/>
      <c r="CSD17" s="476"/>
      <c r="CSE17" s="477"/>
      <c r="CSF17" s="477"/>
      <c r="CSG17" s="463"/>
      <c r="CSH17" s="475"/>
      <c r="CSI17" s="476"/>
      <c r="CSJ17" s="476"/>
      <c r="CSK17" s="476"/>
      <c r="CSL17" s="476"/>
      <c r="CSM17" s="476"/>
      <c r="CSN17" s="476"/>
      <c r="CSO17" s="476"/>
      <c r="CSP17" s="476"/>
      <c r="CSQ17" s="476"/>
      <c r="CSR17" s="476"/>
      <c r="CSS17" s="476"/>
      <c r="CST17" s="476"/>
      <c r="CSU17" s="477"/>
      <c r="CSV17" s="477"/>
      <c r="CSW17" s="463"/>
      <c r="CSX17" s="475"/>
      <c r="CSY17" s="476"/>
      <c r="CSZ17" s="476"/>
      <c r="CTA17" s="476"/>
      <c r="CTB17" s="476"/>
      <c r="CTC17" s="476"/>
      <c r="CTD17" s="476"/>
      <c r="CTE17" s="476"/>
      <c r="CTF17" s="476"/>
      <c r="CTG17" s="476"/>
      <c r="CTH17" s="476"/>
      <c r="CTI17" s="476"/>
      <c r="CTJ17" s="476"/>
      <c r="CTK17" s="477"/>
      <c r="CTL17" s="477"/>
      <c r="CTM17" s="463"/>
      <c r="CTN17" s="475"/>
      <c r="CTO17" s="476"/>
      <c r="CTP17" s="476"/>
      <c r="CTQ17" s="476"/>
      <c r="CTR17" s="476"/>
      <c r="CTS17" s="476"/>
      <c r="CTT17" s="476"/>
      <c r="CTU17" s="476"/>
      <c r="CTV17" s="476"/>
      <c r="CTW17" s="476"/>
      <c r="CTX17" s="476"/>
      <c r="CTY17" s="476"/>
      <c r="CTZ17" s="476"/>
      <c r="CUA17" s="477"/>
      <c r="CUB17" s="477"/>
      <c r="CUC17" s="463"/>
      <c r="CUD17" s="475"/>
      <c r="CUE17" s="476"/>
      <c r="CUF17" s="476"/>
      <c r="CUG17" s="476"/>
      <c r="CUH17" s="476"/>
      <c r="CUI17" s="476"/>
      <c r="CUJ17" s="476"/>
      <c r="CUK17" s="476"/>
      <c r="CUL17" s="476"/>
      <c r="CUM17" s="476"/>
      <c r="CUN17" s="476"/>
      <c r="CUO17" s="476"/>
      <c r="CUP17" s="476"/>
      <c r="CUQ17" s="477"/>
      <c r="CUR17" s="477"/>
      <c r="CUS17" s="463"/>
      <c r="CUT17" s="475"/>
      <c r="CUU17" s="476"/>
      <c r="CUV17" s="476"/>
      <c r="CUW17" s="476"/>
      <c r="CUX17" s="476"/>
      <c r="CUY17" s="476"/>
      <c r="CUZ17" s="476"/>
      <c r="CVA17" s="476"/>
      <c r="CVB17" s="476"/>
      <c r="CVC17" s="476"/>
      <c r="CVD17" s="476"/>
      <c r="CVE17" s="476"/>
      <c r="CVF17" s="476"/>
      <c r="CVG17" s="477"/>
      <c r="CVH17" s="477"/>
      <c r="CVI17" s="463"/>
      <c r="CVJ17" s="475"/>
      <c r="CVK17" s="476"/>
      <c r="CVL17" s="476"/>
      <c r="CVM17" s="476"/>
      <c r="CVN17" s="476"/>
      <c r="CVO17" s="476"/>
      <c r="CVP17" s="476"/>
      <c r="CVQ17" s="476"/>
      <c r="CVR17" s="476"/>
      <c r="CVS17" s="476"/>
      <c r="CVT17" s="476"/>
      <c r="CVU17" s="476"/>
      <c r="CVV17" s="476"/>
      <c r="CVW17" s="477"/>
      <c r="CVX17" s="477"/>
      <c r="CVY17" s="463"/>
      <c r="CVZ17" s="475"/>
      <c r="CWA17" s="476"/>
      <c r="CWB17" s="476"/>
      <c r="CWC17" s="476"/>
      <c r="CWD17" s="476"/>
      <c r="CWE17" s="476"/>
      <c r="CWF17" s="476"/>
      <c r="CWG17" s="476"/>
      <c r="CWH17" s="476"/>
      <c r="CWI17" s="476"/>
      <c r="CWJ17" s="476"/>
      <c r="CWK17" s="476"/>
      <c r="CWL17" s="476"/>
      <c r="CWM17" s="477"/>
      <c r="CWN17" s="477"/>
      <c r="CWO17" s="463"/>
      <c r="CWP17" s="475"/>
      <c r="CWQ17" s="476"/>
      <c r="CWR17" s="476"/>
      <c r="CWS17" s="476"/>
      <c r="CWT17" s="476"/>
      <c r="CWU17" s="476"/>
      <c r="CWV17" s="476"/>
      <c r="CWW17" s="476"/>
      <c r="CWX17" s="476"/>
      <c r="CWY17" s="476"/>
      <c r="CWZ17" s="476"/>
      <c r="CXA17" s="476"/>
      <c r="CXB17" s="476"/>
      <c r="CXC17" s="477"/>
      <c r="CXD17" s="477"/>
      <c r="CXE17" s="463"/>
      <c r="CXF17" s="475"/>
      <c r="CXG17" s="476"/>
      <c r="CXH17" s="476"/>
      <c r="CXI17" s="476"/>
      <c r="CXJ17" s="476"/>
      <c r="CXK17" s="476"/>
      <c r="CXL17" s="476"/>
      <c r="CXM17" s="476"/>
      <c r="CXN17" s="476"/>
      <c r="CXO17" s="476"/>
      <c r="CXP17" s="476"/>
      <c r="CXQ17" s="476"/>
      <c r="CXR17" s="476"/>
      <c r="CXS17" s="477"/>
      <c r="CXT17" s="477"/>
      <c r="CXU17" s="463"/>
      <c r="CXV17" s="475"/>
      <c r="CXW17" s="476"/>
      <c r="CXX17" s="476"/>
      <c r="CXY17" s="476"/>
      <c r="CXZ17" s="476"/>
      <c r="CYA17" s="476"/>
      <c r="CYB17" s="476"/>
      <c r="CYC17" s="476"/>
      <c r="CYD17" s="476"/>
      <c r="CYE17" s="476"/>
      <c r="CYF17" s="476"/>
      <c r="CYG17" s="476"/>
      <c r="CYH17" s="476"/>
      <c r="CYI17" s="477"/>
      <c r="CYJ17" s="477"/>
      <c r="CYK17" s="463"/>
      <c r="CYL17" s="475"/>
      <c r="CYM17" s="476"/>
      <c r="CYN17" s="476"/>
      <c r="CYO17" s="476"/>
      <c r="CYP17" s="476"/>
      <c r="CYQ17" s="476"/>
      <c r="CYR17" s="476"/>
      <c r="CYS17" s="476"/>
      <c r="CYT17" s="476"/>
      <c r="CYU17" s="476"/>
      <c r="CYV17" s="476"/>
      <c r="CYW17" s="476"/>
      <c r="CYX17" s="476"/>
      <c r="CYY17" s="477"/>
      <c r="CYZ17" s="477"/>
      <c r="CZA17" s="463"/>
      <c r="CZB17" s="475"/>
      <c r="CZC17" s="476"/>
      <c r="CZD17" s="476"/>
      <c r="CZE17" s="476"/>
      <c r="CZF17" s="476"/>
      <c r="CZG17" s="476"/>
      <c r="CZH17" s="476"/>
      <c r="CZI17" s="476"/>
      <c r="CZJ17" s="476"/>
      <c r="CZK17" s="476"/>
      <c r="CZL17" s="476"/>
      <c r="CZM17" s="476"/>
      <c r="CZN17" s="476"/>
      <c r="CZO17" s="477"/>
      <c r="CZP17" s="477"/>
      <c r="CZQ17" s="463"/>
      <c r="CZR17" s="475"/>
      <c r="CZS17" s="476"/>
      <c r="CZT17" s="476"/>
      <c r="CZU17" s="476"/>
      <c r="CZV17" s="476"/>
      <c r="CZW17" s="476"/>
      <c r="CZX17" s="476"/>
      <c r="CZY17" s="476"/>
      <c r="CZZ17" s="476"/>
      <c r="DAA17" s="476"/>
      <c r="DAB17" s="476"/>
      <c r="DAC17" s="476"/>
      <c r="DAD17" s="476"/>
      <c r="DAE17" s="477"/>
      <c r="DAF17" s="477"/>
      <c r="DAG17" s="463"/>
      <c r="DAH17" s="475"/>
      <c r="DAI17" s="476"/>
      <c r="DAJ17" s="476"/>
      <c r="DAK17" s="476"/>
      <c r="DAL17" s="476"/>
      <c r="DAM17" s="476"/>
      <c r="DAN17" s="476"/>
      <c r="DAO17" s="476"/>
      <c r="DAP17" s="476"/>
      <c r="DAQ17" s="476"/>
      <c r="DAR17" s="476"/>
      <c r="DAS17" s="476"/>
      <c r="DAT17" s="476"/>
      <c r="DAU17" s="477"/>
      <c r="DAV17" s="477"/>
      <c r="DAW17" s="463"/>
      <c r="DAX17" s="475"/>
      <c r="DAY17" s="476"/>
      <c r="DAZ17" s="476"/>
      <c r="DBA17" s="476"/>
      <c r="DBB17" s="476"/>
      <c r="DBC17" s="476"/>
      <c r="DBD17" s="476"/>
      <c r="DBE17" s="476"/>
      <c r="DBF17" s="476"/>
      <c r="DBG17" s="476"/>
      <c r="DBH17" s="476"/>
      <c r="DBI17" s="476"/>
      <c r="DBJ17" s="476"/>
      <c r="DBK17" s="477"/>
      <c r="DBL17" s="477"/>
      <c r="DBM17" s="463"/>
      <c r="DBN17" s="475"/>
      <c r="DBO17" s="476"/>
      <c r="DBP17" s="476"/>
      <c r="DBQ17" s="476"/>
      <c r="DBR17" s="476"/>
      <c r="DBS17" s="476"/>
      <c r="DBT17" s="476"/>
      <c r="DBU17" s="476"/>
      <c r="DBV17" s="476"/>
      <c r="DBW17" s="476"/>
      <c r="DBX17" s="476"/>
      <c r="DBY17" s="476"/>
      <c r="DBZ17" s="476"/>
      <c r="DCA17" s="477"/>
      <c r="DCB17" s="477"/>
      <c r="DCC17" s="463"/>
      <c r="DCD17" s="475"/>
      <c r="DCE17" s="476"/>
      <c r="DCF17" s="476"/>
      <c r="DCG17" s="476"/>
      <c r="DCH17" s="476"/>
      <c r="DCI17" s="476"/>
      <c r="DCJ17" s="476"/>
      <c r="DCK17" s="476"/>
      <c r="DCL17" s="476"/>
      <c r="DCM17" s="476"/>
      <c r="DCN17" s="476"/>
      <c r="DCO17" s="476"/>
      <c r="DCP17" s="476"/>
      <c r="DCQ17" s="477"/>
      <c r="DCR17" s="477"/>
      <c r="DCS17" s="463"/>
      <c r="DCT17" s="475"/>
      <c r="DCU17" s="476"/>
      <c r="DCV17" s="476"/>
      <c r="DCW17" s="476"/>
      <c r="DCX17" s="476"/>
      <c r="DCY17" s="476"/>
      <c r="DCZ17" s="476"/>
      <c r="DDA17" s="476"/>
      <c r="DDB17" s="476"/>
      <c r="DDC17" s="476"/>
      <c r="DDD17" s="476"/>
      <c r="DDE17" s="476"/>
      <c r="DDF17" s="476"/>
      <c r="DDG17" s="477"/>
      <c r="DDH17" s="477"/>
      <c r="DDI17" s="463"/>
      <c r="DDJ17" s="475"/>
      <c r="DDK17" s="476"/>
      <c r="DDL17" s="476"/>
      <c r="DDM17" s="476"/>
      <c r="DDN17" s="476"/>
      <c r="DDO17" s="476"/>
      <c r="DDP17" s="476"/>
      <c r="DDQ17" s="476"/>
      <c r="DDR17" s="476"/>
      <c r="DDS17" s="476"/>
      <c r="DDT17" s="476"/>
      <c r="DDU17" s="476"/>
      <c r="DDV17" s="476"/>
      <c r="DDW17" s="477"/>
      <c r="DDX17" s="477"/>
      <c r="DDY17" s="463"/>
      <c r="DDZ17" s="475"/>
      <c r="DEA17" s="476"/>
      <c r="DEB17" s="476"/>
      <c r="DEC17" s="476"/>
      <c r="DED17" s="476"/>
      <c r="DEE17" s="476"/>
      <c r="DEF17" s="476"/>
      <c r="DEG17" s="476"/>
      <c r="DEH17" s="476"/>
      <c r="DEI17" s="476"/>
      <c r="DEJ17" s="476"/>
      <c r="DEK17" s="476"/>
      <c r="DEL17" s="476"/>
      <c r="DEM17" s="477"/>
      <c r="DEN17" s="477"/>
      <c r="DEO17" s="463"/>
      <c r="DEP17" s="475"/>
      <c r="DEQ17" s="476"/>
      <c r="DER17" s="476"/>
      <c r="DES17" s="476"/>
      <c r="DET17" s="476"/>
      <c r="DEU17" s="476"/>
      <c r="DEV17" s="476"/>
      <c r="DEW17" s="476"/>
      <c r="DEX17" s="476"/>
      <c r="DEY17" s="476"/>
      <c r="DEZ17" s="476"/>
      <c r="DFA17" s="476"/>
      <c r="DFB17" s="476"/>
      <c r="DFC17" s="477"/>
      <c r="DFD17" s="477"/>
      <c r="DFE17" s="463"/>
      <c r="DFF17" s="475"/>
      <c r="DFG17" s="476"/>
      <c r="DFH17" s="476"/>
      <c r="DFI17" s="476"/>
      <c r="DFJ17" s="476"/>
      <c r="DFK17" s="476"/>
      <c r="DFL17" s="476"/>
      <c r="DFM17" s="476"/>
      <c r="DFN17" s="476"/>
      <c r="DFO17" s="476"/>
      <c r="DFP17" s="476"/>
      <c r="DFQ17" s="476"/>
      <c r="DFR17" s="476"/>
      <c r="DFS17" s="477"/>
      <c r="DFT17" s="477"/>
      <c r="DFU17" s="463"/>
      <c r="DFV17" s="475"/>
      <c r="DFW17" s="476"/>
      <c r="DFX17" s="476"/>
      <c r="DFY17" s="476"/>
      <c r="DFZ17" s="476"/>
      <c r="DGA17" s="476"/>
      <c r="DGB17" s="476"/>
      <c r="DGC17" s="476"/>
      <c r="DGD17" s="476"/>
      <c r="DGE17" s="476"/>
      <c r="DGF17" s="476"/>
      <c r="DGG17" s="476"/>
      <c r="DGH17" s="476"/>
      <c r="DGI17" s="477"/>
      <c r="DGJ17" s="477"/>
      <c r="DGK17" s="463"/>
      <c r="DGL17" s="475"/>
      <c r="DGM17" s="476"/>
      <c r="DGN17" s="476"/>
      <c r="DGO17" s="476"/>
      <c r="DGP17" s="476"/>
      <c r="DGQ17" s="476"/>
      <c r="DGR17" s="476"/>
      <c r="DGS17" s="476"/>
      <c r="DGT17" s="476"/>
      <c r="DGU17" s="476"/>
      <c r="DGV17" s="476"/>
      <c r="DGW17" s="476"/>
      <c r="DGX17" s="476"/>
      <c r="DGY17" s="477"/>
      <c r="DGZ17" s="477"/>
      <c r="DHA17" s="463"/>
      <c r="DHB17" s="475"/>
      <c r="DHC17" s="476"/>
      <c r="DHD17" s="476"/>
      <c r="DHE17" s="476"/>
      <c r="DHF17" s="476"/>
      <c r="DHG17" s="476"/>
      <c r="DHH17" s="476"/>
      <c r="DHI17" s="476"/>
      <c r="DHJ17" s="476"/>
      <c r="DHK17" s="476"/>
      <c r="DHL17" s="476"/>
      <c r="DHM17" s="476"/>
      <c r="DHN17" s="476"/>
      <c r="DHO17" s="477"/>
      <c r="DHP17" s="477"/>
      <c r="DHQ17" s="463"/>
      <c r="DHR17" s="475"/>
      <c r="DHS17" s="476"/>
      <c r="DHT17" s="476"/>
      <c r="DHU17" s="476"/>
      <c r="DHV17" s="476"/>
      <c r="DHW17" s="476"/>
      <c r="DHX17" s="476"/>
      <c r="DHY17" s="476"/>
      <c r="DHZ17" s="476"/>
      <c r="DIA17" s="476"/>
      <c r="DIB17" s="476"/>
      <c r="DIC17" s="476"/>
      <c r="DID17" s="476"/>
      <c r="DIE17" s="477"/>
      <c r="DIF17" s="477"/>
      <c r="DIG17" s="463"/>
      <c r="DIH17" s="475"/>
      <c r="DII17" s="476"/>
      <c r="DIJ17" s="476"/>
      <c r="DIK17" s="476"/>
      <c r="DIL17" s="476"/>
      <c r="DIM17" s="476"/>
      <c r="DIN17" s="476"/>
      <c r="DIO17" s="476"/>
      <c r="DIP17" s="476"/>
      <c r="DIQ17" s="476"/>
      <c r="DIR17" s="476"/>
      <c r="DIS17" s="476"/>
      <c r="DIT17" s="476"/>
      <c r="DIU17" s="477"/>
      <c r="DIV17" s="477"/>
      <c r="DIW17" s="463"/>
      <c r="DIX17" s="475"/>
      <c r="DIY17" s="476"/>
      <c r="DIZ17" s="476"/>
      <c r="DJA17" s="476"/>
      <c r="DJB17" s="476"/>
      <c r="DJC17" s="476"/>
      <c r="DJD17" s="476"/>
      <c r="DJE17" s="476"/>
      <c r="DJF17" s="476"/>
      <c r="DJG17" s="476"/>
      <c r="DJH17" s="476"/>
      <c r="DJI17" s="476"/>
      <c r="DJJ17" s="476"/>
      <c r="DJK17" s="477"/>
      <c r="DJL17" s="477"/>
      <c r="DJM17" s="463"/>
      <c r="DJN17" s="475"/>
      <c r="DJO17" s="476"/>
      <c r="DJP17" s="476"/>
      <c r="DJQ17" s="476"/>
      <c r="DJR17" s="476"/>
      <c r="DJS17" s="476"/>
      <c r="DJT17" s="476"/>
      <c r="DJU17" s="476"/>
      <c r="DJV17" s="476"/>
      <c r="DJW17" s="476"/>
      <c r="DJX17" s="476"/>
      <c r="DJY17" s="476"/>
      <c r="DJZ17" s="476"/>
      <c r="DKA17" s="477"/>
      <c r="DKB17" s="477"/>
      <c r="DKC17" s="463"/>
      <c r="DKD17" s="475"/>
      <c r="DKE17" s="476"/>
      <c r="DKF17" s="476"/>
      <c r="DKG17" s="476"/>
      <c r="DKH17" s="476"/>
      <c r="DKI17" s="476"/>
      <c r="DKJ17" s="476"/>
      <c r="DKK17" s="476"/>
      <c r="DKL17" s="476"/>
      <c r="DKM17" s="476"/>
      <c r="DKN17" s="476"/>
      <c r="DKO17" s="476"/>
      <c r="DKP17" s="476"/>
      <c r="DKQ17" s="477"/>
      <c r="DKR17" s="477"/>
      <c r="DKS17" s="463"/>
      <c r="DKT17" s="475"/>
      <c r="DKU17" s="476"/>
      <c r="DKV17" s="476"/>
      <c r="DKW17" s="476"/>
      <c r="DKX17" s="476"/>
      <c r="DKY17" s="476"/>
      <c r="DKZ17" s="476"/>
      <c r="DLA17" s="476"/>
      <c r="DLB17" s="476"/>
      <c r="DLC17" s="476"/>
      <c r="DLD17" s="476"/>
      <c r="DLE17" s="476"/>
      <c r="DLF17" s="476"/>
      <c r="DLG17" s="477"/>
      <c r="DLH17" s="477"/>
      <c r="DLI17" s="463"/>
      <c r="DLJ17" s="475"/>
      <c r="DLK17" s="476"/>
      <c r="DLL17" s="476"/>
      <c r="DLM17" s="476"/>
      <c r="DLN17" s="476"/>
      <c r="DLO17" s="476"/>
      <c r="DLP17" s="476"/>
      <c r="DLQ17" s="476"/>
      <c r="DLR17" s="476"/>
      <c r="DLS17" s="476"/>
      <c r="DLT17" s="476"/>
      <c r="DLU17" s="476"/>
      <c r="DLV17" s="476"/>
      <c r="DLW17" s="477"/>
      <c r="DLX17" s="477"/>
      <c r="DLY17" s="463"/>
      <c r="DLZ17" s="475"/>
      <c r="DMA17" s="476"/>
      <c r="DMB17" s="476"/>
      <c r="DMC17" s="476"/>
      <c r="DMD17" s="476"/>
      <c r="DME17" s="476"/>
      <c r="DMF17" s="476"/>
      <c r="DMG17" s="476"/>
      <c r="DMH17" s="476"/>
      <c r="DMI17" s="476"/>
      <c r="DMJ17" s="476"/>
      <c r="DMK17" s="476"/>
      <c r="DML17" s="476"/>
      <c r="DMM17" s="477"/>
      <c r="DMN17" s="477"/>
      <c r="DMO17" s="463"/>
      <c r="DMP17" s="475"/>
      <c r="DMQ17" s="476"/>
      <c r="DMR17" s="476"/>
      <c r="DMS17" s="476"/>
      <c r="DMT17" s="476"/>
      <c r="DMU17" s="476"/>
      <c r="DMV17" s="476"/>
      <c r="DMW17" s="476"/>
      <c r="DMX17" s="476"/>
      <c r="DMY17" s="476"/>
      <c r="DMZ17" s="476"/>
      <c r="DNA17" s="476"/>
      <c r="DNB17" s="476"/>
      <c r="DNC17" s="477"/>
      <c r="DND17" s="477"/>
      <c r="DNE17" s="463"/>
      <c r="DNF17" s="475"/>
      <c r="DNG17" s="476"/>
      <c r="DNH17" s="476"/>
      <c r="DNI17" s="476"/>
      <c r="DNJ17" s="476"/>
      <c r="DNK17" s="476"/>
      <c r="DNL17" s="476"/>
      <c r="DNM17" s="476"/>
      <c r="DNN17" s="476"/>
      <c r="DNO17" s="476"/>
      <c r="DNP17" s="476"/>
      <c r="DNQ17" s="476"/>
      <c r="DNR17" s="476"/>
      <c r="DNS17" s="477"/>
      <c r="DNT17" s="477"/>
      <c r="DNU17" s="463"/>
      <c r="DNV17" s="475"/>
      <c r="DNW17" s="476"/>
      <c r="DNX17" s="476"/>
      <c r="DNY17" s="476"/>
      <c r="DNZ17" s="476"/>
      <c r="DOA17" s="476"/>
      <c r="DOB17" s="476"/>
      <c r="DOC17" s="476"/>
      <c r="DOD17" s="476"/>
      <c r="DOE17" s="476"/>
      <c r="DOF17" s="476"/>
      <c r="DOG17" s="476"/>
      <c r="DOH17" s="476"/>
      <c r="DOI17" s="477"/>
      <c r="DOJ17" s="477"/>
      <c r="DOK17" s="463"/>
      <c r="DOL17" s="475"/>
      <c r="DOM17" s="476"/>
      <c r="DON17" s="476"/>
      <c r="DOO17" s="476"/>
      <c r="DOP17" s="476"/>
      <c r="DOQ17" s="476"/>
      <c r="DOR17" s="476"/>
      <c r="DOS17" s="476"/>
      <c r="DOT17" s="476"/>
      <c r="DOU17" s="476"/>
      <c r="DOV17" s="476"/>
      <c r="DOW17" s="476"/>
      <c r="DOX17" s="476"/>
      <c r="DOY17" s="477"/>
      <c r="DOZ17" s="477"/>
      <c r="DPA17" s="463"/>
      <c r="DPB17" s="475"/>
      <c r="DPC17" s="476"/>
      <c r="DPD17" s="476"/>
      <c r="DPE17" s="476"/>
      <c r="DPF17" s="476"/>
      <c r="DPG17" s="476"/>
      <c r="DPH17" s="476"/>
      <c r="DPI17" s="476"/>
      <c r="DPJ17" s="476"/>
      <c r="DPK17" s="476"/>
      <c r="DPL17" s="476"/>
      <c r="DPM17" s="476"/>
      <c r="DPN17" s="476"/>
      <c r="DPO17" s="477"/>
      <c r="DPP17" s="477"/>
      <c r="DPQ17" s="463"/>
      <c r="DPR17" s="475"/>
      <c r="DPS17" s="476"/>
      <c r="DPT17" s="476"/>
      <c r="DPU17" s="476"/>
      <c r="DPV17" s="476"/>
      <c r="DPW17" s="476"/>
      <c r="DPX17" s="476"/>
      <c r="DPY17" s="476"/>
      <c r="DPZ17" s="476"/>
      <c r="DQA17" s="476"/>
      <c r="DQB17" s="476"/>
      <c r="DQC17" s="476"/>
      <c r="DQD17" s="476"/>
      <c r="DQE17" s="477"/>
      <c r="DQF17" s="477"/>
      <c r="DQG17" s="463"/>
      <c r="DQH17" s="475"/>
      <c r="DQI17" s="476"/>
      <c r="DQJ17" s="476"/>
      <c r="DQK17" s="476"/>
      <c r="DQL17" s="476"/>
      <c r="DQM17" s="476"/>
      <c r="DQN17" s="476"/>
      <c r="DQO17" s="476"/>
      <c r="DQP17" s="476"/>
      <c r="DQQ17" s="476"/>
      <c r="DQR17" s="476"/>
      <c r="DQS17" s="476"/>
      <c r="DQT17" s="476"/>
      <c r="DQU17" s="477"/>
      <c r="DQV17" s="477"/>
      <c r="DQW17" s="463"/>
      <c r="DQX17" s="475"/>
      <c r="DQY17" s="476"/>
      <c r="DQZ17" s="476"/>
      <c r="DRA17" s="476"/>
      <c r="DRB17" s="476"/>
      <c r="DRC17" s="476"/>
      <c r="DRD17" s="476"/>
      <c r="DRE17" s="476"/>
      <c r="DRF17" s="476"/>
      <c r="DRG17" s="476"/>
      <c r="DRH17" s="476"/>
      <c r="DRI17" s="476"/>
      <c r="DRJ17" s="476"/>
      <c r="DRK17" s="477"/>
      <c r="DRL17" s="477"/>
      <c r="DRM17" s="463"/>
      <c r="DRN17" s="475"/>
      <c r="DRO17" s="476"/>
      <c r="DRP17" s="476"/>
      <c r="DRQ17" s="476"/>
      <c r="DRR17" s="476"/>
      <c r="DRS17" s="476"/>
      <c r="DRT17" s="476"/>
      <c r="DRU17" s="476"/>
      <c r="DRV17" s="476"/>
      <c r="DRW17" s="476"/>
      <c r="DRX17" s="476"/>
      <c r="DRY17" s="476"/>
      <c r="DRZ17" s="476"/>
      <c r="DSA17" s="477"/>
      <c r="DSB17" s="477"/>
      <c r="DSC17" s="463"/>
      <c r="DSD17" s="475"/>
      <c r="DSE17" s="476"/>
      <c r="DSF17" s="476"/>
      <c r="DSG17" s="476"/>
      <c r="DSH17" s="476"/>
      <c r="DSI17" s="476"/>
      <c r="DSJ17" s="476"/>
      <c r="DSK17" s="476"/>
      <c r="DSL17" s="476"/>
      <c r="DSM17" s="476"/>
      <c r="DSN17" s="476"/>
      <c r="DSO17" s="476"/>
      <c r="DSP17" s="476"/>
      <c r="DSQ17" s="477"/>
      <c r="DSR17" s="477"/>
      <c r="DSS17" s="463"/>
      <c r="DST17" s="475"/>
      <c r="DSU17" s="476"/>
      <c r="DSV17" s="476"/>
      <c r="DSW17" s="476"/>
      <c r="DSX17" s="476"/>
      <c r="DSY17" s="476"/>
      <c r="DSZ17" s="476"/>
      <c r="DTA17" s="476"/>
      <c r="DTB17" s="476"/>
      <c r="DTC17" s="476"/>
      <c r="DTD17" s="476"/>
      <c r="DTE17" s="476"/>
      <c r="DTF17" s="476"/>
      <c r="DTG17" s="477"/>
      <c r="DTH17" s="477"/>
      <c r="DTI17" s="463"/>
      <c r="DTJ17" s="475"/>
      <c r="DTK17" s="476"/>
      <c r="DTL17" s="476"/>
      <c r="DTM17" s="476"/>
      <c r="DTN17" s="476"/>
      <c r="DTO17" s="476"/>
      <c r="DTP17" s="476"/>
      <c r="DTQ17" s="476"/>
      <c r="DTR17" s="476"/>
      <c r="DTS17" s="476"/>
      <c r="DTT17" s="476"/>
      <c r="DTU17" s="476"/>
      <c r="DTV17" s="476"/>
      <c r="DTW17" s="477"/>
      <c r="DTX17" s="477"/>
      <c r="DTY17" s="463"/>
      <c r="DTZ17" s="475"/>
      <c r="DUA17" s="476"/>
      <c r="DUB17" s="476"/>
      <c r="DUC17" s="476"/>
      <c r="DUD17" s="476"/>
      <c r="DUE17" s="476"/>
      <c r="DUF17" s="476"/>
      <c r="DUG17" s="476"/>
      <c r="DUH17" s="476"/>
      <c r="DUI17" s="476"/>
      <c r="DUJ17" s="476"/>
      <c r="DUK17" s="476"/>
      <c r="DUL17" s="476"/>
      <c r="DUM17" s="477"/>
      <c r="DUN17" s="477"/>
      <c r="DUO17" s="463"/>
      <c r="DUP17" s="475"/>
      <c r="DUQ17" s="476"/>
      <c r="DUR17" s="476"/>
      <c r="DUS17" s="476"/>
      <c r="DUT17" s="476"/>
      <c r="DUU17" s="476"/>
      <c r="DUV17" s="476"/>
      <c r="DUW17" s="476"/>
      <c r="DUX17" s="476"/>
      <c r="DUY17" s="476"/>
      <c r="DUZ17" s="476"/>
      <c r="DVA17" s="476"/>
      <c r="DVB17" s="476"/>
      <c r="DVC17" s="477"/>
      <c r="DVD17" s="477"/>
      <c r="DVE17" s="463"/>
      <c r="DVF17" s="475"/>
      <c r="DVG17" s="476"/>
      <c r="DVH17" s="476"/>
      <c r="DVI17" s="476"/>
      <c r="DVJ17" s="476"/>
      <c r="DVK17" s="476"/>
      <c r="DVL17" s="476"/>
      <c r="DVM17" s="476"/>
      <c r="DVN17" s="476"/>
      <c r="DVO17" s="476"/>
      <c r="DVP17" s="476"/>
      <c r="DVQ17" s="476"/>
      <c r="DVR17" s="476"/>
      <c r="DVS17" s="477"/>
      <c r="DVT17" s="477"/>
      <c r="DVU17" s="463"/>
      <c r="DVV17" s="475"/>
      <c r="DVW17" s="476"/>
      <c r="DVX17" s="476"/>
      <c r="DVY17" s="476"/>
      <c r="DVZ17" s="476"/>
      <c r="DWA17" s="476"/>
      <c r="DWB17" s="476"/>
      <c r="DWC17" s="476"/>
      <c r="DWD17" s="476"/>
      <c r="DWE17" s="476"/>
      <c r="DWF17" s="476"/>
      <c r="DWG17" s="476"/>
      <c r="DWH17" s="476"/>
      <c r="DWI17" s="477"/>
      <c r="DWJ17" s="477"/>
      <c r="DWK17" s="463"/>
      <c r="DWL17" s="475"/>
      <c r="DWM17" s="476"/>
      <c r="DWN17" s="476"/>
      <c r="DWO17" s="476"/>
      <c r="DWP17" s="476"/>
      <c r="DWQ17" s="476"/>
      <c r="DWR17" s="476"/>
      <c r="DWS17" s="476"/>
      <c r="DWT17" s="476"/>
      <c r="DWU17" s="476"/>
      <c r="DWV17" s="476"/>
      <c r="DWW17" s="476"/>
      <c r="DWX17" s="476"/>
      <c r="DWY17" s="477"/>
      <c r="DWZ17" s="477"/>
      <c r="DXA17" s="463"/>
      <c r="DXB17" s="475"/>
      <c r="DXC17" s="476"/>
      <c r="DXD17" s="476"/>
      <c r="DXE17" s="476"/>
      <c r="DXF17" s="476"/>
      <c r="DXG17" s="476"/>
      <c r="DXH17" s="476"/>
      <c r="DXI17" s="476"/>
      <c r="DXJ17" s="476"/>
      <c r="DXK17" s="476"/>
      <c r="DXL17" s="476"/>
      <c r="DXM17" s="476"/>
      <c r="DXN17" s="476"/>
      <c r="DXO17" s="477"/>
      <c r="DXP17" s="477"/>
      <c r="DXQ17" s="463"/>
      <c r="DXR17" s="475"/>
      <c r="DXS17" s="476"/>
      <c r="DXT17" s="476"/>
      <c r="DXU17" s="476"/>
      <c r="DXV17" s="476"/>
      <c r="DXW17" s="476"/>
      <c r="DXX17" s="476"/>
      <c r="DXY17" s="476"/>
      <c r="DXZ17" s="476"/>
      <c r="DYA17" s="476"/>
      <c r="DYB17" s="476"/>
      <c r="DYC17" s="476"/>
      <c r="DYD17" s="476"/>
      <c r="DYE17" s="477"/>
      <c r="DYF17" s="477"/>
      <c r="DYG17" s="463"/>
      <c r="DYH17" s="475"/>
      <c r="DYI17" s="476"/>
      <c r="DYJ17" s="476"/>
      <c r="DYK17" s="476"/>
      <c r="DYL17" s="476"/>
      <c r="DYM17" s="476"/>
      <c r="DYN17" s="476"/>
      <c r="DYO17" s="476"/>
      <c r="DYP17" s="476"/>
      <c r="DYQ17" s="476"/>
      <c r="DYR17" s="476"/>
      <c r="DYS17" s="476"/>
      <c r="DYT17" s="476"/>
      <c r="DYU17" s="477"/>
      <c r="DYV17" s="477"/>
      <c r="DYW17" s="463"/>
      <c r="DYX17" s="475"/>
      <c r="DYY17" s="476"/>
      <c r="DYZ17" s="476"/>
      <c r="DZA17" s="476"/>
      <c r="DZB17" s="476"/>
      <c r="DZC17" s="476"/>
      <c r="DZD17" s="476"/>
      <c r="DZE17" s="476"/>
      <c r="DZF17" s="476"/>
      <c r="DZG17" s="476"/>
      <c r="DZH17" s="476"/>
      <c r="DZI17" s="476"/>
      <c r="DZJ17" s="476"/>
      <c r="DZK17" s="477"/>
      <c r="DZL17" s="477"/>
      <c r="DZM17" s="463"/>
      <c r="DZN17" s="475"/>
      <c r="DZO17" s="476"/>
      <c r="DZP17" s="476"/>
      <c r="DZQ17" s="476"/>
      <c r="DZR17" s="476"/>
      <c r="DZS17" s="476"/>
      <c r="DZT17" s="476"/>
      <c r="DZU17" s="476"/>
      <c r="DZV17" s="476"/>
      <c r="DZW17" s="476"/>
      <c r="DZX17" s="476"/>
      <c r="DZY17" s="476"/>
      <c r="DZZ17" s="476"/>
      <c r="EAA17" s="477"/>
      <c r="EAB17" s="477"/>
      <c r="EAC17" s="463"/>
      <c r="EAD17" s="475"/>
      <c r="EAE17" s="476"/>
      <c r="EAF17" s="476"/>
      <c r="EAG17" s="476"/>
      <c r="EAH17" s="476"/>
      <c r="EAI17" s="476"/>
      <c r="EAJ17" s="476"/>
      <c r="EAK17" s="476"/>
      <c r="EAL17" s="476"/>
      <c r="EAM17" s="476"/>
      <c r="EAN17" s="476"/>
      <c r="EAO17" s="476"/>
      <c r="EAP17" s="476"/>
      <c r="EAQ17" s="477"/>
      <c r="EAR17" s="477"/>
      <c r="EAS17" s="463"/>
      <c r="EAT17" s="475"/>
      <c r="EAU17" s="476"/>
      <c r="EAV17" s="476"/>
      <c r="EAW17" s="476"/>
      <c r="EAX17" s="476"/>
      <c r="EAY17" s="476"/>
      <c r="EAZ17" s="476"/>
      <c r="EBA17" s="476"/>
      <c r="EBB17" s="476"/>
      <c r="EBC17" s="476"/>
      <c r="EBD17" s="476"/>
      <c r="EBE17" s="476"/>
      <c r="EBF17" s="476"/>
      <c r="EBG17" s="477"/>
      <c r="EBH17" s="477"/>
      <c r="EBI17" s="463"/>
      <c r="EBJ17" s="475"/>
      <c r="EBK17" s="476"/>
      <c r="EBL17" s="476"/>
      <c r="EBM17" s="476"/>
      <c r="EBN17" s="476"/>
      <c r="EBO17" s="476"/>
      <c r="EBP17" s="476"/>
      <c r="EBQ17" s="476"/>
      <c r="EBR17" s="476"/>
      <c r="EBS17" s="476"/>
      <c r="EBT17" s="476"/>
      <c r="EBU17" s="476"/>
      <c r="EBV17" s="476"/>
      <c r="EBW17" s="477"/>
      <c r="EBX17" s="477"/>
      <c r="EBY17" s="463"/>
      <c r="EBZ17" s="475"/>
      <c r="ECA17" s="476"/>
      <c r="ECB17" s="476"/>
      <c r="ECC17" s="476"/>
      <c r="ECD17" s="476"/>
      <c r="ECE17" s="476"/>
      <c r="ECF17" s="476"/>
      <c r="ECG17" s="476"/>
      <c r="ECH17" s="476"/>
      <c r="ECI17" s="476"/>
      <c r="ECJ17" s="476"/>
      <c r="ECK17" s="476"/>
      <c r="ECL17" s="476"/>
      <c r="ECM17" s="477"/>
      <c r="ECN17" s="477"/>
      <c r="ECO17" s="463"/>
      <c r="ECP17" s="475"/>
      <c r="ECQ17" s="476"/>
      <c r="ECR17" s="476"/>
      <c r="ECS17" s="476"/>
      <c r="ECT17" s="476"/>
      <c r="ECU17" s="476"/>
      <c r="ECV17" s="476"/>
      <c r="ECW17" s="476"/>
      <c r="ECX17" s="476"/>
      <c r="ECY17" s="476"/>
      <c r="ECZ17" s="476"/>
      <c r="EDA17" s="476"/>
      <c r="EDB17" s="476"/>
      <c r="EDC17" s="477"/>
      <c r="EDD17" s="477"/>
      <c r="EDE17" s="463"/>
      <c r="EDF17" s="475"/>
      <c r="EDG17" s="476"/>
      <c r="EDH17" s="476"/>
      <c r="EDI17" s="476"/>
      <c r="EDJ17" s="476"/>
      <c r="EDK17" s="476"/>
      <c r="EDL17" s="476"/>
      <c r="EDM17" s="476"/>
      <c r="EDN17" s="476"/>
      <c r="EDO17" s="476"/>
      <c r="EDP17" s="476"/>
      <c r="EDQ17" s="476"/>
      <c r="EDR17" s="476"/>
      <c r="EDS17" s="477"/>
      <c r="EDT17" s="477"/>
      <c r="EDU17" s="463"/>
      <c r="EDV17" s="475"/>
      <c r="EDW17" s="476"/>
      <c r="EDX17" s="476"/>
      <c r="EDY17" s="476"/>
      <c r="EDZ17" s="476"/>
      <c r="EEA17" s="476"/>
      <c r="EEB17" s="476"/>
      <c r="EEC17" s="476"/>
      <c r="EED17" s="476"/>
      <c r="EEE17" s="476"/>
      <c r="EEF17" s="476"/>
      <c r="EEG17" s="476"/>
      <c r="EEH17" s="476"/>
      <c r="EEI17" s="477"/>
      <c r="EEJ17" s="477"/>
      <c r="EEK17" s="463"/>
      <c r="EEL17" s="475"/>
      <c r="EEM17" s="476"/>
      <c r="EEN17" s="476"/>
      <c r="EEO17" s="476"/>
      <c r="EEP17" s="476"/>
      <c r="EEQ17" s="476"/>
      <c r="EER17" s="476"/>
      <c r="EES17" s="476"/>
      <c r="EET17" s="476"/>
      <c r="EEU17" s="476"/>
      <c r="EEV17" s="476"/>
      <c r="EEW17" s="476"/>
      <c r="EEX17" s="476"/>
      <c r="EEY17" s="477"/>
      <c r="EEZ17" s="477"/>
      <c r="EFA17" s="463"/>
      <c r="EFB17" s="475"/>
      <c r="EFC17" s="476"/>
      <c r="EFD17" s="476"/>
      <c r="EFE17" s="476"/>
      <c r="EFF17" s="476"/>
      <c r="EFG17" s="476"/>
      <c r="EFH17" s="476"/>
      <c r="EFI17" s="476"/>
      <c r="EFJ17" s="476"/>
      <c r="EFK17" s="476"/>
      <c r="EFL17" s="476"/>
      <c r="EFM17" s="476"/>
      <c r="EFN17" s="476"/>
      <c r="EFO17" s="477"/>
      <c r="EFP17" s="477"/>
      <c r="EFQ17" s="463"/>
      <c r="EFR17" s="475"/>
      <c r="EFS17" s="476"/>
      <c r="EFT17" s="476"/>
      <c r="EFU17" s="476"/>
      <c r="EFV17" s="476"/>
      <c r="EFW17" s="476"/>
      <c r="EFX17" s="476"/>
      <c r="EFY17" s="476"/>
      <c r="EFZ17" s="476"/>
      <c r="EGA17" s="476"/>
      <c r="EGB17" s="476"/>
      <c r="EGC17" s="476"/>
      <c r="EGD17" s="476"/>
      <c r="EGE17" s="477"/>
      <c r="EGF17" s="477"/>
      <c r="EGG17" s="463"/>
      <c r="EGH17" s="475"/>
      <c r="EGI17" s="476"/>
      <c r="EGJ17" s="476"/>
      <c r="EGK17" s="476"/>
      <c r="EGL17" s="476"/>
      <c r="EGM17" s="476"/>
      <c r="EGN17" s="476"/>
      <c r="EGO17" s="476"/>
      <c r="EGP17" s="476"/>
      <c r="EGQ17" s="476"/>
      <c r="EGR17" s="476"/>
      <c r="EGS17" s="476"/>
      <c r="EGT17" s="476"/>
      <c r="EGU17" s="477"/>
      <c r="EGV17" s="477"/>
      <c r="EGW17" s="463"/>
      <c r="EGX17" s="475"/>
      <c r="EGY17" s="476"/>
      <c r="EGZ17" s="476"/>
      <c r="EHA17" s="476"/>
      <c r="EHB17" s="476"/>
      <c r="EHC17" s="476"/>
      <c r="EHD17" s="476"/>
      <c r="EHE17" s="476"/>
      <c r="EHF17" s="476"/>
      <c r="EHG17" s="476"/>
      <c r="EHH17" s="476"/>
      <c r="EHI17" s="476"/>
      <c r="EHJ17" s="476"/>
      <c r="EHK17" s="477"/>
      <c r="EHL17" s="477"/>
      <c r="EHM17" s="463"/>
      <c r="EHN17" s="475"/>
      <c r="EHO17" s="476"/>
      <c r="EHP17" s="476"/>
      <c r="EHQ17" s="476"/>
      <c r="EHR17" s="476"/>
      <c r="EHS17" s="476"/>
      <c r="EHT17" s="476"/>
      <c r="EHU17" s="476"/>
      <c r="EHV17" s="476"/>
      <c r="EHW17" s="476"/>
      <c r="EHX17" s="476"/>
      <c r="EHY17" s="476"/>
      <c r="EHZ17" s="476"/>
      <c r="EIA17" s="477"/>
      <c r="EIB17" s="477"/>
      <c r="EIC17" s="463"/>
      <c r="EID17" s="475"/>
      <c r="EIE17" s="476"/>
      <c r="EIF17" s="476"/>
      <c r="EIG17" s="476"/>
      <c r="EIH17" s="476"/>
      <c r="EII17" s="476"/>
      <c r="EIJ17" s="476"/>
      <c r="EIK17" s="476"/>
      <c r="EIL17" s="476"/>
      <c r="EIM17" s="476"/>
      <c r="EIN17" s="476"/>
      <c r="EIO17" s="476"/>
      <c r="EIP17" s="476"/>
      <c r="EIQ17" s="477"/>
      <c r="EIR17" s="477"/>
      <c r="EIS17" s="463"/>
      <c r="EIT17" s="475"/>
      <c r="EIU17" s="476"/>
      <c r="EIV17" s="476"/>
      <c r="EIW17" s="476"/>
      <c r="EIX17" s="476"/>
      <c r="EIY17" s="476"/>
      <c r="EIZ17" s="476"/>
      <c r="EJA17" s="476"/>
      <c r="EJB17" s="476"/>
      <c r="EJC17" s="476"/>
      <c r="EJD17" s="476"/>
      <c r="EJE17" s="476"/>
      <c r="EJF17" s="476"/>
      <c r="EJG17" s="477"/>
      <c r="EJH17" s="477"/>
      <c r="EJI17" s="463"/>
      <c r="EJJ17" s="475"/>
      <c r="EJK17" s="476"/>
      <c r="EJL17" s="476"/>
      <c r="EJM17" s="476"/>
      <c r="EJN17" s="476"/>
      <c r="EJO17" s="476"/>
      <c r="EJP17" s="476"/>
      <c r="EJQ17" s="476"/>
      <c r="EJR17" s="476"/>
      <c r="EJS17" s="476"/>
      <c r="EJT17" s="476"/>
      <c r="EJU17" s="476"/>
      <c r="EJV17" s="476"/>
      <c r="EJW17" s="477"/>
      <c r="EJX17" s="477"/>
      <c r="EJY17" s="463"/>
      <c r="EJZ17" s="475"/>
      <c r="EKA17" s="476"/>
      <c r="EKB17" s="476"/>
      <c r="EKC17" s="476"/>
      <c r="EKD17" s="476"/>
      <c r="EKE17" s="476"/>
      <c r="EKF17" s="476"/>
      <c r="EKG17" s="476"/>
      <c r="EKH17" s="476"/>
      <c r="EKI17" s="476"/>
      <c r="EKJ17" s="476"/>
      <c r="EKK17" s="476"/>
      <c r="EKL17" s="476"/>
      <c r="EKM17" s="477"/>
      <c r="EKN17" s="477"/>
      <c r="EKO17" s="463"/>
      <c r="EKP17" s="475"/>
      <c r="EKQ17" s="476"/>
      <c r="EKR17" s="476"/>
      <c r="EKS17" s="476"/>
      <c r="EKT17" s="476"/>
      <c r="EKU17" s="476"/>
      <c r="EKV17" s="476"/>
      <c r="EKW17" s="476"/>
      <c r="EKX17" s="476"/>
      <c r="EKY17" s="476"/>
      <c r="EKZ17" s="476"/>
      <c r="ELA17" s="476"/>
      <c r="ELB17" s="476"/>
      <c r="ELC17" s="477"/>
      <c r="ELD17" s="477"/>
      <c r="ELE17" s="463"/>
      <c r="ELF17" s="475"/>
      <c r="ELG17" s="476"/>
      <c r="ELH17" s="476"/>
      <c r="ELI17" s="476"/>
      <c r="ELJ17" s="476"/>
      <c r="ELK17" s="476"/>
      <c r="ELL17" s="476"/>
      <c r="ELM17" s="476"/>
      <c r="ELN17" s="476"/>
      <c r="ELO17" s="476"/>
      <c r="ELP17" s="476"/>
      <c r="ELQ17" s="476"/>
      <c r="ELR17" s="476"/>
      <c r="ELS17" s="477"/>
      <c r="ELT17" s="477"/>
      <c r="ELU17" s="463"/>
      <c r="ELV17" s="475"/>
      <c r="ELW17" s="476"/>
      <c r="ELX17" s="476"/>
      <c r="ELY17" s="476"/>
      <c r="ELZ17" s="476"/>
      <c r="EMA17" s="476"/>
      <c r="EMB17" s="476"/>
      <c r="EMC17" s="476"/>
      <c r="EMD17" s="476"/>
      <c r="EME17" s="476"/>
      <c r="EMF17" s="476"/>
      <c r="EMG17" s="476"/>
      <c r="EMH17" s="476"/>
      <c r="EMI17" s="477"/>
      <c r="EMJ17" s="477"/>
      <c r="EMK17" s="463"/>
      <c r="EML17" s="475"/>
      <c r="EMM17" s="476"/>
      <c r="EMN17" s="476"/>
      <c r="EMO17" s="476"/>
      <c r="EMP17" s="476"/>
      <c r="EMQ17" s="476"/>
      <c r="EMR17" s="476"/>
      <c r="EMS17" s="476"/>
      <c r="EMT17" s="476"/>
      <c r="EMU17" s="476"/>
      <c r="EMV17" s="476"/>
      <c r="EMW17" s="476"/>
      <c r="EMX17" s="476"/>
      <c r="EMY17" s="477"/>
      <c r="EMZ17" s="477"/>
      <c r="ENA17" s="463"/>
      <c r="ENB17" s="475"/>
      <c r="ENC17" s="476"/>
      <c r="END17" s="476"/>
      <c r="ENE17" s="476"/>
      <c r="ENF17" s="476"/>
      <c r="ENG17" s="476"/>
      <c r="ENH17" s="476"/>
      <c r="ENI17" s="476"/>
      <c r="ENJ17" s="476"/>
      <c r="ENK17" s="476"/>
      <c r="ENL17" s="476"/>
      <c r="ENM17" s="476"/>
      <c r="ENN17" s="476"/>
      <c r="ENO17" s="477"/>
      <c r="ENP17" s="477"/>
      <c r="ENQ17" s="463"/>
      <c r="ENR17" s="475"/>
      <c r="ENS17" s="476"/>
      <c r="ENT17" s="476"/>
      <c r="ENU17" s="476"/>
      <c r="ENV17" s="476"/>
      <c r="ENW17" s="476"/>
      <c r="ENX17" s="476"/>
      <c r="ENY17" s="476"/>
      <c r="ENZ17" s="476"/>
      <c r="EOA17" s="476"/>
      <c r="EOB17" s="476"/>
      <c r="EOC17" s="476"/>
      <c r="EOD17" s="476"/>
      <c r="EOE17" s="477"/>
      <c r="EOF17" s="477"/>
      <c r="EOG17" s="463"/>
      <c r="EOH17" s="475"/>
      <c r="EOI17" s="476"/>
      <c r="EOJ17" s="476"/>
      <c r="EOK17" s="476"/>
      <c r="EOL17" s="476"/>
      <c r="EOM17" s="476"/>
      <c r="EON17" s="476"/>
      <c r="EOO17" s="476"/>
      <c r="EOP17" s="476"/>
      <c r="EOQ17" s="476"/>
      <c r="EOR17" s="476"/>
      <c r="EOS17" s="476"/>
      <c r="EOT17" s="476"/>
      <c r="EOU17" s="477"/>
      <c r="EOV17" s="477"/>
      <c r="EOW17" s="463"/>
      <c r="EOX17" s="475"/>
      <c r="EOY17" s="476"/>
      <c r="EOZ17" s="476"/>
      <c r="EPA17" s="476"/>
      <c r="EPB17" s="476"/>
      <c r="EPC17" s="476"/>
      <c r="EPD17" s="476"/>
      <c r="EPE17" s="476"/>
      <c r="EPF17" s="476"/>
      <c r="EPG17" s="476"/>
      <c r="EPH17" s="476"/>
      <c r="EPI17" s="476"/>
      <c r="EPJ17" s="476"/>
      <c r="EPK17" s="477"/>
      <c r="EPL17" s="477"/>
      <c r="EPM17" s="463"/>
      <c r="EPN17" s="475"/>
      <c r="EPO17" s="476"/>
      <c r="EPP17" s="476"/>
      <c r="EPQ17" s="476"/>
      <c r="EPR17" s="476"/>
      <c r="EPS17" s="476"/>
      <c r="EPT17" s="476"/>
      <c r="EPU17" s="476"/>
      <c r="EPV17" s="476"/>
      <c r="EPW17" s="476"/>
      <c r="EPX17" s="476"/>
      <c r="EPY17" s="476"/>
      <c r="EPZ17" s="476"/>
      <c r="EQA17" s="477"/>
      <c r="EQB17" s="477"/>
      <c r="EQC17" s="463"/>
      <c r="EQD17" s="475"/>
      <c r="EQE17" s="476"/>
      <c r="EQF17" s="476"/>
      <c r="EQG17" s="476"/>
      <c r="EQH17" s="476"/>
      <c r="EQI17" s="476"/>
      <c r="EQJ17" s="476"/>
      <c r="EQK17" s="476"/>
      <c r="EQL17" s="476"/>
      <c r="EQM17" s="476"/>
      <c r="EQN17" s="476"/>
      <c r="EQO17" s="476"/>
      <c r="EQP17" s="476"/>
      <c r="EQQ17" s="477"/>
      <c r="EQR17" s="477"/>
      <c r="EQS17" s="463"/>
      <c r="EQT17" s="475"/>
      <c r="EQU17" s="476"/>
      <c r="EQV17" s="476"/>
      <c r="EQW17" s="476"/>
      <c r="EQX17" s="476"/>
      <c r="EQY17" s="476"/>
      <c r="EQZ17" s="476"/>
      <c r="ERA17" s="476"/>
      <c r="ERB17" s="476"/>
      <c r="ERC17" s="476"/>
      <c r="ERD17" s="476"/>
      <c r="ERE17" s="476"/>
      <c r="ERF17" s="476"/>
      <c r="ERG17" s="477"/>
      <c r="ERH17" s="477"/>
      <c r="ERI17" s="463"/>
      <c r="ERJ17" s="475"/>
      <c r="ERK17" s="476"/>
      <c r="ERL17" s="476"/>
      <c r="ERM17" s="476"/>
      <c r="ERN17" s="476"/>
      <c r="ERO17" s="476"/>
      <c r="ERP17" s="476"/>
      <c r="ERQ17" s="476"/>
      <c r="ERR17" s="476"/>
      <c r="ERS17" s="476"/>
      <c r="ERT17" s="476"/>
      <c r="ERU17" s="476"/>
      <c r="ERV17" s="476"/>
      <c r="ERW17" s="477"/>
      <c r="ERX17" s="477"/>
      <c r="ERY17" s="463"/>
      <c r="ERZ17" s="475"/>
      <c r="ESA17" s="476"/>
      <c r="ESB17" s="476"/>
      <c r="ESC17" s="476"/>
      <c r="ESD17" s="476"/>
      <c r="ESE17" s="476"/>
      <c r="ESF17" s="476"/>
      <c r="ESG17" s="476"/>
      <c r="ESH17" s="476"/>
      <c r="ESI17" s="476"/>
      <c r="ESJ17" s="476"/>
      <c r="ESK17" s="476"/>
      <c r="ESL17" s="476"/>
      <c r="ESM17" s="477"/>
      <c r="ESN17" s="477"/>
      <c r="ESO17" s="463"/>
      <c r="ESP17" s="475"/>
      <c r="ESQ17" s="476"/>
      <c r="ESR17" s="476"/>
      <c r="ESS17" s="476"/>
      <c r="EST17" s="476"/>
      <c r="ESU17" s="476"/>
      <c r="ESV17" s="476"/>
      <c r="ESW17" s="476"/>
      <c r="ESX17" s="476"/>
      <c r="ESY17" s="476"/>
      <c r="ESZ17" s="476"/>
      <c r="ETA17" s="476"/>
      <c r="ETB17" s="476"/>
      <c r="ETC17" s="477"/>
      <c r="ETD17" s="477"/>
      <c r="ETE17" s="463"/>
      <c r="ETF17" s="475"/>
      <c r="ETG17" s="476"/>
      <c r="ETH17" s="476"/>
      <c r="ETI17" s="476"/>
      <c r="ETJ17" s="476"/>
      <c r="ETK17" s="476"/>
      <c r="ETL17" s="476"/>
      <c r="ETM17" s="476"/>
      <c r="ETN17" s="476"/>
      <c r="ETO17" s="476"/>
      <c r="ETP17" s="476"/>
      <c r="ETQ17" s="476"/>
      <c r="ETR17" s="476"/>
      <c r="ETS17" s="477"/>
      <c r="ETT17" s="477"/>
      <c r="ETU17" s="463"/>
      <c r="ETV17" s="475"/>
      <c r="ETW17" s="476"/>
      <c r="ETX17" s="476"/>
      <c r="ETY17" s="476"/>
      <c r="ETZ17" s="476"/>
      <c r="EUA17" s="476"/>
      <c r="EUB17" s="476"/>
      <c r="EUC17" s="476"/>
      <c r="EUD17" s="476"/>
      <c r="EUE17" s="476"/>
      <c r="EUF17" s="476"/>
      <c r="EUG17" s="476"/>
      <c r="EUH17" s="476"/>
      <c r="EUI17" s="477"/>
      <c r="EUJ17" s="477"/>
      <c r="EUK17" s="463"/>
      <c r="EUL17" s="475"/>
      <c r="EUM17" s="476"/>
      <c r="EUN17" s="476"/>
      <c r="EUO17" s="476"/>
      <c r="EUP17" s="476"/>
      <c r="EUQ17" s="476"/>
      <c r="EUR17" s="476"/>
      <c r="EUS17" s="476"/>
      <c r="EUT17" s="476"/>
      <c r="EUU17" s="476"/>
      <c r="EUV17" s="476"/>
      <c r="EUW17" s="476"/>
      <c r="EUX17" s="476"/>
      <c r="EUY17" s="477"/>
      <c r="EUZ17" s="477"/>
      <c r="EVA17" s="463"/>
      <c r="EVB17" s="475"/>
      <c r="EVC17" s="476"/>
      <c r="EVD17" s="476"/>
      <c r="EVE17" s="476"/>
      <c r="EVF17" s="476"/>
      <c r="EVG17" s="476"/>
      <c r="EVH17" s="476"/>
      <c r="EVI17" s="476"/>
      <c r="EVJ17" s="476"/>
      <c r="EVK17" s="476"/>
      <c r="EVL17" s="476"/>
      <c r="EVM17" s="476"/>
      <c r="EVN17" s="476"/>
      <c r="EVO17" s="477"/>
      <c r="EVP17" s="477"/>
      <c r="EVQ17" s="463"/>
      <c r="EVR17" s="475"/>
      <c r="EVS17" s="476"/>
      <c r="EVT17" s="476"/>
      <c r="EVU17" s="476"/>
      <c r="EVV17" s="476"/>
      <c r="EVW17" s="476"/>
      <c r="EVX17" s="476"/>
      <c r="EVY17" s="476"/>
      <c r="EVZ17" s="476"/>
      <c r="EWA17" s="476"/>
      <c r="EWB17" s="476"/>
      <c r="EWC17" s="476"/>
      <c r="EWD17" s="476"/>
      <c r="EWE17" s="477"/>
      <c r="EWF17" s="477"/>
      <c r="EWG17" s="463"/>
      <c r="EWH17" s="475"/>
      <c r="EWI17" s="476"/>
      <c r="EWJ17" s="476"/>
      <c r="EWK17" s="476"/>
      <c r="EWL17" s="476"/>
      <c r="EWM17" s="476"/>
      <c r="EWN17" s="476"/>
      <c r="EWO17" s="476"/>
      <c r="EWP17" s="476"/>
      <c r="EWQ17" s="476"/>
      <c r="EWR17" s="476"/>
      <c r="EWS17" s="476"/>
      <c r="EWT17" s="476"/>
      <c r="EWU17" s="477"/>
      <c r="EWV17" s="477"/>
      <c r="EWW17" s="463"/>
      <c r="EWX17" s="475"/>
      <c r="EWY17" s="476"/>
      <c r="EWZ17" s="476"/>
      <c r="EXA17" s="476"/>
      <c r="EXB17" s="476"/>
      <c r="EXC17" s="476"/>
      <c r="EXD17" s="476"/>
      <c r="EXE17" s="476"/>
      <c r="EXF17" s="476"/>
      <c r="EXG17" s="476"/>
      <c r="EXH17" s="476"/>
      <c r="EXI17" s="476"/>
      <c r="EXJ17" s="476"/>
      <c r="EXK17" s="477"/>
      <c r="EXL17" s="477"/>
      <c r="EXM17" s="463"/>
      <c r="EXN17" s="475"/>
      <c r="EXO17" s="476"/>
      <c r="EXP17" s="476"/>
      <c r="EXQ17" s="476"/>
      <c r="EXR17" s="476"/>
      <c r="EXS17" s="476"/>
      <c r="EXT17" s="476"/>
      <c r="EXU17" s="476"/>
      <c r="EXV17" s="476"/>
      <c r="EXW17" s="476"/>
      <c r="EXX17" s="476"/>
      <c r="EXY17" s="476"/>
      <c r="EXZ17" s="476"/>
      <c r="EYA17" s="477"/>
      <c r="EYB17" s="477"/>
      <c r="EYC17" s="463"/>
      <c r="EYD17" s="475"/>
      <c r="EYE17" s="476"/>
      <c r="EYF17" s="476"/>
      <c r="EYG17" s="476"/>
      <c r="EYH17" s="476"/>
      <c r="EYI17" s="476"/>
      <c r="EYJ17" s="476"/>
      <c r="EYK17" s="476"/>
      <c r="EYL17" s="476"/>
      <c r="EYM17" s="476"/>
      <c r="EYN17" s="476"/>
      <c r="EYO17" s="476"/>
      <c r="EYP17" s="476"/>
      <c r="EYQ17" s="477"/>
      <c r="EYR17" s="477"/>
      <c r="EYS17" s="463"/>
      <c r="EYT17" s="475"/>
      <c r="EYU17" s="476"/>
      <c r="EYV17" s="476"/>
      <c r="EYW17" s="476"/>
      <c r="EYX17" s="476"/>
      <c r="EYY17" s="476"/>
      <c r="EYZ17" s="476"/>
      <c r="EZA17" s="476"/>
      <c r="EZB17" s="476"/>
      <c r="EZC17" s="476"/>
      <c r="EZD17" s="476"/>
      <c r="EZE17" s="476"/>
      <c r="EZF17" s="476"/>
      <c r="EZG17" s="477"/>
      <c r="EZH17" s="477"/>
      <c r="EZI17" s="463"/>
      <c r="EZJ17" s="475"/>
      <c r="EZK17" s="476"/>
      <c r="EZL17" s="476"/>
      <c r="EZM17" s="476"/>
      <c r="EZN17" s="476"/>
      <c r="EZO17" s="476"/>
      <c r="EZP17" s="476"/>
      <c r="EZQ17" s="476"/>
      <c r="EZR17" s="476"/>
      <c r="EZS17" s="476"/>
      <c r="EZT17" s="476"/>
      <c r="EZU17" s="476"/>
      <c r="EZV17" s="476"/>
      <c r="EZW17" s="477"/>
      <c r="EZX17" s="477"/>
      <c r="EZY17" s="463"/>
      <c r="EZZ17" s="475"/>
      <c r="FAA17" s="476"/>
      <c r="FAB17" s="476"/>
      <c r="FAC17" s="476"/>
      <c r="FAD17" s="476"/>
      <c r="FAE17" s="476"/>
      <c r="FAF17" s="476"/>
      <c r="FAG17" s="476"/>
      <c r="FAH17" s="476"/>
      <c r="FAI17" s="476"/>
      <c r="FAJ17" s="476"/>
      <c r="FAK17" s="476"/>
      <c r="FAL17" s="476"/>
      <c r="FAM17" s="477"/>
      <c r="FAN17" s="477"/>
      <c r="FAO17" s="463"/>
      <c r="FAP17" s="475"/>
      <c r="FAQ17" s="476"/>
      <c r="FAR17" s="476"/>
      <c r="FAS17" s="476"/>
      <c r="FAT17" s="476"/>
      <c r="FAU17" s="476"/>
      <c r="FAV17" s="476"/>
      <c r="FAW17" s="476"/>
      <c r="FAX17" s="476"/>
      <c r="FAY17" s="476"/>
      <c r="FAZ17" s="476"/>
      <c r="FBA17" s="476"/>
      <c r="FBB17" s="476"/>
      <c r="FBC17" s="477"/>
      <c r="FBD17" s="477"/>
      <c r="FBE17" s="463"/>
      <c r="FBF17" s="475"/>
      <c r="FBG17" s="476"/>
      <c r="FBH17" s="476"/>
      <c r="FBI17" s="476"/>
      <c r="FBJ17" s="476"/>
      <c r="FBK17" s="476"/>
      <c r="FBL17" s="476"/>
      <c r="FBM17" s="476"/>
      <c r="FBN17" s="476"/>
      <c r="FBO17" s="476"/>
      <c r="FBP17" s="476"/>
      <c r="FBQ17" s="476"/>
      <c r="FBR17" s="476"/>
      <c r="FBS17" s="477"/>
      <c r="FBT17" s="477"/>
      <c r="FBU17" s="463"/>
      <c r="FBV17" s="475"/>
      <c r="FBW17" s="476"/>
      <c r="FBX17" s="476"/>
      <c r="FBY17" s="476"/>
      <c r="FBZ17" s="476"/>
      <c r="FCA17" s="476"/>
      <c r="FCB17" s="476"/>
      <c r="FCC17" s="476"/>
      <c r="FCD17" s="476"/>
      <c r="FCE17" s="476"/>
      <c r="FCF17" s="476"/>
      <c r="FCG17" s="476"/>
      <c r="FCH17" s="476"/>
      <c r="FCI17" s="477"/>
      <c r="FCJ17" s="477"/>
      <c r="FCK17" s="463"/>
      <c r="FCL17" s="475"/>
      <c r="FCM17" s="476"/>
      <c r="FCN17" s="476"/>
      <c r="FCO17" s="476"/>
      <c r="FCP17" s="476"/>
      <c r="FCQ17" s="476"/>
      <c r="FCR17" s="476"/>
      <c r="FCS17" s="476"/>
      <c r="FCT17" s="476"/>
      <c r="FCU17" s="476"/>
      <c r="FCV17" s="476"/>
      <c r="FCW17" s="476"/>
      <c r="FCX17" s="476"/>
      <c r="FCY17" s="477"/>
      <c r="FCZ17" s="477"/>
      <c r="FDA17" s="463"/>
      <c r="FDB17" s="475"/>
      <c r="FDC17" s="476"/>
      <c r="FDD17" s="476"/>
      <c r="FDE17" s="476"/>
      <c r="FDF17" s="476"/>
      <c r="FDG17" s="476"/>
      <c r="FDH17" s="476"/>
      <c r="FDI17" s="476"/>
      <c r="FDJ17" s="476"/>
      <c r="FDK17" s="476"/>
      <c r="FDL17" s="476"/>
      <c r="FDM17" s="476"/>
      <c r="FDN17" s="476"/>
      <c r="FDO17" s="477"/>
      <c r="FDP17" s="477"/>
      <c r="FDQ17" s="463"/>
      <c r="FDR17" s="475"/>
      <c r="FDS17" s="476"/>
      <c r="FDT17" s="476"/>
      <c r="FDU17" s="476"/>
      <c r="FDV17" s="476"/>
      <c r="FDW17" s="476"/>
      <c r="FDX17" s="476"/>
      <c r="FDY17" s="476"/>
      <c r="FDZ17" s="476"/>
      <c r="FEA17" s="476"/>
      <c r="FEB17" s="476"/>
      <c r="FEC17" s="476"/>
      <c r="FED17" s="476"/>
      <c r="FEE17" s="477"/>
      <c r="FEF17" s="477"/>
      <c r="FEG17" s="463"/>
      <c r="FEH17" s="475"/>
      <c r="FEI17" s="476"/>
      <c r="FEJ17" s="476"/>
      <c r="FEK17" s="476"/>
      <c r="FEL17" s="476"/>
      <c r="FEM17" s="476"/>
      <c r="FEN17" s="476"/>
      <c r="FEO17" s="476"/>
      <c r="FEP17" s="476"/>
      <c r="FEQ17" s="476"/>
      <c r="FER17" s="476"/>
      <c r="FES17" s="476"/>
      <c r="FET17" s="476"/>
      <c r="FEU17" s="477"/>
      <c r="FEV17" s="477"/>
      <c r="FEW17" s="463"/>
      <c r="FEX17" s="475"/>
      <c r="FEY17" s="476"/>
      <c r="FEZ17" s="476"/>
      <c r="FFA17" s="476"/>
      <c r="FFB17" s="476"/>
      <c r="FFC17" s="476"/>
      <c r="FFD17" s="476"/>
      <c r="FFE17" s="476"/>
      <c r="FFF17" s="476"/>
      <c r="FFG17" s="476"/>
      <c r="FFH17" s="476"/>
      <c r="FFI17" s="476"/>
      <c r="FFJ17" s="476"/>
      <c r="FFK17" s="477"/>
      <c r="FFL17" s="477"/>
      <c r="FFM17" s="463"/>
      <c r="FFN17" s="475"/>
      <c r="FFO17" s="476"/>
      <c r="FFP17" s="476"/>
      <c r="FFQ17" s="476"/>
      <c r="FFR17" s="476"/>
      <c r="FFS17" s="476"/>
      <c r="FFT17" s="476"/>
      <c r="FFU17" s="476"/>
      <c r="FFV17" s="476"/>
      <c r="FFW17" s="476"/>
      <c r="FFX17" s="476"/>
      <c r="FFY17" s="476"/>
      <c r="FFZ17" s="476"/>
      <c r="FGA17" s="477"/>
      <c r="FGB17" s="477"/>
      <c r="FGC17" s="463"/>
      <c r="FGD17" s="475"/>
      <c r="FGE17" s="476"/>
      <c r="FGF17" s="476"/>
      <c r="FGG17" s="476"/>
      <c r="FGH17" s="476"/>
      <c r="FGI17" s="476"/>
      <c r="FGJ17" s="476"/>
      <c r="FGK17" s="476"/>
      <c r="FGL17" s="476"/>
      <c r="FGM17" s="476"/>
      <c r="FGN17" s="476"/>
      <c r="FGO17" s="476"/>
      <c r="FGP17" s="476"/>
      <c r="FGQ17" s="477"/>
      <c r="FGR17" s="477"/>
      <c r="FGS17" s="463"/>
      <c r="FGT17" s="475"/>
      <c r="FGU17" s="476"/>
      <c r="FGV17" s="476"/>
      <c r="FGW17" s="476"/>
      <c r="FGX17" s="476"/>
      <c r="FGY17" s="476"/>
      <c r="FGZ17" s="476"/>
      <c r="FHA17" s="476"/>
      <c r="FHB17" s="476"/>
      <c r="FHC17" s="476"/>
      <c r="FHD17" s="476"/>
      <c r="FHE17" s="476"/>
      <c r="FHF17" s="476"/>
      <c r="FHG17" s="477"/>
      <c r="FHH17" s="477"/>
      <c r="FHI17" s="463"/>
      <c r="FHJ17" s="475"/>
      <c r="FHK17" s="476"/>
      <c r="FHL17" s="476"/>
      <c r="FHM17" s="476"/>
      <c r="FHN17" s="476"/>
      <c r="FHO17" s="476"/>
      <c r="FHP17" s="476"/>
      <c r="FHQ17" s="476"/>
      <c r="FHR17" s="476"/>
      <c r="FHS17" s="476"/>
      <c r="FHT17" s="476"/>
      <c r="FHU17" s="476"/>
      <c r="FHV17" s="476"/>
      <c r="FHW17" s="477"/>
      <c r="FHX17" s="477"/>
      <c r="FHY17" s="463"/>
      <c r="FHZ17" s="475"/>
      <c r="FIA17" s="476"/>
      <c r="FIB17" s="476"/>
      <c r="FIC17" s="476"/>
      <c r="FID17" s="476"/>
      <c r="FIE17" s="476"/>
      <c r="FIF17" s="476"/>
      <c r="FIG17" s="476"/>
      <c r="FIH17" s="476"/>
      <c r="FII17" s="476"/>
      <c r="FIJ17" s="476"/>
      <c r="FIK17" s="476"/>
      <c r="FIL17" s="476"/>
      <c r="FIM17" s="477"/>
      <c r="FIN17" s="477"/>
      <c r="FIO17" s="463"/>
      <c r="FIP17" s="475"/>
      <c r="FIQ17" s="476"/>
      <c r="FIR17" s="476"/>
      <c r="FIS17" s="476"/>
      <c r="FIT17" s="476"/>
      <c r="FIU17" s="476"/>
      <c r="FIV17" s="476"/>
      <c r="FIW17" s="476"/>
      <c r="FIX17" s="476"/>
      <c r="FIY17" s="476"/>
      <c r="FIZ17" s="476"/>
      <c r="FJA17" s="476"/>
      <c r="FJB17" s="476"/>
      <c r="FJC17" s="477"/>
      <c r="FJD17" s="477"/>
      <c r="FJE17" s="463"/>
      <c r="FJF17" s="475"/>
      <c r="FJG17" s="476"/>
      <c r="FJH17" s="476"/>
      <c r="FJI17" s="476"/>
      <c r="FJJ17" s="476"/>
      <c r="FJK17" s="476"/>
      <c r="FJL17" s="476"/>
      <c r="FJM17" s="476"/>
      <c r="FJN17" s="476"/>
      <c r="FJO17" s="476"/>
      <c r="FJP17" s="476"/>
      <c r="FJQ17" s="476"/>
      <c r="FJR17" s="476"/>
      <c r="FJS17" s="477"/>
      <c r="FJT17" s="477"/>
      <c r="FJU17" s="463"/>
      <c r="FJV17" s="475"/>
      <c r="FJW17" s="476"/>
      <c r="FJX17" s="476"/>
      <c r="FJY17" s="476"/>
      <c r="FJZ17" s="476"/>
      <c r="FKA17" s="476"/>
      <c r="FKB17" s="476"/>
      <c r="FKC17" s="476"/>
      <c r="FKD17" s="476"/>
      <c r="FKE17" s="476"/>
      <c r="FKF17" s="476"/>
      <c r="FKG17" s="476"/>
      <c r="FKH17" s="476"/>
      <c r="FKI17" s="477"/>
      <c r="FKJ17" s="477"/>
      <c r="FKK17" s="463"/>
      <c r="FKL17" s="475"/>
      <c r="FKM17" s="476"/>
      <c r="FKN17" s="476"/>
      <c r="FKO17" s="476"/>
      <c r="FKP17" s="476"/>
      <c r="FKQ17" s="476"/>
      <c r="FKR17" s="476"/>
      <c r="FKS17" s="476"/>
      <c r="FKT17" s="476"/>
      <c r="FKU17" s="476"/>
      <c r="FKV17" s="476"/>
      <c r="FKW17" s="476"/>
      <c r="FKX17" s="476"/>
      <c r="FKY17" s="477"/>
      <c r="FKZ17" s="477"/>
      <c r="FLA17" s="463"/>
      <c r="FLB17" s="475"/>
      <c r="FLC17" s="476"/>
      <c r="FLD17" s="476"/>
      <c r="FLE17" s="476"/>
      <c r="FLF17" s="476"/>
      <c r="FLG17" s="476"/>
      <c r="FLH17" s="476"/>
      <c r="FLI17" s="476"/>
      <c r="FLJ17" s="476"/>
      <c r="FLK17" s="476"/>
      <c r="FLL17" s="476"/>
      <c r="FLM17" s="476"/>
      <c r="FLN17" s="476"/>
      <c r="FLO17" s="477"/>
      <c r="FLP17" s="477"/>
      <c r="FLQ17" s="463"/>
      <c r="FLR17" s="475"/>
      <c r="FLS17" s="476"/>
      <c r="FLT17" s="476"/>
      <c r="FLU17" s="476"/>
      <c r="FLV17" s="476"/>
      <c r="FLW17" s="476"/>
      <c r="FLX17" s="476"/>
      <c r="FLY17" s="476"/>
      <c r="FLZ17" s="476"/>
      <c r="FMA17" s="476"/>
      <c r="FMB17" s="476"/>
      <c r="FMC17" s="476"/>
      <c r="FMD17" s="476"/>
      <c r="FME17" s="477"/>
      <c r="FMF17" s="477"/>
      <c r="FMG17" s="463"/>
      <c r="FMH17" s="475"/>
      <c r="FMI17" s="476"/>
      <c r="FMJ17" s="476"/>
      <c r="FMK17" s="476"/>
      <c r="FML17" s="476"/>
      <c r="FMM17" s="476"/>
      <c r="FMN17" s="476"/>
      <c r="FMO17" s="476"/>
      <c r="FMP17" s="476"/>
      <c r="FMQ17" s="476"/>
      <c r="FMR17" s="476"/>
      <c r="FMS17" s="476"/>
      <c r="FMT17" s="476"/>
      <c r="FMU17" s="477"/>
      <c r="FMV17" s="477"/>
      <c r="FMW17" s="463"/>
      <c r="FMX17" s="475"/>
      <c r="FMY17" s="476"/>
      <c r="FMZ17" s="476"/>
      <c r="FNA17" s="476"/>
      <c r="FNB17" s="476"/>
      <c r="FNC17" s="476"/>
      <c r="FND17" s="476"/>
      <c r="FNE17" s="476"/>
      <c r="FNF17" s="476"/>
      <c r="FNG17" s="476"/>
      <c r="FNH17" s="476"/>
      <c r="FNI17" s="476"/>
      <c r="FNJ17" s="476"/>
      <c r="FNK17" s="477"/>
      <c r="FNL17" s="477"/>
      <c r="FNM17" s="463"/>
      <c r="FNN17" s="475"/>
      <c r="FNO17" s="476"/>
      <c r="FNP17" s="476"/>
      <c r="FNQ17" s="476"/>
      <c r="FNR17" s="476"/>
      <c r="FNS17" s="476"/>
      <c r="FNT17" s="476"/>
      <c r="FNU17" s="476"/>
      <c r="FNV17" s="476"/>
      <c r="FNW17" s="476"/>
      <c r="FNX17" s="476"/>
      <c r="FNY17" s="476"/>
      <c r="FNZ17" s="476"/>
      <c r="FOA17" s="477"/>
      <c r="FOB17" s="477"/>
      <c r="FOC17" s="463"/>
      <c r="FOD17" s="475"/>
      <c r="FOE17" s="476"/>
      <c r="FOF17" s="476"/>
      <c r="FOG17" s="476"/>
      <c r="FOH17" s="476"/>
      <c r="FOI17" s="476"/>
      <c r="FOJ17" s="476"/>
      <c r="FOK17" s="476"/>
      <c r="FOL17" s="476"/>
      <c r="FOM17" s="476"/>
      <c r="FON17" s="476"/>
      <c r="FOO17" s="476"/>
      <c r="FOP17" s="476"/>
      <c r="FOQ17" s="477"/>
      <c r="FOR17" s="477"/>
      <c r="FOS17" s="463"/>
      <c r="FOT17" s="475"/>
      <c r="FOU17" s="476"/>
      <c r="FOV17" s="476"/>
      <c r="FOW17" s="476"/>
      <c r="FOX17" s="476"/>
      <c r="FOY17" s="476"/>
      <c r="FOZ17" s="476"/>
      <c r="FPA17" s="476"/>
      <c r="FPB17" s="476"/>
      <c r="FPC17" s="476"/>
      <c r="FPD17" s="476"/>
      <c r="FPE17" s="476"/>
      <c r="FPF17" s="476"/>
      <c r="FPG17" s="477"/>
      <c r="FPH17" s="477"/>
      <c r="FPI17" s="463"/>
      <c r="FPJ17" s="475"/>
      <c r="FPK17" s="476"/>
      <c r="FPL17" s="476"/>
      <c r="FPM17" s="476"/>
      <c r="FPN17" s="476"/>
      <c r="FPO17" s="476"/>
      <c r="FPP17" s="476"/>
      <c r="FPQ17" s="476"/>
      <c r="FPR17" s="476"/>
      <c r="FPS17" s="476"/>
      <c r="FPT17" s="476"/>
      <c r="FPU17" s="476"/>
      <c r="FPV17" s="476"/>
      <c r="FPW17" s="477"/>
      <c r="FPX17" s="477"/>
      <c r="FPY17" s="463"/>
      <c r="FPZ17" s="475"/>
      <c r="FQA17" s="476"/>
      <c r="FQB17" s="476"/>
      <c r="FQC17" s="476"/>
      <c r="FQD17" s="476"/>
      <c r="FQE17" s="476"/>
      <c r="FQF17" s="476"/>
      <c r="FQG17" s="476"/>
      <c r="FQH17" s="476"/>
      <c r="FQI17" s="476"/>
      <c r="FQJ17" s="476"/>
      <c r="FQK17" s="476"/>
      <c r="FQL17" s="476"/>
      <c r="FQM17" s="477"/>
      <c r="FQN17" s="477"/>
      <c r="FQO17" s="463"/>
      <c r="FQP17" s="475"/>
      <c r="FQQ17" s="476"/>
      <c r="FQR17" s="476"/>
      <c r="FQS17" s="476"/>
      <c r="FQT17" s="476"/>
      <c r="FQU17" s="476"/>
      <c r="FQV17" s="476"/>
      <c r="FQW17" s="476"/>
      <c r="FQX17" s="476"/>
      <c r="FQY17" s="476"/>
      <c r="FQZ17" s="476"/>
      <c r="FRA17" s="476"/>
      <c r="FRB17" s="476"/>
      <c r="FRC17" s="477"/>
      <c r="FRD17" s="477"/>
      <c r="FRE17" s="463"/>
      <c r="FRF17" s="475"/>
      <c r="FRG17" s="476"/>
      <c r="FRH17" s="476"/>
      <c r="FRI17" s="476"/>
      <c r="FRJ17" s="476"/>
      <c r="FRK17" s="476"/>
      <c r="FRL17" s="476"/>
      <c r="FRM17" s="476"/>
      <c r="FRN17" s="476"/>
      <c r="FRO17" s="476"/>
      <c r="FRP17" s="476"/>
      <c r="FRQ17" s="476"/>
      <c r="FRR17" s="476"/>
      <c r="FRS17" s="477"/>
      <c r="FRT17" s="477"/>
      <c r="FRU17" s="463"/>
      <c r="FRV17" s="475"/>
      <c r="FRW17" s="476"/>
      <c r="FRX17" s="476"/>
      <c r="FRY17" s="476"/>
      <c r="FRZ17" s="476"/>
      <c r="FSA17" s="476"/>
      <c r="FSB17" s="476"/>
      <c r="FSC17" s="476"/>
      <c r="FSD17" s="476"/>
      <c r="FSE17" s="476"/>
      <c r="FSF17" s="476"/>
      <c r="FSG17" s="476"/>
      <c r="FSH17" s="476"/>
      <c r="FSI17" s="477"/>
      <c r="FSJ17" s="477"/>
      <c r="FSK17" s="463"/>
      <c r="FSL17" s="475"/>
      <c r="FSM17" s="476"/>
      <c r="FSN17" s="476"/>
      <c r="FSO17" s="476"/>
      <c r="FSP17" s="476"/>
      <c r="FSQ17" s="476"/>
      <c r="FSR17" s="476"/>
      <c r="FSS17" s="476"/>
      <c r="FST17" s="476"/>
      <c r="FSU17" s="476"/>
      <c r="FSV17" s="476"/>
      <c r="FSW17" s="476"/>
      <c r="FSX17" s="476"/>
      <c r="FSY17" s="477"/>
      <c r="FSZ17" s="477"/>
      <c r="FTA17" s="463"/>
      <c r="FTB17" s="475"/>
      <c r="FTC17" s="476"/>
      <c r="FTD17" s="476"/>
      <c r="FTE17" s="476"/>
      <c r="FTF17" s="476"/>
      <c r="FTG17" s="476"/>
      <c r="FTH17" s="476"/>
      <c r="FTI17" s="476"/>
      <c r="FTJ17" s="476"/>
      <c r="FTK17" s="476"/>
      <c r="FTL17" s="476"/>
      <c r="FTM17" s="476"/>
      <c r="FTN17" s="476"/>
      <c r="FTO17" s="477"/>
      <c r="FTP17" s="477"/>
      <c r="FTQ17" s="463"/>
      <c r="FTR17" s="475"/>
      <c r="FTS17" s="476"/>
      <c r="FTT17" s="476"/>
      <c r="FTU17" s="476"/>
      <c r="FTV17" s="476"/>
      <c r="FTW17" s="476"/>
      <c r="FTX17" s="476"/>
      <c r="FTY17" s="476"/>
      <c r="FTZ17" s="476"/>
      <c r="FUA17" s="476"/>
      <c r="FUB17" s="476"/>
      <c r="FUC17" s="476"/>
      <c r="FUD17" s="476"/>
      <c r="FUE17" s="477"/>
      <c r="FUF17" s="477"/>
      <c r="FUG17" s="463"/>
      <c r="FUH17" s="475"/>
      <c r="FUI17" s="476"/>
      <c r="FUJ17" s="476"/>
      <c r="FUK17" s="476"/>
      <c r="FUL17" s="476"/>
      <c r="FUM17" s="476"/>
      <c r="FUN17" s="476"/>
      <c r="FUO17" s="476"/>
      <c r="FUP17" s="476"/>
      <c r="FUQ17" s="476"/>
      <c r="FUR17" s="476"/>
      <c r="FUS17" s="476"/>
      <c r="FUT17" s="476"/>
      <c r="FUU17" s="477"/>
      <c r="FUV17" s="477"/>
      <c r="FUW17" s="463"/>
      <c r="FUX17" s="475"/>
      <c r="FUY17" s="476"/>
      <c r="FUZ17" s="476"/>
      <c r="FVA17" s="476"/>
      <c r="FVB17" s="476"/>
      <c r="FVC17" s="476"/>
      <c r="FVD17" s="476"/>
      <c r="FVE17" s="476"/>
      <c r="FVF17" s="476"/>
      <c r="FVG17" s="476"/>
      <c r="FVH17" s="476"/>
      <c r="FVI17" s="476"/>
      <c r="FVJ17" s="476"/>
      <c r="FVK17" s="477"/>
      <c r="FVL17" s="477"/>
      <c r="FVM17" s="463"/>
      <c r="FVN17" s="475"/>
      <c r="FVO17" s="476"/>
      <c r="FVP17" s="476"/>
      <c r="FVQ17" s="476"/>
      <c r="FVR17" s="476"/>
      <c r="FVS17" s="476"/>
      <c r="FVT17" s="476"/>
      <c r="FVU17" s="476"/>
      <c r="FVV17" s="476"/>
      <c r="FVW17" s="476"/>
      <c r="FVX17" s="476"/>
      <c r="FVY17" s="476"/>
      <c r="FVZ17" s="476"/>
      <c r="FWA17" s="477"/>
      <c r="FWB17" s="477"/>
      <c r="FWC17" s="463"/>
      <c r="FWD17" s="475"/>
      <c r="FWE17" s="476"/>
      <c r="FWF17" s="476"/>
      <c r="FWG17" s="476"/>
      <c r="FWH17" s="476"/>
      <c r="FWI17" s="476"/>
      <c r="FWJ17" s="476"/>
      <c r="FWK17" s="476"/>
      <c r="FWL17" s="476"/>
      <c r="FWM17" s="476"/>
      <c r="FWN17" s="476"/>
      <c r="FWO17" s="476"/>
      <c r="FWP17" s="476"/>
      <c r="FWQ17" s="477"/>
      <c r="FWR17" s="477"/>
      <c r="FWS17" s="463"/>
      <c r="FWT17" s="475"/>
      <c r="FWU17" s="476"/>
      <c r="FWV17" s="476"/>
      <c r="FWW17" s="476"/>
      <c r="FWX17" s="476"/>
      <c r="FWY17" s="476"/>
      <c r="FWZ17" s="476"/>
      <c r="FXA17" s="476"/>
      <c r="FXB17" s="476"/>
      <c r="FXC17" s="476"/>
      <c r="FXD17" s="476"/>
      <c r="FXE17" s="476"/>
      <c r="FXF17" s="476"/>
      <c r="FXG17" s="477"/>
      <c r="FXH17" s="477"/>
      <c r="FXI17" s="463"/>
      <c r="FXJ17" s="475"/>
      <c r="FXK17" s="476"/>
      <c r="FXL17" s="476"/>
      <c r="FXM17" s="476"/>
      <c r="FXN17" s="476"/>
      <c r="FXO17" s="476"/>
      <c r="FXP17" s="476"/>
      <c r="FXQ17" s="476"/>
      <c r="FXR17" s="476"/>
      <c r="FXS17" s="476"/>
      <c r="FXT17" s="476"/>
      <c r="FXU17" s="476"/>
      <c r="FXV17" s="476"/>
      <c r="FXW17" s="477"/>
      <c r="FXX17" s="477"/>
      <c r="FXY17" s="463"/>
      <c r="FXZ17" s="475"/>
      <c r="FYA17" s="476"/>
      <c r="FYB17" s="476"/>
      <c r="FYC17" s="476"/>
      <c r="FYD17" s="476"/>
      <c r="FYE17" s="476"/>
      <c r="FYF17" s="476"/>
      <c r="FYG17" s="476"/>
      <c r="FYH17" s="476"/>
      <c r="FYI17" s="476"/>
      <c r="FYJ17" s="476"/>
      <c r="FYK17" s="476"/>
      <c r="FYL17" s="476"/>
      <c r="FYM17" s="477"/>
      <c r="FYN17" s="477"/>
      <c r="FYO17" s="463"/>
      <c r="FYP17" s="475"/>
      <c r="FYQ17" s="476"/>
      <c r="FYR17" s="476"/>
      <c r="FYS17" s="476"/>
      <c r="FYT17" s="476"/>
      <c r="FYU17" s="476"/>
      <c r="FYV17" s="476"/>
      <c r="FYW17" s="476"/>
      <c r="FYX17" s="476"/>
      <c r="FYY17" s="476"/>
      <c r="FYZ17" s="476"/>
      <c r="FZA17" s="476"/>
      <c r="FZB17" s="476"/>
      <c r="FZC17" s="477"/>
      <c r="FZD17" s="477"/>
      <c r="FZE17" s="463"/>
      <c r="FZF17" s="475"/>
      <c r="FZG17" s="476"/>
      <c r="FZH17" s="476"/>
      <c r="FZI17" s="476"/>
      <c r="FZJ17" s="476"/>
      <c r="FZK17" s="476"/>
      <c r="FZL17" s="476"/>
      <c r="FZM17" s="476"/>
      <c r="FZN17" s="476"/>
      <c r="FZO17" s="476"/>
      <c r="FZP17" s="476"/>
      <c r="FZQ17" s="476"/>
      <c r="FZR17" s="476"/>
      <c r="FZS17" s="477"/>
      <c r="FZT17" s="477"/>
      <c r="FZU17" s="463"/>
      <c r="FZV17" s="475"/>
      <c r="FZW17" s="476"/>
      <c r="FZX17" s="476"/>
      <c r="FZY17" s="476"/>
      <c r="FZZ17" s="476"/>
      <c r="GAA17" s="476"/>
      <c r="GAB17" s="476"/>
      <c r="GAC17" s="476"/>
      <c r="GAD17" s="476"/>
      <c r="GAE17" s="476"/>
      <c r="GAF17" s="476"/>
      <c r="GAG17" s="476"/>
      <c r="GAH17" s="476"/>
      <c r="GAI17" s="477"/>
      <c r="GAJ17" s="477"/>
      <c r="GAK17" s="463"/>
      <c r="GAL17" s="475"/>
      <c r="GAM17" s="476"/>
      <c r="GAN17" s="476"/>
      <c r="GAO17" s="476"/>
      <c r="GAP17" s="476"/>
      <c r="GAQ17" s="476"/>
      <c r="GAR17" s="476"/>
      <c r="GAS17" s="476"/>
      <c r="GAT17" s="476"/>
      <c r="GAU17" s="476"/>
      <c r="GAV17" s="476"/>
      <c r="GAW17" s="476"/>
      <c r="GAX17" s="476"/>
      <c r="GAY17" s="477"/>
      <c r="GAZ17" s="477"/>
      <c r="GBA17" s="463"/>
      <c r="GBB17" s="475"/>
      <c r="GBC17" s="476"/>
      <c r="GBD17" s="476"/>
      <c r="GBE17" s="476"/>
      <c r="GBF17" s="476"/>
      <c r="GBG17" s="476"/>
      <c r="GBH17" s="476"/>
      <c r="GBI17" s="476"/>
      <c r="GBJ17" s="476"/>
      <c r="GBK17" s="476"/>
      <c r="GBL17" s="476"/>
      <c r="GBM17" s="476"/>
      <c r="GBN17" s="476"/>
      <c r="GBO17" s="477"/>
      <c r="GBP17" s="477"/>
      <c r="GBQ17" s="463"/>
      <c r="GBR17" s="475"/>
      <c r="GBS17" s="476"/>
      <c r="GBT17" s="476"/>
      <c r="GBU17" s="476"/>
      <c r="GBV17" s="476"/>
      <c r="GBW17" s="476"/>
      <c r="GBX17" s="476"/>
      <c r="GBY17" s="476"/>
      <c r="GBZ17" s="476"/>
      <c r="GCA17" s="476"/>
      <c r="GCB17" s="476"/>
      <c r="GCC17" s="476"/>
      <c r="GCD17" s="476"/>
      <c r="GCE17" s="477"/>
      <c r="GCF17" s="477"/>
      <c r="GCG17" s="463"/>
      <c r="GCH17" s="475"/>
      <c r="GCI17" s="476"/>
      <c r="GCJ17" s="476"/>
      <c r="GCK17" s="476"/>
      <c r="GCL17" s="476"/>
      <c r="GCM17" s="476"/>
      <c r="GCN17" s="476"/>
      <c r="GCO17" s="476"/>
      <c r="GCP17" s="476"/>
      <c r="GCQ17" s="476"/>
      <c r="GCR17" s="476"/>
      <c r="GCS17" s="476"/>
      <c r="GCT17" s="476"/>
      <c r="GCU17" s="477"/>
      <c r="GCV17" s="477"/>
      <c r="GCW17" s="463"/>
      <c r="GCX17" s="475"/>
      <c r="GCY17" s="476"/>
      <c r="GCZ17" s="476"/>
      <c r="GDA17" s="476"/>
      <c r="GDB17" s="476"/>
      <c r="GDC17" s="476"/>
      <c r="GDD17" s="476"/>
      <c r="GDE17" s="476"/>
      <c r="GDF17" s="476"/>
      <c r="GDG17" s="476"/>
      <c r="GDH17" s="476"/>
      <c r="GDI17" s="476"/>
      <c r="GDJ17" s="476"/>
      <c r="GDK17" s="477"/>
      <c r="GDL17" s="477"/>
      <c r="GDM17" s="463"/>
      <c r="GDN17" s="475"/>
      <c r="GDO17" s="476"/>
      <c r="GDP17" s="476"/>
      <c r="GDQ17" s="476"/>
      <c r="GDR17" s="476"/>
      <c r="GDS17" s="476"/>
      <c r="GDT17" s="476"/>
      <c r="GDU17" s="476"/>
      <c r="GDV17" s="476"/>
      <c r="GDW17" s="476"/>
      <c r="GDX17" s="476"/>
      <c r="GDY17" s="476"/>
      <c r="GDZ17" s="476"/>
      <c r="GEA17" s="477"/>
      <c r="GEB17" s="477"/>
      <c r="GEC17" s="463"/>
      <c r="GED17" s="475"/>
      <c r="GEE17" s="476"/>
      <c r="GEF17" s="476"/>
      <c r="GEG17" s="476"/>
      <c r="GEH17" s="476"/>
      <c r="GEI17" s="476"/>
      <c r="GEJ17" s="476"/>
      <c r="GEK17" s="476"/>
      <c r="GEL17" s="476"/>
      <c r="GEM17" s="476"/>
      <c r="GEN17" s="476"/>
      <c r="GEO17" s="476"/>
      <c r="GEP17" s="476"/>
      <c r="GEQ17" s="477"/>
      <c r="GER17" s="477"/>
      <c r="GES17" s="463"/>
      <c r="GET17" s="475"/>
      <c r="GEU17" s="476"/>
      <c r="GEV17" s="476"/>
      <c r="GEW17" s="476"/>
      <c r="GEX17" s="476"/>
      <c r="GEY17" s="476"/>
      <c r="GEZ17" s="476"/>
      <c r="GFA17" s="476"/>
      <c r="GFB17" s="476"/>
      <c r="GFC17" s="476"/>
      <c r="GFD17" s="476"/>
      <c r="GFE17" s="476"/>
      <c r="GFF17" s="476"/>
      <c r="GFG17" s="477"/>
      <c r="GFH17" s="477"/>
      <c r="GFI17" s="463"/>
      <c r="GFJ17" s="475"/>
      <c r="GFK17" s="476"/>
      <c r="GFL17" s="476"/>
      <c r="GFM17" s="476"/>
      <c r="GFN17" s="476"/>
      <c r="GFO17" s="476"/>
      <c r="GFP17" s="476"/>
      <c r="GFQ17" s="476"/>
      <c r="GFR17" s="476"/>
      <c r="GFS17" s="476"/>
      <c r="GFT17" s="476"/>
      <c r="GFU17" s="476"/>
      <c r="GFV17" s="476"/>
      <c r="GFW17" s="477"/>
      <c r="GFX17" s="477"/>
      <c r="GFY17" s="463"/>
      <c r="GFZ17" s="475"/>
      <c r="GGA17" s="476"/>
      <c r="GGB17" s="476"/>
      <c r="GGC17" s="476"/>
      <c r="GGD17" s="476"/>
      <c r="GGE17" s="476"/>
      <c r="GGF17" s="476"/>
      <c r="GGG17" s="476"/>
      <c r="GGH17" s="476"/>
      <c r="GGI17" s="476"/>
      <c r="GGJ17" s="476"/>
      <c r="GGK17" s="476"/>
      <c r="GGL17" s="476"/>
      <c r="GGM17" s="477"/>
      <c r="GGN17" s="477"/>
      <c r="GGO17" s="463"/>
      <c r="GGP17" s="475"/>
      <c r="GGQ17" s="476"/>
      <c r="GGR17" s="476"/>
      <c r="GGS17" s="476"/>
      <c r="GGT17" s="476"/>
      <c r="GGU17" s="476"/>
      <c r="GGV17" s="476"/>
      <c r="GGW17" s="476"/>
      <c r="GGX17" s="476"/>
      <c r="GGY17" s="476"/>
      <c r="GGZ17" s="476"/>
      <c r="GHA17" s="476"/>
      <c r="GHB17" s="476"/>
      <c r="GHC17" s="477"/>
      <c r="GHD17" s="477"/>
      <c r="GHE17" s="463"/>
      <c r="GHF17" s="475"/>
      <c r="GHG17" s="476"/>
      <c r="GHH17" s="476"/>
      <c r="GHI17" s="476"/>
      <c r="GHJ17" s="476"/>
      <c r="GHK17" s="476"/>
      <c r="GHL17" s="476"/>
      <c r="GHM17" s="476"/>
      <c r="GHN17" s="476"/>
      <c r="GHO17" s="476"/>
      <c r="GHP17" s="476"/>
      <c r="GHQ17" s="476"/>
      <c r="GHR17" s="476"/>
      <c r="GHS17" s="477"/>
      <c r="GHT17" s="477"/>
      <c r="GHU17" s="463"/>
      <c r="GHV17" s="475"/>
      <c r="GHW17" s="476"/>
      <c r="GHX17" s="476"/>
      <c r="GHY17" s="476"/>
      <c r="GHZ17" s="476"/>
      <c r="GIA17" s="476"/>
      <c r="GIB17" s="476"/>
      <c r="GIC17" s="476"/>
      <c r="GID17" s="476"/>
      <c r="GIE17" s="476"/>
      <c r="GIF17" s="476"/>
      <c r="GIG17" s="476"/>
      <c r="GIH17" s="476"/>
      <c r="GII17" s="477"/>
      <c r="GIJ17" s="477"/>
      <c r="GIK17" s="463"/>
      <c r="GIL17" s="475"/>
      <c r="GIM17" s="476"/>
      <c r="GIN17" s="476"/>
      <c r="GIO17" s="476"/>
      <c r="GIP17" s="476"/>
      <c r="GIQ17" s="476"/>
      <c r="GIR17" s="476"/>
      <c r="GIS17" s="476"/>
      <c r="GIT17" s="476"/>
      <c r="GIU17" s="476"/>
      <c r="GIV17" s="476"/>
      <c r="GIW17" s="476"/>
      <c r="GIX17" s="476"/>
      <c r="GIY17" s="477"/>
      <c r="GIZ17" s="477"/>
      <c r="GJA17" s="463"/>
      <c r="GJB17" s="475"/>
      <c r="GJC17" s="476"/>
      <c r="GJD17" s="476"/>
      <c r="GJE17" s="476"/>
      <c r="GJF17" s="476"/>
      <c r="GJG17" s="476"/>
      <c r="GJH17" s="476"/>
      <c r="GJI17" s="476"/>
      <c r="GJJ17" s="476"/>
      <c r="GJK17" s="476"/>
      <c r="GJL17" s="476"/>
      <c r="GJM17" s="476"/>
      <c r="GJN17" s="476"/>
      <c r="GJO17" s="477"/>
      <c r="GJP17" s="477"/>
      <c r="GJQ17" s="463"/>
      <c r="GJR17" s="475"/>
      <c r="GJS17" s="476"/>
      <c r="GJT17" s="476"/>
      <c r="GJU17" s="476"/>
      <c r="GJV17" s="476"/>
      <c r="GJW17" s="476"/>
      <c r="GJX17" s="476"/>
      <c r="GJY17" s="476"/>
      <c r="GJZ17" s="476"/>
      <c r="GKA17" s="476"/>
      <c r="GKB17" s="476"/>
      <c r="GKC17" s="476"/>
      <c r="GKD17" s="476"/>
      <c r="GKE17" s="477"/>
      <c r="GKF17" s="477"/>
      <c r="GKG17" s="463"/>
      <c r="GKH17" s="475"/>
      <c r="GKI17" s="476"/>
      <c r="GKJ17" s="476"/>
      <c r="GKK17" s="476"/>
      <c r="GKL17" s="476"/>
      <c r="GKM17" s="476"/>
      <c r="GKN17" s="476"/>
      <c r="GKO17" s="476"/>
      <c r="GKP17" s="476"/>
      <c r="GKQ17" s="476"/>
      <c r="GKR17" s="476"/>
      <c r="GKS17" s="476"/>
      <c r="GKT17" s="476"/>
      <c r="GKU17" s="477"/>
      <c r="GKV17" s="477"/>
      <c r="GKW17" s="463"/>
      <c r="GKX17" s="475"/>
      <c r="GKY17" s="476"/>
      <c r="GKZ17" s="476"/>
      <c r="GLA17" s="476"/>
      <c r="GLB17" s="476"/>
      <c r="GLC17" s="476"/>
      <c r="GLD17" s="476"/>
      <c r="GLE17" s="476"/>
      <c r="GLF17" s="476"/>
      <c r="GLG17" s="476"/>
      <c r="GLH17" s="476"/>
      <c r="GLI17" s="476"/>
      <c r="GLJ17" s="476"/>
      <c r="GLK17" s="477"/>
      <c r="GLL17" s="477"/>
      <c r="GLM17" s="463"/>
      <c r="GLN17" s="475"/>
      <c r="GLO17" s="476"/>
      <c r="GLP17" s="476"/>
      <c r="GLQ17" s="476"/>
      <c r="GLR17" s="476"/>
      <c r="GLS17" s="476"/>
      <c r="GLT17" s="476"/>
      <c r="GLU17" s="476"/>
      <c r="GLV17" s="476"/>
      <c r="GLW17" s="476"/>
      <c r="GLX17" s="476"/>
      <c r="GLY17" s="476"/>
      <c r="GLZ17" s="476"/>
      <c r="GMA17" s="477"/>
      <c r="GMB17" s="477"/>
      <c r="GMC17" s="463"/>
      <c r="GMD17" s="475"/>
      <c r="GME17" s="476"/>
      <c r="GMF17" s="476"/>
      <c r="GMG17" s="476"/>
      <c r="GMH17" s="476"/>
      <c r="GMI17" s="476"/>
      <c r="GMJ17" s="476"/>
      <c r="GMK17" s="476"/>
      <c r="GML17" s="476"/>
      <c r="GMM17" s="476"/>
      <c r="GMN17" s="476"/>
      <c r="GMO17" s="476"/>
      <c r="GMP17" s="476"/>
      <c r="GMQ17" s="477"/>
      <c r="GMR17" s="477"/>
      <c r="GMS17" s="463"/>
      <c r="GMT17" s="475"/>
      <c r="GMU17" s="476"/>
      <c r="GMV17" s="476"/>
      <c r="GMW17" s="476"/>
      <c r="GMX17" s="476"/>
      <c r="GMY17" s="476"/>
      <c r="GMZ17" s="476"/>
      <c r="GNA17" s="476"/>
      <c r="GNB17" s="476"/>
      <c r="GNC17" s="476"/>
      <c r="GND17" s="476"/>
      <c r="GNE17" s="476"/>
      <c r="GNF17" s="476"/>
      <c r="GNG17" s="477"/>
      <c r="GNH17" s="477"/>
      <c r="GNI17" s="463"/>
      <c r="GNJ17" s="475"/>
      <c r="GNK17" s="476"/>
      <c r="GNL17" s="476"/>
      <c r="GNM17" s="476"/>
      <c r="GNN17" s="476"/>
      <c r="GNO17" s="476"/>
      <c r="GNP17" s="476"/>
      <c r="GNQ17" s="476"/>
      <c r="GNR17" s="476"/>
      <c r="GNS17" s="476"/>
      <c r="GNT17" s="476"/>
      <c r="GNU17" s="476"/>
      <c r="GNV17" s="476"/>
      <c r="GNW17" s="477"/>
      <c r="GNX17" s="477"/>
      <c r="GNY17" s="463"/>
      <c r="GNZ17" s="475"/>
      <c r="GOA17" s="476"/>
      <c r="GOB17" s="476"/>
      <c r="GOC17" s="476"/>
      <c r="GOD17" s="476"/>
      <c r="GOE17" s="476"/>
      <c r="GOF17" s="476"/>
      <c r="GOG17" s="476"/>
      <c r="GOH17" s="476"/>
      <c r="GOI17" s="476"/>
      <c r="GOJ17" s="476"/>
      <c r="GOK17" s="476"/>
      <c r="GOL17" s="476"/>
      <c r="GOM17" s="477"/>
      <c r="GON17" s="477"/>
      <c r="GOO17" s="463"/>
      <c r="GOP17" s="475"/>
      <c r="GOQ17" s="476"/>
      <c r="GOR17" s="476"/>
      <c r="GOS17" s="476"/>
      <c r="GOT17" s="476"/>
      <c r="GOU17" s="476"/>
      <c r="GOV17" s="476"/>
      <c r="GOW17" s="476"/>
      <c r="GOX17" s="476"/>
      <c r="GOY17" s="476"/>
      <c r="GOZ17" s="476"/>
      <c r="GPA17" s="476"/>
      <c r="GPB17" s="476"/>
      <c r="GPC17" s="477"/>
      <c r="GPD17" s="477"/>
      <c r="GPE17" s="463"/>
      <c r="GPF17" s="475"/>
      <c r="GPG17" s="476"/>
      <c r="GPH17" s="476"/>
      <c r="GPI17" s="476"/>
      <c r="GPJ17" s="476"/>
      <c r="GPK17" s="476"/>
      <c r="GPL17" s="476"/>
      <c r="GPM17" s="476"/>
      <c r="GPN17" s="476"/>
      <c r="GPO17" s="476"/>
      <c r="GPP17" s="476"/>
      <c r="GPQ17" s="476"/>
      <c r="GPR17" s="476"/>
      <c r="GPS17" s="477"/>
      <c r="GPT17" s="477"/>
      <c r="GPU17" s="463"/>
      <c r="GPV17" s="475"/>
      <c r="GPW17" s="476"/>
      <c r="GPX17" s="476"/>
      <c r="GPY17" s="476"/>
      <c r="GPZ17" s="476"/>
      <c r="GQA17" s="476"/>
      <c r="GQB17" s="476"/>
      <c r="GQC17" s="476"/>
      <c r="GQD17" s="476"/>
      <c r="GQE17" s="476"/>
      <c r="GQF17" s="476"/>
      <c r="GQG17" s="476"/>
      <c r="GQH17" s="476"/>
      <c r="GQI17" s="477"/>
      <c r="GQJ17" s="477"/>
      <c r="GQK17" s="463"/>
      <c r="GQL17" s="475"/>
      <c r="GQM17" s="476"/>
      <c r="GQN17" s="476"/>
      <c r="GQO17" s="476"/>
      <c r="GQP17" s="476"/>
      <c r="GQQ17" s="476"/>
      <c r="GQR17" s="476"/>
      <c r="GQS17" s="476"/>
      <c r="GQT17" s="476"/>
      <c r="GQU17" s="476"/>
      <c r="GQV17" s="476"/>
      <c r="GQW17" s="476"/>
      <c r="GQX17" s="476"/>
      <c r="GQY17" s="477"/>
      <c r="GQZ17" s="477"/>
      <c r="GRA17" s="463"/>
      <c r="GRB17" s="475"/>
      <c r="GRC17" s="476"/>
      <c r="GRD17" s="476"/>
      <c r="GRE17" s="476"/>
      <c r="GRF17" s="476"/>
      <c r="GRG17" s="476"/>
      <c r="GRH17" s="476"/>
      <c r="GRI17" s="476"/>
      <c r="GRJ17" s="476"/>
      <c r="GRK17" s="476"/>
      <c r="GRL17" s="476"/>
      <c r="GRM17" s="476"/>
      <c r="GRN17" s="476"/>
      <c r="GRO17" s="477"/>
      <c r="GRP17" s="477"/>
      <c r="GRQ17" s="463"/>
      <c r="GRR17" s="475"/>
      <c r="GRS17" s="476"/>
      <c r="GRT17" s="476"/>
      <c r="GRU17" s="476"/>
      <c r="GRV17" s="476"/>
      <c r="GRW17" s="476"/>
      <c r="GRX17" s="476"/>
      <c r="GRY17" s="476"/>
      <c r="GRZ17" s="476"/>
      <c r="GSA17" s="476"/>
      <c r="GSB17" s="476"/>
      <c r="GSC17" s="476"/>
      <c r="GSD17" s="476"/>
      <c r="GSE17" s="477"/>
      <c r="GSF17" s="477"/>
      <c r="GSG17" s="463"/>
      <c r="GSH17" s="475"/>
      <c r="GSI17" s="476"/>
      <c r="GSJ17" s="476"/>
      <c r="GSK17" s="476"/>
      <c r="GSL17" s="476"/>
      <c r="GSM17" s="476"/>
      <c r="GSN17" s="476"/>
      <c r="GSO17" s="476"/>
      <c r="GSP17" s="476"/>
      <c r="GSQ17" s="476"/>
      <c r="GSR17" s="476"/>
      <c r="GSS17" s="476"/>
      <c r="GST17" s="476"/>
      <c r="GSU17" s="477"/>
      <c r="GSV17" s="477"/>
      <c r="GSW17" s="463"/>
      <c r="GSX17" s="475"/>
      <c r="GSY17" s="476"/>
      <c r="GSZ17" s="476"/>
      <c r="GTA17" s="476"/>
      <c r="GTB17" s="476"/>
      <c r="GTC17" s="476"/>
      <c r="GTD17" s="476"/>
      <c r="GTE17" s="476"/>
      <c r="GTF17" s="476"/>
      <c r="GTG17" s="476"/>
      <c r="GTH17" s="476"/>
      <c r="GTI17" s="476"/>
      <c r="GTJ17" s="476"/>
      <c r="GTK17" s="477"/>
      <c r="GTL17" s="477"/>
      <c r="GTM17" s="463"/>
      <c r="GTN17" s="475"/>
      <c r="GTO17" s="476"/>
      <c r="GTP17" s="476"/>
      <c r="GTQ17" s="476"/>
      <c r="GTR17" s="476"/>
      <c r="GTS17" s="476"/>
      <c r="GTT17" s="476"/>
      <c r="GTU17" s="476"/>
      <c r="GTV17" s="476"/>
      <c r="GTW17" s="476"/>
      <c r="GTX17" s="476"/>
      <c r="GTY17" s="476"/>
      <c r="GTZ17" s="476"/>
      <c r="GUA17" s="477"/>
      <c r="GUB17" s="477"/>
      <c r="GUC17" s="463"/>
      <c r="GUD17" s="475"/>
      <c r="GUE17" s="476"/>
      <c r="GUF17" s="476"/>
      <c r="GUG17" s="476"/>
      <c r="GUH17" s="476"/>
      <c r="GUI17" s="476"/>
      <c r="GUJ17" s="476"/>
      <c r="GUK17" s="476"/>
      <c r="GUL17" s="476"/>
      <c r="GUM17" s="476"/>
      <c r="GUN17" s="476"/>
      <c r="GUO17" s="476"/>
      <c r="GUP17" s="476"/>
      <c r="GUQ17" s="477"/>
      <c r="GUR17" s="477"/>
      <c r="GUS17" s="463"/>
      <c r="GUT17" s="475"/>
      <c r="GUU17" s="476"/>
      <c r="GUV17" s="476"/>
      <c r="GUW17" s="476"/>
      <c r="GUX17" s="476"/>
      <c r="GUY17" s="476"/>
      <c r="GUZ17" s="476"/>
      <c r="GVA17" s="476"/>
      <c r="GVB17" s="476"/>
      <c r="GVC17" s="476"/>
      <c r="GVD17" s="476"/>
      <c r="GVE17" s="476"/>
      <c r="GVF17" s="476"/>
      <c r="GVG17" s="477"/>
      <c r="GVH17" s="477"/>
      <c r="GVI17" s="463"/>
      <c r="GVJ17" s="475"/>
      <c r="GVK17" s="476"/>
      <c r="GVL17" s="476"/>
      <c r="GVM17" s="476"/>
      <c r="GVN17" s="476"/>
      <c r="GVO17" s="476"/>
      <c r="GVP17" s="476"/>
      <c r="GVQ17" s="476"/>
      <c r="GVR17" s="476"/>
      <c r="GVS17" s="476"/>
      <c r="GVT17" s="476"/>
      <c r="GVU17" s="476"/>
      <c r="GVV17" s="476"/>
      <c r="GVW17" s="477"/>
      <c r="GVX17" s="477"/>
      <c r="GVY17" s="463"/>
      <c r="GVZ17" s="475"/>
      <c r="GWA17" s="476"/>
      <c r="GWB17" s="476"/>
      <c r="GWC17" s="476"/>
      <c r="GWD17" s="476"/>
      <c r="GWE17" s="476"/>
      <c r="GWF17" s="476"/>
      <c r="GWG17" s="476"/>
      <c r="GWH17" s="476"/>
      <c r="GWI17" s="476"/>
      <c r="GWJ17" s="476"/>
      <c r="GWK17" s="476"/>
      <c r="GWL17" s="476"/>
      <c r="GWM17" s="477"/>
      <c r="GWN17" s="477"/>
      <c r="GWO17" s="463"/>
      <c r="GWP17" s="475"/>
      <c r="GWQ17" s="476"/>
      <c r="GWR17" s="476"/>
      <c r="GWS17" s="476"/>
      <c r="GWT17" s="476"/>
      <c r="GWU17" s="476"/>
      <c r="GWV17" s="476"/>
      <c r="GWW17" s="476"/>
      <c r="GWX17" s="476"/>
      <c r="GWY17" s="476"/>
      <c r="GWZ17" s="476"/>
      <c r="GXA17" s="476"/>
      <c r="GXB17" s="476"/>
      <c r="GXC17" s="477"/>
      <c r="GXD17" s="477"/>
      <c r="GXE17" s="463"/>
      <c r="GXF17" s="475"/>
      <c r="GXG17" s="476"/>
      <c r="GXH17" s="476"/>
      <c r="GXI17" s="476"/>
      <c r="GXJ17" s="476"/>
      <c r="GXK17" s="476"/>
      <c r="GXL17" s="476"/>
      <c r="GXM17" s="476"/>
      <c r="GXN17" s="476"/>
      <c r="GXO17" s="476"/>
      <c r="GXP17" s="476"/>
      <c r="GXQ17" s="476"/>
      <c r="GXR17" s="476"/>
      <c r="GXS17" s="477"/>
      <c r="GXT17" s="477"/>
      <c r="GXU17" s="463"/>
      <c r="GXV17" s="475"/>
      <c r="GXW17" s="476"/>
      <c r="GXX17" s="476"/>
      <c r="GXY17" s="476"/>
      <c r="GXZ17" s="476"/>
      <c r="GYA17" s="476"/>
      <c r="GYB17" s="476"/>
      <c r="GYC17" s="476"/>
      <c r="GYD17" s="476"/>
      <c r="GYE17" s="476"/>
      <c r="GYF17" s="476"/>
      <c r="GYG17" s="476"/>
      <c r="GYH17" s="476"/>
      <c r="GYI17" s="477"/>
      <c r="GYJ17" s="477"/>
      <c r="GYK17" s="463"/>
      <c r="GYL17" s="475"/>
      <c r="GYM17" s="476"/>
      <c r="GYN17" s="476"/>
      <c r="GYO17" s="476"/>
      <c r="GYP17" s="476"/>
      <c r="GYQ17" s="476"/>
      <c r="GYR17" s="476"/>
      <c r="GYS17" s="476"/>
      <c r="GYT17" s="476"/>
      <c r="GYU17" s="476"/>
      <c r="GYV17" s="476"/>
      <c r="GYW17" s="476"/>
      <c r="GYX17" s="476"/>
      <c r="GYY17" s="477"/>
      <c r="GYZ17" s="477"/>
      <c r="GZA17" s="463"/>
      <c r="GZB17" s="475"/>
      <c r="GZC17" s="476"/>
      <c r="GZD17" s="476"/>
      <c r="GZE17" s="476"/>
      <c r="GZF17" s="476"/>
      <c r="GZG17" s="476"/>
      <c r="GZH17" s="476"/>
      <c r="GZI17" s="476"/>
      <c r="GZJ17" s="476"/>
      <c r="GZK17" s="476"/>
      <c r="GZL17" s="476"/>
      <c r="GZM17" s="476"/>
      <c r="GZN17" s="476"/>
      <c r="GZO17" s="477"/>
      <c r="GZP17" s="477"/>
      <c r="GZQ17" s="463"/>
      <c r="GZR17" s="475"/>
      <c r="GZS17" s="476"/>
      <c r="GZT17" s="476"/>
      <c r="GZU17" s="476"/>
      <c r="GZV17" s="476"/>
      <c r="GZW17" s="476"/>
      <c r="GZX17" s="476"/>
      <c r="GZY17" s="476"/>
      <c r="GZZ17" s="476"/>
      <c r="HAA17" s="476"/>
      <c r="HAB17" s="476"/>
      <c r="HAC17" s="476"/>
      <c r="HAD17" s="476"/>
      <c r="HAE17" s="477"/>
      <c r="HAF17" s="477"/>
      <c r="HAG17" s="463"/>
      <c r="HAH17" s="475"/>
      <c r="HAI17" s="476"/>
      <c r="HAJ17" s="476"/>
      <c r="HAK17" s="476"/>
      <c r="HAL17" s="476"/>
      <c r="HAM17" s="476"/>
      <c r="HAN17" s="476"/>
      <c r="HAO17" s="476"/>
      <c r="HAP17" s="476"/>
      <c r="HAQ17" s="476"/>
      <c r="HAR17" s="476"/>
      <c r="HAS17" s="476"/>
      <c r="HAT17" s="476"/>
      <c r="HAU17" s="477"/>
      <c r="HAV17" s="477"/>
      <c r="HAW17" s="463"/>
      <c r="HAX17" s="475"/>
      <c r="HAY17" s="476"/>
      <c r="HAZ17" s="476"/>
      <c r="HBA17" s="476"/>
      <c r="HBB17" s="476"/>
      <c r="HBC17" s="476"/>
      <c r="HBD17" s="476"/>
      <c r="HBE17" s="476"/>
      <c r="HBF17" s="476"/>
      <c r="HBG17" s="476"/>
      <c r="HBH17" s="476"/>
      <c r="HBI17" s="476"/>
      <c r="HBJ17" s="476"/>
      <c r="HBK17" s="477"/>
      <c r="HBL17" s="477"/>
      <c r="HBM17" s="463"/>
      <c r="HBN17" s="475"/>
      <c r="HBO17" s="476"/>
      <c r="HBP17" s="476"/>
      <c r="HBQ17" s="476"/>
      <c r="HBR17" s="476"/>
      <c r="HBS17" s="476"/>
      <c r="HBT17" s="476"/>
      <c r="HBU17" s="476"/>
      <c r="HBV17" s="476"/>
      <c r="HBW17" s="476"/>
      <c r="HBX17" s="476"/>
      <c r="HBY17" s="476"/>
      <c r="HBZ17" s="476"/>
      <c r="HCA17" s="477"/>
      <c r="HCB17" s="477"/>
      <c r="HCC17" s="463"/>
      <c r="HCD17" s="475"/>
      <c r="HCE17" s="476"/>
      <c r="HCF17" s="476"/>
      <c r="HCG17" s="476"/>
      <c r="HCH17" s="476"/>
      <c r="HCI17" s="476"/>
      <c r="HCJ17" s="476"/>
      <c r="HCK17" s="476"/>
      <c r="HCL17" s="476"/>
      <c r="HCM17" s="476"/>
      <c r="HCN17" s="476"/>
      <c r="HCO17" s="476"/>
      <c r="HCP17" s="476"/>
      <c r="HCQ17" s="477"/>
      <c r="HCR17" s="477"/>
      <c r="HCS17" s="463"/>
      <c r="HCT17" s="475"/>
      <c r="HCU17" s="476"/>
      <c r="HCV17" s="476"/>
      <c r="HCW17" s="476"/>
      <c r="HCX17" s="476"/>
      <c r="HCY17" s="476"/>
      <c r="HCZ17" s="476"/>
      <c r="HDA17" s="476"/>
      <c r="HDB17" s="476"/>
      <c r="HDC17" s="476"/>
      <c r="HDD17" s="476"/>
      <c r="HDE17" s="476"/>
      <c r="HDF17" s="476"/>
      <c r="HDG17" s="477"/>
      <c r="HDH17" s="477"/>
      <c r="HDI17" s="463"/>
      <c r="HDJ17" s="475"/>
      <c r="HDK17" s="476"/>
      <c r="HDL17" s="476"/>
      <c r="HDM17" s="476"/>
      <c r="HDN17" s="476"/>
      <c r="HDO17" s="476"/>
      <c r="HDP17" s="476"/>
      <c r="HDQ17" s="476"/>
      <c r="HDR17" s="476"/>
      <c r="HDS17" s="476"/>
      <c r="HDT17" s="476"/>
      <c r="HDU17" s="476"/>
      <c r="HDV17" s="476"/>
      <c r="HDW17" s="477"/>
      <c r="HDX17" s="477"/>
      <c r="HDY17" s="463"/>
      <c r="HDZ17" s="475"/>
      <c r="HEA17" s="476"/>
      <c r="HEB17" s="476"/>
      <c r="HEC17" s="476"/>
      <c r="HED17" s="476"/>
      <c r="HEE17" s="476"/>
      <c r="HEF17" s="476"/>
      <c r="HEG17" s="476"/>
      <c r="HEH17" s="476"/>
      <c r="HEI17" s="476"/>
      <c r="HEJ17" s="476"/>
      <c r="HEK17" s="476"/>
      <c r="HEL17" s="476"/>
      <c r="HEM17" s="477"/>
      <c r="HEN17" s="477"/>
      <c r="HEO17" s="463"/>
      <c r="HEP17" s="475"/>
      <c r="HEQ17" s="476"/>
      <c r="HER17" s="476"/>
      <c r="HES17" s="476"/>
      <c r="HET17" s="476"/>
      <c r="HEU17" s="476"/>
      <c r="HEV17" s="476"/>
      <c r="HEW17" s="476"/>
      <c r="HEX17" s="476"/>
      <c r="HEY17" s="476"/>
      <c r="HEZ17" s="476"/>
      <c r="HFA17" s="476"/>
      <c r="HFB17" s="476"/>
      <c r="HFC17" s="477"/>
      <c r="HFD17" s="477"/>
      <c r="HFE17" s="463"/>
      <c r="HFF17" s="475"/>
      <c r="HFG17" s="476"/>
      <c r="HFH17" s="476"/>
      <c r="HFI17" s="476"/>
      <c r="HFJ17" s="476"/>
      <c r="HFK17" s="476"/>
      <c r="HFL17" s="476"/>
      <c r="HFM17" s="476"/>
      <c r="HFN17" s="476"/>
      <c r="HFO17" s="476"/>
      <c r="HFP17" s="476"/>
      <c r="HFQ17" s="476"/>
      <c r="HFR17" s="476"/>
      <c r="HFS17" s="477"/>
      <c r="HFT17" s="477"/>
      <c r="HFU17" s="463"/>
      <c r="HFV17" s="475"/>
      <c r="HFW17" s="476"/>
      <c r="HFX17" s="476"/>
      <c r="HFY17" s="476"/>
      <c r="HFZ17" s="476"/>
      <c r="HGA17" s="476"/>
      <c r="HGB17" s="476"/>
      <c r="HGC17" s="476"/>
      <c r="HGD17" s="476"/>
      <c r="HGE17" s="476"/>
      <c r="HGF17" s="476"/>
      <c r="HGG17" s="476"/>
      <c r="HGH17" s="476"/>
      <c r="HGI17" s="477"/>
      <c r="HGJ17" s="477"/>
      <c r="HGK17" s="463"/>
      <c r="HGL17" s="475"/>
      <c r="HGM17" s="476"/>
      <c r="HGN17" s="476"/>
      <c r="HGO17" s="476"/>
      <c r="HGP17" s="476"/>
      <c r="HGQ17" s="476"/>
      <c r="HGR17" s="476"/>
      <c r="HGS17" s="476"/>
      <c r="HGT17" s="476"/>
      <c r="HGU17" s="476"/>
      <c r="HGV17" s="476"/>
      <c r="HGW17" s="476"/>
      <c r="HGX17" s="476"/>
      <c r="HGY17" s="477"/>
      <c r="HGZ17" s="477"/>
      <c r="HHA17" s="463"/>
      <c r="HHB17" s="475"/>
      <c r="HHC17" s="476"/>
      <c r="HHD17" s="476"/>
      <c r="HHE17" s="476"/>
      <c r="HHF17" s="476"/>
      <c r="HHG17" s="476"/>
      <c r="HHH17" s="476"/>
      <c r="HHI17" s="476"/>
      <c r="HHJ17" s="476"/>
      <c r="HHK17" s="476"/>
      <c r="HHL17" s="476"/>
      <c r="HHM17" s="476"/>
      <c r="HHN17" s="476"/>
      <c r="HHO17" s="477"/>
      <c r="HHP17" s="477"/>
      <c r="HHQ17" s="463"/>
      <c r="HHR17" s="475"/>
      <c r="HHS17" s="476"/>
      <c r="HHT17" s="476"/>
      <c r="HHU17" s="476"/>
      <c r="HHV17" s="476"/>
      <c r="HHW17" s="476"/>
      <c r="HHX17" s="476"/>
      <c r="HHY17" s="476"/>
      <c r="HHZ17" s="476"/>
      <c r="HIA17" s="476"/>
      <c r="HIB17" s="476"/>
      <c r="HIC17" s="476"/>
      <c r="HID17" s="476"/>
      <c r="HIE17" s="477"/>
      <c r="HIF17" s="477"/>
      <c r="HIG17" s="463"/>
      <c r="HIH17" s="475"/>
      <c r="HII17" s="476"/>
      <c r="HIJ17" s="476"/>
      <c r="HIK17" s="476"/>
      <c r="HIL17" s="476"/>
      <c r="HIM17" s="476"/>
      <c r="HIN17" s="476"/>
      <c r="HIO17" s="476"/>
      <c r="HIP17" s="476"/>
      <c r="HIQ17" s="476"/>
      <c r="HIR17" s="476"/>
      <c r="HIS17" s="476"/>
      <c r="HIT17" s="476"/>
      <c r="HIU17" s="477"/>
      <c r="HIV17" s="477"/>
      <c r="HIW17" s="463"/>
      <c r="HIX17" s="475"/>
      <c r="HIY17" s="476"/>
      <c r="HIZ17" s="476"/>
      <c r="HJA17" s="476"/>
      <c r="HJB17" s="476"/>
      <c r="HJC17" s="476"/>
      <c r="HJD17" s="476"/>
      <c r="HJE17" s="476"/>
      <c r="HJF17" s="476"/>
      <c r="HJG17" s="476"/>
      <c r="HJH17" s="476"/>
      <c r="HJI17" s="476"/>
      <c r="HJJ17" s="476"/>
      <c r="HJK17" s="477"/>
      <c r="HJL17" s="477"/>
      <c r="HJM17" s="463"/>
      <c r="HJN17" s="475"/>
      <c r="HJO17" s="476"/>
      <c r="HJP17" s="476"/>
      <c r="HJQ17" s="476"/>
      <c r="HJR17" s="476"/>
      <c r="HJS17" s="476"/>
      <c r="HJT17" s="476"/>
      <c r="HJU17" s="476"/>
      <c r="HJV17" s="476"/>
      <c r="HJW17" s="476"/>
      <c r="HJX17" s="476"/>
      <c r="HJY17" s="476"/>
      <c r="HJZ17" s="476"/>
      <c r="HKA17" s="477"/>
      <c r="HKB17" s="477"/>
      <c r="HKC17" s="463"/>
      <c r="HKD17" s="475"/>
      <c r="HKE17" s="476"/>
      <c r="HKF17" s="476"/>
      <c r="HKG17" s="476"/>
      <c r="HKH17" s="476"/>
      <c r="HKI17" s="476"/>
      <c r="HKJ17" s="476"/>
      <c r="HKK17" s="476"/>
      <c r="HKL17" s="476"/>
      <c r="HKM17" s="476"/>
      <c r="HKN17" s="476"/>
      <c r="HKO17" s="476"/>
      <c r="HKP17" s="476"/>
      <c r="HKQ17" s="477"/>
      <c r="HKR17" s="477"/>
      <c r="HKS17" s="463"/>
      <c r="HKT17" s="475"/>
      <c r="HKU17" s="476"/>
      <c r="HKV17" s="476"/>
      <c r="HKW17" s="476"/>
      <c r="HKX17" s="476"/>
      <c r="HKY17" s="476"/>
      <c r="HKZ17" s="476"/>
      <c r="HLA17" s="476"/>
      <c r="HLB17" s="476"/>
      <c r="HLC17" s="476"/>
      <c r="HLD17" s="476"/>
      <c r="HLE17" s="476"/>
      <c r="HLF17" s="476"/>
      <c r="HLG17" s="477"/>
      <c r="HLH17" s="477"/>
      <c r="HLI17" s="463"/>
      <c r="HLJ17" s="475"/>
      <c r="HLK17" s="476"/>
      <c r="HLL17" s="476"/>
      <c r="HLM17" s="476"/>
      <c r="HLN17" s="476"/>
      <c r="HLO17" s="476"/>
      <c r="HLP17" s="476"/>
      <c r="HLQ17" s="476"/>
      <c r="HLR17" s="476"/>
      <c r="HLS17" s="476"/>
      <c r="HLT17" s="476"/>
      <c r="HLU17" s="476"/>
      <c r="HLV17" s="476"/>
      <c r="HLW17" s="477"/>
      <c r="HLX17" s="477"/>
      <c r="HLY17" s="463"/>
      <c r="HLZ17" s="475"/>
      <c r="HMA17" s="476"/>
      <c r="HMB17" s="476"/>
      <c r="HMC17" s="476"/>
      <c r="HMD17" s="476"/>
      <c r="HME17" s="476"/>
      <c r="HMF17" s="476"/>
      <c r="HMG17" s="476"/>
      <c r="HMH17" s="476"/>
      <c r="HMI17" s="476"/>
      <c r="HMJ17" s="476"/>
      <c r="HMK17" s="476"/>
      <c r="HML17" s="476"/>
      <c r="HMM17" s="477"/>
      <c r="HMN17" s="477"/>
      <c r="HMO17" s="463"/>
      <c r="HMP17" s="475"/>
      <c r="HMQ17" s="476"/>
      <c r="HMR17" s="476"/>
      <c r="HMS17" s="476"/>
      <c r="HMT17" s="476"/>
      <c r="HMU17" s="476"/>
      <c r="HMV17" s="476"/>
      <c r="HMW17" s="476"/>
      <c r="HMX17" s="476"/>
      <c r="HMY17" s="476"/>
      <c r="HMZ17" s="476"/>
      <c r="HNA17" s="476"/>
      <c r="HNB17" s="476"/>
      <c r="HNC17" s="477"/>
      <c r="HND17" s="477"/>
      <c r="HNE17" s="463"/>
      <c r="HNF17" s="475"/>
      <c r="HNG17" s="476"/>
      <c r="HNH17" s="476"/>
      <c r="HNI17" s="476"/>
      <c r="HNJ17" s="476"/>
      <c r="HNK17" s="476"/>
      <c r="HNL17" s="476"/>
      <c r="HNM17" s="476"/>
      <c r="HNN17" s="476"/>
      <c r="HNO17" s="476"/>
      <c r="HNP17" s="476"/>
      <c r="HNQ17" s="476"/>
      <c r="HNR17" s="476"/>
      <c r="HNS17" s="477"/>
      <c r="HNT17" s="477"/>
      <c r="HNU17" s="463"/>
      <c r="HNV17" s="475"/>
      <c r="HNW17" s="476"/>
      <c r="HNX17" s="476"/>
      <c r="HNY17" s="476"/>
      <c r="HNZ17" s="476"/>
      <c r="HOA17" s="476"/>
      <c r="HOB17" s="476"/>
      <c r="HOC17" s="476"/>
      <c r="HOD17" s="476"/>
      <c r="HOE17" s="476"/>
      <c r="HOF17" s="476"/>
      <c r="HOG17" s="476"/>
      <c r="HOH17" s="476"/>
      <c r="HOI17" s="477"/>
      <c r="HOJ17" s="477"/>
      <c r="HOK17" s="463"/>
      <c r="HOL17" s="475"/>
      <c r="HOM17" s="476"/>
      <c r="HON17" s="476"/>
      <c r="HOO17" s="476"/>
      <c r="HOP17" s="476"/>
      <c r="HOQ17" s="476"/>
      <c r="HOR17" s="476"/>
      <c r="HOS17" s="476"/>
      <c r="HOT17" s="476"/>
      <c r="HOU17" s="476"/>
      <c r="HOV17" s="476"/>
      <c r="HOW17" s="476"/>
      <c r="HOX17" s="476"/>
      <c r="HOY17" s="477"/>
      <c r="HOZ17" s="477"/>
      <c r="HPA17" s="463"/>
      <c r="HPB17" s="475"/>
      <c r="HPC17" s="476"/>
      <c r="HPD17" s="476"/>
      <c r="HPE17" s="476"/>
      <c r="HPF17" s="476"/>
      <c r="HPG17" s="476"/>
      <c r="HPH17" s="476"/>
      <c r="HPI17" s="476"/>
      <c r="HPJ17" s="476"/>
      <c r="HPK17" s="476"/>
      <c r="HPL17" s="476"/>
      <c r="HPM17" s="476"/>
      <c r="HPN17" s="476"/>
      <c r="HPO17" s="477"/>
      <c r="HPP17" s="477"/>
      <c r="HPQ17" s="463"/>
      <c r="HPR17" s="475"/>
      <c r="HPS17" s="476"/>
      <c r="HPT17" s="476"/>
      <c r="HPU17" s="476"/>
      <c r="HPV17" s="476"/>
      <c r="HPW17" s="476"/>
      <c r="HPX17" s="476"/>
      <c r="HPY17" s="476"/>
      <c r="HPZ17" s="476"/>
      <c r="HQA17" s="476"/>
      <c r="HQB17" s="476"/>
      <c r="HQC17" s="476"/>
      <c r="HQD17" s="476"/>
      <c r="HQE17" s="477"/>
      <c r="HQF17" s="477"/>
      <c r="HQG17" s="463"/>
      <c r="HQH17" s="475"/>
      <c r="HQI17" s="476"/>
      <c r="HQJ17" s="476"/>
      <c r="HQK17" s="476"/>
      <c r="HQL17" s="476"/>
      <c r="HQM17" s="476"/>
      <c r="HQN17" s="476"/>
      <c r="HQO17" s="476"/>
      <c r="HQP17" s="476"/>
      <c r="HQQ17" s="476"/>
      <c r="HQR17" s="476"/>
      <c r="HQS17" s="476"/>
      <c r="HQT17" s="476"/>
      <c r="HQU17" s="477"/>
      <c r="HQV17" s="477"/>
      <c r="HQW17" s="463"/>
      <c r="HQX17" s="475"/>
      <c r="HQY17" s="476"/>
      <c r="HQZ17" s="476"/>
      <c r="HRA17" s="476"/>
      <c r="HRB17" s="476"/>
      <c r="HRC17" s="476"/>
      <c r="HRD17" s="476"/>
      <c r="HRE17" s="476"/>
      <c r="HRF17" s="476"/>
      <c r="HRG17" s="476"/>
      <c r="HRH17" s="476"/>
      <c r="HRI17" s="476"/>
      <c r="HRJ17" s="476"/>
      <c r="HRK17" s="477"/>
      <c r="HRL17" s="477"/>
      <c r="HRM17" s="463"/>
      <c r="HRN17" s="475"/>
      <c r="HRO17" s="476"/>
      <c r="HRP17" s="476"/>
      <c r="HRQ17" s="476"/>
      <c r="HRR17" s="476"/>
      <c r="HRS17" s="476"/>
      <c r="HRT17" s="476"/>
      <c r="HRU17" s="476"/>
      <c r="HRV17" s="476"/>
      <c r="HRW17" s="476"/>
      <c r="HRX17" s="476"/>
      <c r="HRY17" s="476"/>
      <c r="HRZ17" s="476"/>
      <c r="HSA17" s="477"/>
      <c r="HSB17" s="477"/>
      <c r="HSC17" s="463"/>
      <c r="HSD17" s="475"/>
      <c r="HSE17" s="476"/>
      <c r="HSF17" s="476"/>
      <c r="HSG17" s="476"/>
      <c r="HSH17" s="476"/>
      <c r="HSI17" s="476"/>
      <c r="HSJ17" s="476"/>
      <c r="HSK17" s="476"/>
      <c r="HSL17" s="476"/>
      <c r="HSM17" s="476"/>
      <c r="HSN17" s="476"/>
      <c r="HSO17" s="476"/>
      <c r="HSP17" s="476"/>
      <c r="HSQ17" s="477"/>
      <c r="HSR17" s="477"/>
      <c r="HSS17" s="463"/>
      <c r="HST17" s="475"/>
      <c r="HSU17" s="476"/>
      <c r="HSV17" s="476"/>
      <c r="HSW17" s="476"/>
      <c r="HSX17" s="476"/>
      <c r="HSY17" s="476"/>
      <c r="HSZ17" s="476"/>
      <c r="HTA17" s="476"/>
      <c r="HTB17" s="476"/>
      <c r="HTC17" s="476"/>
      <c r="HTD17" s="476"/>
      <c r="HTE17" s="476"/>
      <c r="HTF17" s="476"/>
      <c r="HTG17" s="477"/>
      <c r="HTH17" s="477"/>
      <c r="HTI17" s="463"/>
      <c r="HTJ17" s="475"/>
      <c r="HTK17" s="476"/>
      <c r="HTL17" s="476"/>
      <c r="HTM17" s="476"/>
      <c r="HTN17" s="476"/>
      <c r="HTO17" s="476"/>
      <c r="HTP17" s="476"/>
      <c r="HTQ17" s="476"/>
      <c r="HTR17" s="476"/>
      <c r="HTS17" s="476"/>
      <c r="HTT17" s="476"/>
      <c r="HTU17" s="476"/>
      <c r="HTV17" s="476"/>
      <c r="HTW17" s="477"/>
      <c r="HTX17" s="477"/>
      <c r="HTY17" s="463"/>
      <c r="HTZ17" s="475"/>
      <c r="HUA17" s="476"/>
      <c r="HUB17" s="476"/>
      <c r="HUC17" s="476"/>
      <c r="HUD17" s="476"/>
      <c r="HUE17" s="476"/>
      <c r="HUF17" s="476"/>
      <c r="HUG17" s="476"/>
      <c r="HUH17" s="476"/>
      <c r="HUI17" s="476"/>
      <c r="HUJ17" s="476"/>
      <c r="HUK17" s="476"/>
      <c r="HUL17" s="476"/>
      <c r="HUM17" s="477"/>
      <c r="HUN17" s="477"/>
      <c r="HUO17" s="463"/>
      <c r="HUP17" s="475"/>
      <c r="HUQ17" s="476"/>
      <c r="HUR17" s="476"/>
      <c r="HUS17" s="476"/>
      <c r="HUT17" s="476"/>
      <c r="HUU17" s="476"/>
      <c r="HUV17" s="476"/>
      <c r="HUW17" s="476"/>
      <c r="HUX17" s="476"/>
      <c r="HUY17" s="476"/>
      <c r="HUZ17" s="476"/>
      <c r="HVA17" s="476"/>
      <c r="HVB17" s="476"/>
      <c r="HVC17" s="477"/>
      <c r="HVD17" s="477"/>
      <c r="HVE17" s="463"/>
      <c r="HVF17" s="475"/>
      <c r="HVG17" s="476"/>
      <c r="HVH17" s="476"/>
      <c r="HVI17" s="476"/>
      <c r="HVJ17" s="476"/>
      <c r="HVK17" s="476"/>
      <c r="HVL17" s="476"/>
      <c r="HVM17" s="476"/>
      <c r="HVN17" s="476"/>
      <c r="HVO17" s="476"/>
      <c r="HVP17" s="476"/>
      <c r="HVQ17" s="476"/>
      <c r="HVR17" s="476"/>
      <c r="HVS17" s="477"/>
      <c r="HVT17" s="477"/>
      <c r="HVU17" s="463"/>
      <c r="HVV17" s="475"/>
      <c r="HVW17" s="476"/>
      <c r="HVX17" s="476"/>
      <c r="HVY17" s="476"/>
      <c r="HVZ17" s="476"/>
      <c r="HWA17" s="476"/>
      <c r="HWB17" s="476"/>
      <c r="HWC17" s="476"/>
      <c r="HWD17" s="476"/>
      <c r="HWE17" s="476"/>
      <c r="HWF17" s="476"/>
      <c r="HWG17" s="476"/>
      <c r="HWH17" s="476"/>
      <c r="HWI17" s="477"/>
      <c r="HWJ17" s="477"/>
      <c r="HWK17" s="463"/>
      <c r="HWL17" s="475"/>
      <c r="HWM17" s="476"/>
      <c r="HWN17" s="476"/>
      <c r="HWO17" s="476"/>
      <c r="HWP17" s="476"/>
      <c r="HWQ17" s="476"/>
      <c r="HWR17" s="476"/>
      <c r="HWS17" s="476"/>
      <c r="HWT17" s="476"/>
      <c r="HWU17" s="476"/>
      <c r="HWV17" s="476"/>
      <c r="HWW17" s="476"/>
      <c r="HWX17" s="476"/>
      <c r="HWY17" s="477"/>
      <c r="HWZ17" s="477"/>
      <c r="HXA17" s="463"/>
      <c r="HXB17" s="475"/>
      <c r="HXC17" s="476"/>
      <c r="HXD17" s="476"/>
      <c r="HXE17" s="476"/>
      <c r="HXF17" s="476"/>
      <c r="HXG17" s="476"/>
      <c r="HXH17" s="476"/>
      <c r="HXI17" s="476"/>
      <c r="HXJ17" s="476"/>
      <c r="HXK17" s="476"/>
      <c r="HXL17" s="476"/>
      <c r="HXM17" s="476"/>
      <c r="HXN17" s="476"/>
      <c r="HXO17" s="477"/>
      <c r="HXP17" s="477"/>
      <c r="HXQ17" s="463"/>
      <c r="HXR17" s="475"/>
      <c r="HXS17" s="476"/>
      <c r="HXT17" s="476"/>
      <c r="HXU17" s="476"/>
      <c r="HXV17" s="476"/>
      <c r="HXW17" s="476"/>
      <c r="HXX17" s="476"/>
      <c r="HXY17" s="476"/>
      <c r="HXZ17" s="476"/>
      <c r="HYA17" s="476"/>
      <c r="HYB17" s="476"/>
      <c r="HYC17" s="476"/>
      <c r="HYD17" s="476"/>
      <c r="HYE17" s="477"/>
      <c r="HYF17" s="477"/>
      <c r="HYG17" s="463"/>
      <c r="HYH17" s="475"/>
      <c r="HYI17" s="476"/>
      <c r="HYJ17" s="476"/>
      <c r="HYK17" s="476"/>
      <c r="HYL17" s="476"/>
      <c r="HYM17" s="476"/>
      <c r="HYN17" s="476"/>
      <c r="HYO17" s="476"/>
      <c r="HYP17" s="476"/>
      <c r="HYQ17" s="476"/>
      <c r="HYR17" s="476"/>
      <c r="HYS17" s="476"/>
      <c r="HYT17" s="476"/>
      <c r="HYU17" s="477"/>
      <c r="HYV17" s="477"/>
      <c r="HYW17" s="463"/>
      <c r="HYX17" s="475"/>
      <c r="HYY17" s="476"/>
      <c r="HYZ17" s="476"/>
      <c r="HZA17" s="476"/>
      <c r="HZB17" s="476"/>
      <c r="HZC17" s="476"/>
      <c r="HZD17" s="476"/>
      <c r="HZE17" s="476"/>
      <c r="HZF17" s="476"/>
      <c r="HZG17" s="476"/>
      <c r="HZH17" s="476"/>
      <c r="HZI17" s="476"/>
      <c r="HZJ17" s="476"/>
      <c r="HZK17" s="477"/>
      <c r="HZL17" s="477"/>
      <c r="HZM17" s="463"/>
      <c r="HZN17" s="475"/>
      <c r="HZO17" s="476"/>
      <c r="HZP17" s="476"/>
      <c r="HZQ17" s="476"/>
      <c r="HZR17" s="476"/>
      <c r="HZS17" s="476"/>
      <c r="HZT17" s="476"/>
      <c r="HZU17" s="476"/>
      <c r="HZV17" s="476"/>
      <c r="HZW17" s="476"/>
      <c r="HZX17" s="476"/>
      <c r="HZY17" s="476"/>
      <c r="HZZ17" s="476"/>
      <c r="IAA17" s="477"/>
      <c r="IAB17" s="477"/>
      <c r="IAC17" s="463"/>
      <c r="IAD17" s="475"/>
      <c r="IAE17" s="476"/>
      <c r="IAF17" s="476"/>
      <c r="IAG17" s="476"/>
      <c r="IAH17" s="476"/>
      <c r="IAI17" s="476"/>
      <c r="IAJ17" s="476"/>
      <c r="IAK17" s="476"/>
      <c r="IAL17" s="476"/>
      <c r="IAM17" s="476"/>
      <c r="IAN17" s="476"/>
      <c r="IAO17" s="476"/>
      <c r="IAP17" s="476"/>
      <c r="IAQ17" s="477"/>
      <c r="IAR17" s="477"/>
      <c r="IAS17" s="463"/>
      <c r="IAT17" s="475"/>
      <c r="IAU17" s="476"/>
      <c r="IAV17" s="476"/>
      <c r="IAW17" s="476"/>
      <c r="IAX17" s="476"/>
      <c r="IAY17" s="476"/>
      <c r="IAZ17" s="476"/>
      <c r="IBA17" s="476"/>
      <c r="IBB17" s="476"/>
      <c r="IBC17" s="476"/>
      <c r="IBD17" s="476"/>
      <c r="IBE17" s="476"/>
      <c r="IBF17" s="476"/>
      <c r="IBG17" s="477"/>
      <c r="IBH17" s="477"/>
      <c r="IBI17" s="463"/>
      <c r="IBJ17" s="475"/>
      <c r="IBK17" s="476"/>
      <c r="IBL17" s="476"/>
      <c r="IBM17" s="476"/>
      <c r="IBN17" s="476"/>
      <c r="IBO17" s="476"/>
      <c r="IBP17" s="476"/>
      <c r="IBQ17" s="476"/>
      <c r="IBR17" s="476"/>
      <c r="IBS17" s="476"/>
      <c r="IBT17" s="476"/>
      <c r="IBU17" s="476"/>
      <c r="IBV17" s="476"/>
      <c r="IBW17" s="477"/>
      <c r="IBX17" s="477"/>
      <c r="IBY17" s="463"/>
      <c r="IBZ17" s="475"/>
      <c r="ICA17" s="476"/>
      <c r="ICB17" s="476"/>
      <c r="ICC17" s="476"/>
      <c r="ICD17" s="476"/>
      <c r="ICE17" s="476"/>
      <c r="ICF17" s="476"/>
      <c r="ICG17" s="476"/>
      <c r="ICH17" s="476"/>
      <c r="ICI17" s="476"/>
      <c r="ICJ17" s="476"/>
      <c r="ICK17" s="476"/>
      <c r="ICL17" s="476"/>
      <c r="ICM17" s="477"/>
      <c r="ICN17" s="477"/>
      <c r="ICO17" s="463"/>
      <c r="ICP17" s="475"/>
      <c r="ICQ17" s="476"/>
      <c r="ICR17" s="476"/>
      <c r="ICS17" s="476"/>
      <c r="ICT17" s="476"/>
      <c r="ICU17" s="476"/>
      <c r="ICV17" s="476"/>
      <c r="ICW17" s="476"/>
      <c r="ICX17" s="476"/>
      <c r="ICY17" s="476"/>
      <c r="ICZ17" s="476"/>
      <c r="IDA17" s="476"/>
      <c r="IDB17" s="476"/>
      <c r="IDC17" s="477"/>
      <c r="IDD17" s="477"/>
      <c r="IDE17" s="463"/>
      <c r="IDF17" s="475"/>
      <c r="IDG17" s="476"/>
      <c r="IDH17" s="476"/>
      <c r="IDI17" s="476"/>
      <c r="IDJ17" s="476"/>
      <c r="IDK17" s="476"/>
      <c r="IDL17" s="476"/>
      <c r="IDM17" s="476"/>
      <c r="IDN17" s="476"/>
      <c r="IDO17" s="476"/>
      <c r="IDP17" s="476"/>
      <c r="IDQ17" s="476"/>
      <c r="IDR17" s="476"/>
      <c r="IDS17" s="477"/>
      <c r="IDT17" s="477"/>
      <c r="IDU17" s="463"/>
      <c r="IDV17" s="475"/>
      <c r="IDW17" s="476"/>
      <c r="IDX17" s="476"/>
      <c r="IDY17" s="476"/>
      <c r="IDZ17" s="476"/>
      <c r="IEA17" s="476"/>
      <c r="IEB17" s="476"/>
      <c r="IEC17" s="476"/>
      <c r="IED17" s="476"/>
      <c r="IEE17" s="476"/>
      <c r="IEF17" s="476"/>
      <c r="IEG17" s="476"/>
      <c r="IEH17" s="476"/>
      <c r="IEI17" s="477"/>
      <c r="IEJ17" s="477"/>
      <c r="IEK17" s="463"/>
      <c r="IEL17" s="475"/>
      <c r="IEM17" s="476"/>
      <c r="IEN17" s="476"/>
      <c r="IEO17" s="476"/>
      <c r="IEP17" s="476"/>
      <c r="IEQ17" s="476"/>
      <c r="IER17" s="476"/>
      <c r="IES17" s="476"/>
      <c r="IET17" s="476"/>
      <c r="IEU17" s="476"/>
      <c r="IEV17" s="476"/>
      <c r="IEW17" s="476"/>
      <c r="IEX17" s="476"/>
      <c r="IEY17" s="477"/>
      <c r="IEZ17" s="477"/>
      <c r="IFA17" s="463"/>
      <c r="IFB17" s="475"/>
      <c r="IFC17" s="476"/>
      <c r="IFD17" s="476"/>
      <c r="IFE17" s="476"/>
      <c r="IFF17" s="476"/>
      <c r="IFG17" s="476"/>
      <c r="IFH17" s="476"/>
      <c r="IFI17" s="476"/>
      <c r="IFJ17" s="476"/>
      <c r="IFK17" s="476"/>
      <c r="IFL17" s="476"/>
      <c r="IFM17" s="476"/>
      <c r="IFN17" s="476"/>
      <c r="IFO17" s="477"/>
      <c r="IFP17" s="477"/>
      <c r="IFQ17" s="463"/>
      <c r="IFR17" s="475"/>
      <c r="IFS17" s="476"/>
      <c r="IFT17" s="476"/>
      <c r="IFU17" s="476"/>
      <c r="IFV17" s="476"/>
      <c r="IFW17" s="476"/>
      <c r="IFX17" s="476"/>
      <c r="IFY17" s="476"/>
      <c r="IFZ17" s="476"/>
      <c r="IGA17" s="476"/>
      <c r="IGB17" s="476"/>
      <c r="IGC17" s="476"/>
      <c r="IGD17" s="476"/>
      <c r="IGE17" s="477"/>
      <c r="IGF17" s="477"/>
      <c r="IGG17" s="463"/>
      <c r="IGH17" s="475"/>
      <c r="IGI17" s="476"/>
      <c r="IGJ17" s="476"/>
      <c r="IGK17" s="476"/>
      <c r="IGL17" s="476"/>
      <c r="IGM17" s="476"/>
      <c r="IGN17" s="476"/>
      <c r="IGO17" s="476"/>
      <c r="IGP17" s="476"/>
      <c r="IGQ17" s="476"/>
      <c r="IGR17" s="476"/>
      <c r="IGS17" s="476"/>
      <c r="IGT17" s="476"/>
      <c r="IGU17" s="477"/>
      <c r="IGV17" s="477"/>
      <c r="IGW17" s="463"/>
      <c r="IGX17" s="475"/>
      <c r="IGY17" s="476"/>
      <c r="IGZ17" s="476"/>
      <c r="IHA17" s="476"/>
      <c r="IHB17" s="476"/>
      <c r="IHC17" s="476"/>
      <c r="IHD17" s="476"/>
      <c r="IHE17" s="476"/>
      <c r="IHF17" s="476"/>
      <c r="IHG17" s="476"/>
      <c r="IHH17" s="476"/>
      <c r="IHI17" s="476"/>
      <c r="IHJ17" s="476"/>
      <c r="IHK17" s="477"/>
      <c r="IHL17" s="477"/>
      <c r="IHM17" s="463"/>
      <c r="IHN17" s="475"/>
      <c r="IHO17" s="476"/>
      <c r="IHP17" s="476"/>
      <c r="IHQ17" s="476"/>
      <c r="IHR17" s="476"/>
      <c r="IHS17" s="476"/>
      <c r="IHT17" s="476"/>
      <c r="IHU17" s="476"/>
      <c r="IHV17" s="476"/>
      <c r="IHW17" s="476"/>
      <c r="IHX17" s="476"/>
      <c r="IHY17" s="476"/>
      <c r="IHZ17" s="476"/>
      <c r="IIA17" s="477"/>
      <c r="IIB17" s="477"/>
      <c r="IIC17" s="463"/>
      <c r="IID17" s="475"/>
      <c r="IIE17" s="476"/>
      <c r="IIF17" s="476"/>
      <c r="IIG17" s="476"/>
      <c r="IIH17" s="476"/>
      <c r="III17" s="476"/>
      <c r="IIJ17" s="476"/>
      <c r="IIK17" s="476"/>
      <c r="IIL17" s="476"/>
      <c r="IIM17" s="476"/>
      <c r="IIN17" s="476"/>
      <c r="IIO17" s="476"/>
      <c r="IIP17" s="476"/>
      <c r="IIQ17" s="477"/>
      <c r="IIR17" s="477"/>
      <c r="IIS17" s="463"/>
      <c r="IIT17" s="475"/>
      <c r="IIU17" s="476"/>
      <c r="IIV17" s="476"/>
      <c r="IIW17" s="476"/>
      <c r="IIX17" s="476"/>
      <c r="IIY17" s="476"/>
      <c r="IIZ17" s="476"/>
      <c r="IJA17" s="476"/>
      <c r="IJB17" s="476"/>
      <c r="IJC17" s="476"/>
      <c r="IJD17" s="476"/>
      <c r="IJE17" s="476"/>
      <c r="IJF17" s="476"/>
      <c r="IJG17" s="477"/>
      <c r="IJH17" s="477"/>
      <c r="IJI17" s="463"/>
      <c r="IJJ17" s="475"/>
      <c r="IJK17" s="476"/>
      <c r="IJL17" s="476"/>
      <c r="IJM17" s="476"/>
      <c r="IJN17" s="476"/>
      <c r="IJO17" s="476"/>
      <c r="IJP17" s="476"/>
      <c r="IJQ17" s="476"/>
      <c r="IJR17" s="476"/>
      <c r="IJS17" s="476"/>
      <c r="IJT17" s="476"/>
      <c r="IJU17" s="476"/>
      <c r="IJV17" s="476"/>
      <c r="IJW17" s="477"/>
      <c r="IJX17" s="477"/>
      <c r="IJY17" s="463"/>
      <c r="IJZ17" s="475"/>
      <c r="IKA17" s="476"/>
      <c r="IKB17" s="476"/>
      <c r="IKC17" s="476"/>
      <c r="IKD17" s="476"/>
      <c r="IKE17" s="476"/>
      <c r="IKF17" s="476"/>
      <c r="IKG17" s="476"/>
      <c r="IKH17" s="476"/>
      <c r="IKI17" s="476"/>
      <c r="IKJ17" s="476"/>
      <c r="IKK17" s="476"/>
      <c r="IKL17" s="476"/>
      <c r="IKM17" s="477"/>
      <c r="IKN17" s="477"/>
      <c r="IKO17" s="463"/>
      <c r="IKP17" s="475"/>
      <c r="IKQ17" s="476"/>
      <c r="IKR17" s="476"/>
      <c r="IKS17" s="476"/>
      <c r="IKT17" s="476"/>
      <c r="IKU17" s="476"/>
      <c r="IKV17" s="476"/>
      <c r="IKW17" s="476"/>
      <c r="IKX17" s="476"/>
      <c r="IKY17" s="476"/>
      <c r="IKZ17" s="476"/>
      <c r="ILA17" s="476"/>
      <c r="ILB17" s="476"/>
      <c r="ILC17" s="477"/>
      <c r="ILD17" s="477"/>
      <c r="ILE17" s="463"/>
      <c r="ILF17" s="475"/>
      <c r="ILG17" s="476"/>
      <c r="ILH17" s="476"/>
      <c r="ILI17" s="476"/>
      <c r="ILJ17" s="476"/>
      <c r="ILK17" s="476"/>
      <c r="ILL17" s="476"/>
      <c r="ILM17" s="476"/>
      <c r="ILN17" s="476"/>
      <c r="ILO17" s="476"/>
      <c r="ILP17" s="476"/>
      <c r="ILQ17" s="476"/>
      <c r="ILR17" s="476"/>
      <c r="ILS17" s="477"/>
      <c r="ILT17" s="477"/>
      <c r="ILU17" s="463"/>
      <c r="ILV17" s="475"/>
      <c r="ILW17" s="476"/>
      <c r="ILX17" s="476"/>
      <c r="ILY17" s="476"/>
      <c r="ILZ17" s="476"/>
      <c r="IMA17" s="476"/>
      <c r="IMB17" s="476"/>
      <c r="IMC17" s="476"/>
      <c r="IMD17" s="476"/>
      <c r="IME17" s="476"/>
      <c r="IMF17" s="476"/>
      <c r="IMG17" s="476"/>
      <c r="IMH17" s="476"/>
      <c r="IMI17" s="477"/>
      <c r="IMJ17" s="477"/>
      <c r="IMK17" s="463"/>
      <c r="IML17" s="475"/>
      <c r="IMM17" s="476"/>
      <c r="IMN17" s="476"/>
      <c r="IMO17" s="476"/>
      <c r="IMP17" s="476"/>
      <c r="IMQ17" s="476"/>
      <c r="IMR17" s="476"/>
      <c r="IMS17" s="476"/>
      <c r="IMT17" s="476"/>
      <c r="IMU17" s="476"/>
      <c r="IMV17" s="476"/>
      <c r="IMW17" s="476"/>
      <c r="IMX17" s="476"/>
      <c r="IMY17" s="477"/>
      <c r="IMZ17" s="477"/>
      <c r="INA17" s="463"/>
      <c r="INB17" s="475"/>
      <c r="INC17" s="476"/>
      <c r="IND17" s="476"/>
      <c r="INE17" s="476"/>
      <c r="INF17" s="476"/>
      <c r="ING17" s="476"/>
      <c r="INH17" s="476"/>
      <c r="INI17" s="476"/>
      <c r="INJ17" s="476"/>
      <c r="INK17" s="476"/>
      <c r="INL17" s="476"/>
      <c r="INM17" s="476"/>
      <c r="INN17" s="476"/>
      <c r="INO17" s="477"/>
      <c r="INP17" s="477"/>
      <c r="INQ17" s="463"/>
      <c r="INR17" s="475"/>
      <c r="INS17" s="476"/>
      <c r="INT17" s="476"/>
      <c r="INU17" s="476"/>
      <c r="INV17" s="476"/>
      <c r="INW17" s="476"/>
      <c r="INX17" s="476"/>
      <c r="INY17" s="476"/>
      <c r="INZ17" s="476"/>
      <c r="IOA17" s="476"/>
      <c r="IOB17" s="476"/>
      <c r="IOC17" s="476"/>
      <c r="IOD17" s="476"/>
      <c r="IOE17" s="477"/>
      <c r="IOF17" s="477"/>
      <c r="IOG17" s="463"/>
      <c r="IOH17" s="475"/>
      <c r="IOI17" s="476"/>
      <c r="IOJ17" s="476"/>
      <c r="IOK17" s="476"/>
      <c r="IOL17" s="476"/>
      <c r="IOM17" s="476"/>
      <c r="ION17" s="476"/>
      <c r="IOO17" s="476"/>
      <c r="IOP17" s="476"/>
      <c r="IOQ17" s="476"/>
      <c r="IOR17" s="476"/>
      <c r="IOS17" s="476"/>
      <c r="IOT17" s="476"/>
      <c r="IOU17" s="477"/>
      <c r="IOV17" s="477"/>
      <c r="IOW17" s="463"/>
      <c r="IOX17" s="475"/>
      <c r="IOY17" s="476"/>
      <c r="IOZ17" s="476"/>
      <c r="IPA17" s="476"/>
      <c r="IPB17" s="476"/>
      <c r="IPC17" s="476"/>
      <c r="IPD17" s="476"/>
      <c r="IPE17" s="476"/>
      <c r="IPF17" s="476"/>
      <c r="IPG17" s="476"/>
      <c r="IPH17" s="476"/>
      <c r="IPI17" s="476"/>
      <c r="IPJ17" s="476"/>
      <c r="IPK17" s="477"/>
      <c r="IPL17" s="477"/>
      <c r="IPM17" s="463"/>
      <c r="IPN17" s="475"/>
      <c r="IPO17" s="476"/>
      <c r="IPP17" s="476"/>
      <c r="IPQ17" s="476"/>
      <c r="IPR17" s="476"/>
      <c r="IPS17" s="476"/>
      <c r="IPT17" s="476"/>
      <c r="IPU17" s="476"/>
      <c r="IPV17" s="476"/>
      <c r="IPW17" s="476"/>
      <c r="IPX17" s="476"/>
      <c r="IPY17" s="476"/>
      <c r="IPZ17" s="476"/>
      <c r="IQA17" s="477"/>
      <c r="IQB17" s="477"/>
      <c r="IQC17" s="463"/>
      <c r="IQD17" s="475"/>
      <c r="IQE17" s="476"/>
      <c r="IQF17" s="476"/>
      <c r="IQG17" s="476"/>
      <c r="IQH17" s="476"/>
      <c r="IQI17" s="476"/>
      <c r="IQJ17" s="476"/>
      <c r="IQK17" s="476"/>
      <c r="IQL17" s="476"/>
      <c r="IQM17" s="476"/>
      <c r="IQN17" s="476"/>
      <c r="IQO17" s="476"/>
      <c r="IQP17" s="476"/>
      <c r="IQQ17" s="477"/>
      <c r="IQR17" s="477"/>
      <c r="IQS17" s="463"/>
      <c r="IQT17" s="475"/>
      <c r="IQU17" s="476"/>
      <c r="IQV17" s="476"/>
      <c r="IQW17" s="476"/>
      <c r="IQX17" s="476"/>
      <c r="IQY17" s="476"/>
      <c r="IQZ17" s="476"/>
      <c r="IRA17" s="476"/>
      <c r="IRB17" s="476"/>
      <c r="IRC17" s="476"/>
      <c r="IRD17" s="476"/>
      <c r="IRE17" s="476"/>
      <c r="IRF17" s="476"/>
      <c r="IRG17" s="477"/>
      <c r="IRH17" s="477"/>
      <c r="IRI17" s="463"/>
      <c r="IRJ17" s="475"/>
      <c r="IRK17" s="476"/>
      <c r="IRL17" s="476"/>
      <c r="IRM17" s="476"/>
      <c r="IRN17" s="476"/>
      <c r="IRO17" s="476"/>
      <c r="IRP17" s="476"/>
      <c r="IRQ17" s="476"/>
      <c r="IRR17" s="476"/>
      <c r="IRS17" s="476"/>
      <c r="IRT17" s="476"/>
      <c r="IRU17" s="476"/>
      <c r="IRV17" s="476"/>
      <c r="IRW17" s="477"/>
      <c r="IRX17" s="477"/>
      <c r="IRY17" s="463"/>
      <c r="IRZ17" s="475"/>
      <c r="ISA17" s="476"/>
      <c r="ISB17" s="476"/>
      <c r="ISC17" s="476"/>
      <c r="ISD17" s="476"/>
      <c r="ISE17" s="476"/>
      <c r="ISF17" s="476"/>
      <c r="ISG17" s="476"/>
      <c r="ISH17" s="476"/>
      <c r="ISI17" s="476"/>
      <c r="ISJ17" s="476"/>
      <c r="ISK17" s="476"/>
      <c r="ISL17" s="476"/>
      <c r="ISM17" s="477"/>
      <c r="ISN17" s="477"/>
      <c r="ISO17" s="463"/>
      <c r="ISP17" s="475"/>
      <c r="ISQ17" s="476"/>
      <c r="ISR17" s="476"/>
      <c r="ISS17" s="476"/>
      <c r="IST17" s="476"/>
      <c r="ISU17" s="476"/>
      <c r="ISV17" s="476"/>
      <c r="ISW17" s="476"/>
      <c r="ISX17" s="476"/>
      <c r="ISY17" s="476"/>
      <c r="ISZ17" s="476"/>
      <c r="ITA17" s="476"/>
      <c r="ITB17" s="476"/>
      <c r="ITC17" s="477"/>
      <c r="ITD17" s="477"/>
      <c r="ITE17" s="463"/>
      <c r="ITF17" s="475"/>
      <c r="ITG17" s="476"/>
      <c r="ITH17" s="476"/>
      <c r="ITI17" s="476"/>
      <c r="ITJ17" s="476"/>
      <c r="ITK17" s="476"/>
      <c r="ITL17" s="476"/>
      <c r="ITM17" s="476"/>
      <c r="ITN17" s="476"/>
      <c r="ITO17" s="476"/>
      <c r="ITP17" s="476"/>
      <c r="ITQ17" s="476"/>
      <c r="ITR17" s="476"/>
      <c r="ITS17" s="477"/>
      <c r="ITT17" s="477"/>
      <c r="ITU17" s="463"/>
      <c r="ITV17" s="475"/>
      <c r="ITW17" s="476"/>
      <c r="ITX17" s="476"/>
      <c r="ITY17" s="476"/>
      <c r="ITZ17" s="476"/>
      <c r="IUA17" s="476"/>
      <c r="IUB17" s="476"/>
      <c r="IUC17" s="476"/>
      <c r="IUD17" s="476"/>
      <c r="IUE17" s="476"/>
      <c r="IUF17" s="476"/>
      <c r="IUG17" s="476"/>
      <c r="IUH17" s="476"/>
      <c r="IUI17" s="477"/>
      <c r="IUJ17" s="477"/>
      <c r="IUK17" s="463"/>
      <c r="IUL17" s="475"/>
      <c r="IUM17" s="476"/>
      <c r="IUN17" s="476"/>
      <c r="IUO17" s="476"/>
      <c r="IUP17" s="476"/>
      <c r="IUQ17" s="476"/>
      <c r="IUR17" s="476"/>
      <c r="IUS17" s="476"/>
      <c r="IUT17" s="476"/>
      <c r="IUU17" s="476"/>
      <c r="IUV17" s="476"/>
      <c r="IUW17" s="476"/>
      <c r="IUX17" s="476"/>
      <c r="IUY17" s="477"/>
      <c r="IUZ17" s="477"/>
      <c r="IVA17" s="463"/>
      <c r="IVB17" s="475"/>
      <c r="IVC17" s="476"/>
      <c r="IVD17" s="476"/>
      <c r="IVE17" s="476"/>
      <c r="IVF17" s="476"/>
      <c r="IVG17" s="476"/>
      <c r="IVH17" s="476"/>
      <c r="IVI17" s="476"/>
      <c r="IVJ17" s="476"/>
      <c r="IVK17" s="476"/>
      <c r="IVL17" s="476"/>
      <c r="IVM17" s="476"/>
      <c r="IVN17" s="476"/>
      <c r="IVO17" s="477"/>
      <c r="IVP17" s="477"/>
      <c r="IVQ17" s="463"/>
      <c r="IVR17" s="475"/>
      <c r="IVS17" s="476"/>
      <c r="IVT17" s="476"/>
      <c r="IVU17" s="476"/>
      <c r="IVV17" s="476"/>
      <c r="IVW17" s="476"/>
      <c r="IVX17" s="476"/>
      <c r="IVY17" s="476"/>
      <c r="IVZ17" s="476"/>
      <c r="IWA17" s="476"/>
      <c r="IWB17" s="476"/>
      <c r="IWC17" s="476"/>
      <c r="IWD17" s="476"/>
      <c r="IWE17" s="477"/>
      <c r="IWF17" s="477"/>
      <c r="IWG17" s="463"/>
      <c r="IWH17" s="475"/>
      <c r="IWI17" s="476"/>
      <c r="IWJ17" s="476"/>
      <c r="IWK17" s="476"/>
      <c r="IWL17" s="476"/>
      <c r="IWM17" s="476"/>
      <c r="IWN17" s="476"/>
      <c r="IWO17" s="476"/>
      <c r="IWP17" s="476"/>
      <c r="IWQ17" s="476"/>
      <c r="IWR17" s="476"/>
      <c r="IWS17" s="476"/>
      <c r="IWT17" s="476"/>
      <c r="IWU17" s="477"/>
      <c r="IWV17" s="477"/>
      <c r="IWW17" s="463"/>
      <c r="IWX17" s="475"/>
      <c r="IWY17" s="476"/>
      <c r="IWZ17" s="476"/>
      <c r="IXA17" s="476"/>
      <c r="IXB17" s="476"/>
      <c r="IXC17" s="476"/>
      <c r="IXD17" s="476"/>
      <c r="IXE17" s="476"/>
      <c r="IXF17" s="476"/>
      <c r="IXG17" s="476"/>
      <c r="IXH17" s="476"/>
      <c r="IXI17" s="476"/>
      <c r="IXJ17" s="476"/>
      <c r="IXK17" s="477"/>
      <c r="IXL17" s="477"/>
      <c r="IXM17" s="463"/>
      <c r="IXN17" s="475"/>
      <c r="IXO17" s="476"/>
      <c r="IXP17" s="476"/>
      <c r="IXQ17" s="476"/>
      <c r="IXR17" s="476"/>
      <c r="IXS17" s="476"/>
      <c r="IXT17" s="476"/>
      <c r="IXU17" s="476"/>
      <c r="IXV17" s="476"/>
      <c r="IXW17" s="476"/>
      <c r="IXX17" s="476"/>
      <c r="IXY17" s="476"/>
      <c r="IXZ17" s="476"/>
      <c r="IYA17" s="477"/>
      <c r="IYB17" s="477"/>
      <c r="IYC17" s="463"/>
      <c r="IYD17" s="475"/>
      <c r="IYE17" s="476"/>
      <c r="IYF17" s="476"/>
      <c r="IYG17" s="476"/>
      <c r="IYH17" s="476"/>
      <c r="IYI17" s="476"/>
      <c r="IYJ17" s="476"/>
      <c r="IYK17" s="476"/>
      <c r="IYL17" s="476"/>
      <c r="IYM17" s="476"/>
      <c r="IYN17" s="476"/>
      <c r="IYO17" s="476"/>
      <c r="IYP17" s="476"/>
      <c r="IYQ17" s="477"/>
      <c r="IYR17" s="477"/>
      <c r="IYS17" s="463"/>
      <c r="IYT17" s="475"/>
      <c r="IYU17" s="476"/>
      <c r="IYV17" s="476"/>
      <c r="IYW17" s="476"/>
      <c r="IYX17" s="476"/>
      <c r="IYY17" s="476"/>
      <c r="IYZ17" s="476"/>
      <c r="IZA17" s="476"/>
      <c r="IZB17" s="476"/>
      <c r="IZC17" s="476"/>
      <c r="IZD17" s="476"/>
      <c r="IZE17" s="476"/>
      <c r="IZF17" s="476"/>
      <c r="IZG17" s="477"/>
      <c r="IZH17" s="477"/>
      <c r="IZI17" s="463"/>
      <c r="IZJ17" s="475"/>
      <c r="IZK17" s="476"/>
      <c r="IZL17" s="476"/>
      <c r="IZM17" s="476"/>
      <c r="IZN17" s="476"/>
      <c r="IZO17" s="476"/>
      <c r="IZP17" s="476"/>
      <c r="IZQ17" s="476"/>
      <c r="IZR17" s="476"/>
      <c r="IZS17" s="476"/>
      <c r="IZT17" s="476"/>
      <c r="IZU17" s="476"/>
      <c r="IZV17" s="476"/>
      <c r="IZW17" s="477"/>
      <c r="IZX17" s="477"/>
      <c r="IZY17" s="463"/>
      <c r="IZZ17" s="475"/>
      <c r="JAA17" s="476"/>
      <c r="JAB17" s="476"/>
      <c r="JAC17" s="476"/>
      <c r="JAD17" s="476"/>
      <c r="JAE17" s="476"/>
      <c r="JAF17" s="476"/>
      <c r="JAG17" s="476"/>
      <c r="JAH17" s="476"/>
      <c r="JAI17" s="476"/>
      <c r="JAJ17" s="476"/>
      <c r="JAK17" s="476"/>
      <c r="JAL17" s="476"/>
      <c r="JAM17" s="477"/>
      <c r="JAN17" s="477"/>
      <c r="JAO17" s="463"/>
      <c r="JAP17" s="475"/>
      <c r="JAQ17" s="476"/>
      <c r="JAR17" s="476"/>
      <c r="JAS17" s="476"/>
      <c r="JAT17" s="476"/>
      <c r="JAU17" s="476"/>
      <c r="JAV17" s="476"/>
      <c r="JAW17" s="476"/>
      <c r="JAX17" s="476"/>
      <c r="JAY17" s="476"/>
      <c r="JAZ17" s="476"/>
      <c r="JBA17" s="476"/>
      <c r="JBB17" s="476"/>
      <c r="JBC17" s="477"/>
      <c r="JBD17" s="477"/>
      <c r="JBE17" s="463"/>
      <c r="JBF17" s="475"/>
      <c r="JBG17" s="476"/>
      <c r="JBH17" s="476"/>
      <c r="JBI17" s="476"/>
      <c r="JBJ17" s="476"/>
      <c r="JBK17" s="476"/>
      <c r="JBL17" s="476"/>
      <c r="JBM17" s="476"/>
      <c r="JBN17" s="476"/>
      <c r="JBO17" s="476"/>
      <c r="JBP17" s="476"/>
      <c r="JBQ17" s="476"/>
      <c r="JBR17" s="476"/>
      <c r="JBS17" s="477"/>
      <c r="JBT17" s="477"/>
      <c r="JBU17" s="463"/>
      <c r="JBV17" s="475"/>
      <c r="JBW17" s="476"/>
      <c r="JBX17" s="476"/>
      <c r="JBY17" s="476"/>
      <c r="JBZ17" s="476"/>
      <c r="JCA17" s="476"/>
      <c r="JCB17" s="476"/>
      <c r="JCC17" s="476"/>
      <c r="JCD17" s="476"/>
      <c r="JCE17" s="476"/>
      <c r="JCF17" s="476"/>
      <c r="JCG17" s="476"/>
      <c r="JCH17" s="476"/>
      <c r="JCI17" s="477"/>
      <c r="JCJ17" s="477"/>
      <c r="JCK17" s="463"/>
      <c r="JCL17" s="475"/>
      <c r="JCM17" s="476"/>
      <c r="JCN17" s="476"/>
      <c r="JCO17" s="476"/>
      <c r="JCP17" s="476"/>
      <c r="JCQ17" s="476"/>
      <c r="JCR17" s="476"/>
      <c r="JCS17" s="476"/>
      <c r="JCT17" s="476"/>
      <c r="JCU17" s="476"/>
      <c r="JCV17" s="476"/>
      <c r="JCW17" s="476"/>
      <c r="JCX17" s="476"/>
      <c r="JCY17" s="477"/>
      <c r="JCZ17" s="477"/>
      <c r="JDA17" s="463"/>
      <c r="JDB17" s="475"/>
      <c r="JDC17" s="476"/>
      <c r="JDD17" s="476"/>
      <c r="JDE17" s="476"/>
      <c r="JDF17" s="476"/>
      <c r="JDG17" s="476"/>
      <c r="JDH17" s="476"/>
      <c r="JDI17" s="476"/>
      <c r="JDJ17" s="476"/>
      <c r="JDK17" s="476"/>
      <c r="JDL17" s="476"/>
      <c r="JDM17" s="476"/>
      <c r="JDN17" s="476"/>
      <c r="JDO17" s="477"/>
      <c r="JDP17" s="477"/>
      <c r="JDQ17" s="463"/>
      <c r="JDR17" s="475"/>
      <c r="JDS17" s="476"/>
      <c r="JDT17" s="476"/>
      <c r="JDU17" s="476"/>
      <c r="JDV17" s="476"/>
      <c r="JDW17" s="476"/>
      <c r="JDX17" s="476"/>
      <c r="JDY17" s="476"/>
      <c r="JDZ17" s="476"/>
      <c r="JEA17" s="476"/>
      <c r="JEB17" s="476"/>
      <c r="JEC17" s="476"/>
      <c r="JED17" s="476"/>
      <c r="JEE17" s="477"/>
      <c r="JEF17" s="477"/>
      <c r="JEG17" s="463"/>
      <c r="JEH17" s="475"/>
      <c r="JEI17" s="476"/>
      <c r="JEJ17" s="476"/>
      <c r="JEK17" s="476"/>
      <c r="JEL17" s="476"/>
      <c r="JEM17" s="476"/>
      <c r="JEN17" s="476"/>
      <c r="JEO17" s="476"/>
      <c r="JEP17" s="476"/>
      <c r="JEQ17" s="476"/>
      <c r="JER17" s="476"/>
      <c r="JES17" s="476"/>
      <c r="JET17" s="476"/>
      <c r="JEU17" s="477"/>
      <c r="JEV17" s="477"/>
      <c r="JEW17" s="463"/>
      <c r="JEX17" s="475"/>
      <c r="JEY17" s="476"/>
      <c r="JEZ17" s="476"/>
      <c r="JFA17" s="476"/>
      <c r="JFB17" s="476"/>
      <c r="JFC17" s="476"/>
      <c r="JFD17" s="476"/>
      <c r="JFE17" s="476"/>
      <c r="JFF17" s="476"/>
      <c r="JFG17" s="476"/>
      <c r="JFH17" s="476"/>
      <c r="JFI17" s="476"/>
      <c r="JFJ17" s="476"/>
      <c r="JFK17" s="477"/>
      <c r="JFL17" s="477"/>
      <c r="JFM17" s="463"/>
      <c r="JFN17" s="475"/>
      <c r="JFO17" s="476"/>
      <c r="JFP17" s="476"/>
      <c r="JFQ17" s="476"/>
      <c r="JFR17" s="476"/>
      <c r="JFS17" s="476"/>
      <c r="JFT17" s="476"/>
      <c r="JFU17" s="476"/>
      <c r="JFV17" s="476"/>
      <c r="JFW17" s="476"/>
      <c r="JFX17" s="476"/>
      <c r="JFY17" s="476"/>
      <c r="JFZ17" s="476"/>
      <c r="JGA17" s="477"/>
      <c r="JGB17" s="477"/>
      <c r="JGC17" s="463"/>
      <c r="JGD17" s="475"/>
      <c r="JGE17" s="476"/>
      <c r="JGF17" s="476"/>
      <c r="JGG17" s="476"/>
      <c r="JGH17" s="476"/>
      <c r="JGI17" s="476"/>
      <c r="JGJ17" s="476"/>
      <c r="JGK17" s="476"/>
      <c r="JGL17" s="476"/>
      <c r="JGM17" s="476"/>
      <c r="JGN17" s="476"/>
      <c r="JGO17" s="476"/>
      <c r="JGP17" s="476"/>
      <c r="JGQ17" s="477"/>
      <c r="JGR17" s="477"/>
      <c r="JGS17" s="463"/>
      <c r="JGT17" s="475"/>
      <c r="JGU17" s="476"/>
      <c r="JGV17" s="476"/>
      <c r="JGW17" s="476"/>
      <c r="JGX17" s="476"/>
      <c r="JGY17" s="476"/>
      <c r="JGZ17" s="476"/>
      <c r="JHA17" s="476"/>
      <c r="JHB17" s="476"/>
      <c r="JHC17" s="476"/>
      <c r="JHD17" s="476"/>
      <c r="JHE17" s="476"/>
      <c r="JHF17" s="476"/>
      <c r="JHG17" s="477"/>
      <c r="JHH17" s="477"/>
      <c r="JHI17" s="463"/>
      <c r="JHJ17" s="475"/>
      <c r="JHK17" s="476"/>
      <c r="JHL17" s="476"/>
      <c r="JHM17" s="476"/>
      <c r="JHN17" s="476"/>
      <c r="JHO17" s="476"/>
      <c r="JHP17" s="476"/>
      <c r="JHQ17" s="476"/>
      <c r="JHR17" s="476"/>
      <c r="JHS17" s="476"/>
      <c r="JHT17" s="476"/>
      <c r="JHU17" s="476"/>
      <c r="JHV17" s="476"/>
      <c r="JHW17" s="477"/>
      <c r="JHX17" s="477"/>
      <c r="JHY17" s="463"/>
      <c r="JHZ17" s="475"/>
      <c r="JIA17" s="476"/>
      <c r="JIB17" s="476"/>
      <c r="JIC17" s="476"/>
      <c r="JID17" s="476"/>
      <c r="JIE17" s="476"/>
      <c r="JIF17" s="476"/>
      <c r="JIG17" s="476"/>
      <c r="JIH17" s="476"/>
      <c r="JII17" s="476"/>
      <c r="JIJ17" s="476"/>
      <c r="JIK17" s="476"/>
      <c r="JIL17" s="476"/>
      <c r="JIM17" s="477"/>
      <c r="JIN17" s="477"/>
      <c r="JIO17" s="463"/>
      <c r="JIP17" s="475"/>
      <c r="JIQ17" s="476"/>
      <c r="JIR17" s="476"/>
      <c r="JIS17" s="476"/>
      <c r="JIT17" s="476"/>
      <c r="JIU17" s="476"/>
      <c r="JIV17" s="476"/>
      <c r="JIW17" s="476"/>
      <c r="JIX17" s="476"/>
      <c r="JIY17" s="476"/>
      <c r="JIZ17" s="476"/>
      <c r="JJA17" s="476"/>
      <c r="JJB17" s="476"/>
      <c r="JJC17" s="477"/>
      <c r="JJD17" s="477"/>
      <c r="JJE17" s="463"/>
      <c r="JJF17" s="475"/>
      <c r="JJG17" s="476"/>
      <c r="JJH17" s="476"/>
      <c r="JJI17" s="476"/>
      <c r="JJJ17" s="476"/>
      <c r="JJK17" s="476"/>
      <c r="JJL17" s="476"/>
      <c r="JJM17" s="476"/>
      <c r="JJN17" s="476"/>
      <c r="JJO17" s="476"/>
      <c r="JJP17" s="476"/>
      <c r="JJQ17" s="476"/>
      <c r="JJR17" s="476"/>
      <c r="JJS17" s="477"/>
      <c r="JJT17" s="477"/>
      <c r="JJU17" s="463"/>
      <c r="JJV17" s="475"/>
      <c r="JJW17" s="476"/>
      <c r="JJX17" s="476"/>
      <c r="JJY17" s="476"/>
      <c r="JJZ17" s="476"/>
      <c r="JKA17" s="476"/>
      <c r="JKB17" s="476"/>
      <c r="JKC17" s="476"/>
      <c r="JKD17" s="476"/>
      <c r="JKE17" s="476"/>
      <c r="JKF17" s="476"/>
      <c r="JKG17" s="476"/>
      <c r="JKH17" s="476"/>
      <c r="JKI17" s="477"/>
      <c r="JKJ17" s="477"/>
      <c r="JKK17" s="463"/>
      <c r="JKL17" s="475"/>
      <c r="JKM17" s="476"/>
      <c r="JKN17" s="476"/>
      <c r="JKO17" s="476"/>
      <c r="JKP17" s="476"/>
      <c r="JKQ17" s="476"/>
      <c r="JKR17" s="476"/>
      <c r="JKS17" s="476"/>
      <c r="JKT17" s="476"/>
      <c r="JKU17" s="476"/>
      <c r="JKV17" s="476"/>
      <c r="JKW17" s="476"/>
      <c r="JKX17" s="476"/>
      <c r="JKY17" s="477"/>
      <c r="JKZ17" s="477"/>
      <c r="JLA17" s="463"/>
      <c r="JLB17" s="475"/>
      <c r="JLC17" s="476"/>
      <c r="JLD17" s="476"/>
      <c r="JLE17" s="476"/>
      <c r="JLF17" s="476"/>
      <c r="JLG17" s="476"/>
      <c r="JLH17" s="476"/>
      <c r="JLI17" s="476"/>
      <c r="JLJ17" s="476"/>
      <c r="JLK17" s="476"/>
      <c r="JLL17" s="476"/>
      <c r="JLM17" s="476"/>
      <c r="JLN17" s="476"/>
      <c r="JLO17" s="477"/>
      <c r="JLP17" s="477"/>
      <c r="JLQ17" s="463"/>
      <c r="JLR17" s="475"/>
      <c r="JLS17" s="476"/>
      <c r="JLT17" s="476"/>
      <c r="JLU17" s="476"/>
      <c r="JLV17" s="476"/>
      <c r="JLW17" s="476"/>
      <c r="JLX17" s="476"/>
      <c r="JLY17" s="476"/>
      <c r="JLZ17" s="476"/>
      <c r="JMA17" s="476"/>
      <c r="JMB17" s="476"/>
      <c r="JMC17" s="476"/>
      <c r="JMD17" s="476"/>
      <c r="JME17" s="477"/>
      <c r="JMF17" s="477"/>
      <c r="JMG17" s="463"/>
      <c r="JMH17" s="475"/>
      <c r="JMI17" s="476"/>
      <c r="JMJ17" s="476"/>
      <c r="JMK17" s="476"/>
      <c r="JML17" s="476"/>
      <c r="JMM17" s="476"/>
      <c r="JMN17" s="476"/>
      <c r="JMO17" s="476"/>
      <c r="JMP17" s="476"/>
      <c r="JMQ17" s="476"/>
      <c r="JMR17" s="476"/>
      <c r="JMS17" s="476"/>
      <c r="JMT17" s="476"/>
      <c r="JMU17" s="477"/>
      <c r="JMV17" s="477"/>
      <c r="JMW17" s="463"/>
      <c r="JMX17" s="475"/>
      <c r="JMY17" s="476"/>
      <c r="JMZ17" s="476"/>
      <c r="JNA17" s="476"/>
      <c r="JNB17" s="476"/>
      <c r="JNC17" s="476"/>
      <c r="JND17" s="476"/>
      <c r="JNE17" s="476"/>
      <c r="JNF17" s="476"/>
      <c r="JNG17" s="476"/>
      <c r="JNH17" s="476"/>
      <c r="JNI17" s="476"/>
      <c r="JNJ17" s="476"/>
      <c r="JNK17" s="477"/>
      <c r="JNL17" s="477"/>
      <c r="JNM17" s="463"/>
      <c r="JNN17" s="475"/>
      <c r="JNO17" s="476"/>
      <c r="JNP17" s="476"/>
      <c r="JNQ17" s="476"/>
      <c r="JNR17" s="476"/>
      <c r="JNS17" s="476"/>
      <c r="JNT17" s="476"/>
      <c r="JNU17" s="476"/>
      <c r="JNV17" s="476"/>
      <c r="JNW17" s="476"/>
      <c r="JNX17" s="476"/>
      <c r="JNY17" s="476"/>
      <c r="JNZ17" s="476"/>
      <c r="JOA17" s="477"/>
      <c r="JOB17" s="477"/>
      <c r="JOC17" s="463"/>
      <c r="JOD17" s="475"/>
      <c r="JOE17" s="476"/>
      <c r="JOF17" s="476"/>
      <c r="JOG17" s="476"/>
      <c r="JOH17" s="476"/>
      <c r="JOI17" s="476"/>
      <c r="JOJ17" s="476"/>
      <c r="JOK17" s="476"/>
      <c r="JOL17" s="476"/>
      <c r="JOM17" s="476"/>
      <c r="JON17" s="476"/>
      <c r="JOO17" s="476"/>
      <c r="JOP17" s="476"/>
      <c r="JOQ17" s="477"/>
      <c r="JOR17" s="477"/>
      <c r="JOS17" s="463"/>
      <c r="JOT17" s="475"/>
      <c r="JOU17" s="476"/>
      <c r="JOV17" s="476"/>
      <c r="JOW17" s="476"/>
      <c r="JOX17" s="476"/>
      <c r="JOY17" s="476"/>
      <c r="JOZ17" s="476"/>
      <c r="JPA17" s="476"/>
      <c r="JPB17" s="476"/>
      <c r="JPC17" s="476"/>
      <c r="JPD17" s="476"/>
      <c r="JPE17" s="476"/>
      <c r="JPF17" s="476"/>
      <c r="JPG17" s="477"/>
      <c r="JPH17" s="477"/>
      <c r="JPI17" s="463"/>
      <c r="JPJ17" s="475"/>
      <c r="JPK17" s="476"/>
      <c r="JPL17" s="476"/>
      <c r="JPM17" s="476"/>
      <c r="JPN17" s="476"/>
      <c r="JPO17" s="476"/>
      <c r="JPP17" s="476"/>
      <c r="JPQ17" s="476"/>
      <c r="JPR17" s="476"/>
      <c r="JPS17" s="476"/>
      <c r="JPT17" s="476"/>
      <c r="JPU17" s="476"/>
      <c r="JPV17" s="476"/>
      <c r="JPW17" s="477"/>
      <c r="JPX17" s="477"/>
      <c r="JPY17" s="463"/>
      <c r="JPZ17" s="475"/>
      <c r="JQA17" s="476"/>
      <c r="JQB17" s="476"/>
      <c r="JQC17" s="476"/>
      <c r="JQD17" s="476"/>
      <c r="JQE17" s="476"/>
      <c r="JQF17" s="476"/>
      <c r="JQG17" s="476"/>
      <c r="JQH17" s="476"/>
      <c r="JQI17" s="476"/>
      <c r="JQJ17" s="476"/>
      <c r="JQK17" s="476"/>
      <c r="JQL17" s="476"/>
      <c r="JQM17" s="477"/>
      <c r="JQN17" s="477"/>
      <c r="JQO17" s="463"/>
      <c r="JQP17" s="475"/>
      <c r="JQQ17" s="476"/>
      <c r="JQR17" s="476"/>
      <c r="JQS17" s="476"/>
      <c r="JQT17" s="476"/>
      <c r="JQU17" s="476"/>
      <c r="JQV17" s="476"/>
      <c r="JQW17" s="476"/>
      <c r="JQX17" s="476"/>
      <c r="JQY17" s="476"/>
      <c r="JQZ17" s="476"/>
      <c r="JRA17" s="476"/>
      <c r="JRB17" s="476"/>
      <c r="JRC17" s="477"/>
      <c r="JRD17" s="477"/>
      <c r="JRE17" s="463"/>
      <c r="JRF17" s="475"/>
      <c r="JRG17" s="476"/>
      <c r="JRH17" s="476"/>
      <c r="JRI17" s="476"/>
      <c r="JRJ17" s="476"/>
      <c r="JRK17" s="476"/>
      <c r="JRL17" s="476"/>
      <c r="JRM17" s="476"/>
      <c r="JRN17" s="476"/>
      <c r="JRO17" s="476"/>
      <c r="JRP17" s="476"/>
      <c r="JRQ17" s="476"/>
      <c r="JRR17" s="476"/>
      <c r="JRS17" s="477"/>
      <c r="JRT17" s="477"/>
      <c r="JRU17" s="463"/>
      <c r="JRV17" s="475"/>
      <c r="JRW17" s="476"/>
      <c r="JRX17" s="476"/>
      <c r="JRY17" s="476"/>
      <c r="JRZ17" s="476"/>
      <c r="JSA17" s="476"/>
      <c r="JSB17" s="476"/>
      <c r="JSC17" s="476"/>
      <c r="JSD17" s="476"/>
      <c r="JSE17" s="476"/>
      <c r="JSF17" s="476"/>
      <c r="JSG17" s="476"/>
      <c r="JSH17" s="476"/>
      <c r="JSI17" s="477"/>
      <c r="JSJ17" s="477"/>
      <c r="JSK17" s="463"/>
      <c r="JSL17" s="475"/>
      <c r="JSM17" s="476"/>
      <c r="JSN17" s="476"/>
      <c r="JSO17" s="476"/>
      <c r="JSP17" s="476"/>
      <c r="JSQ17" s="476"/>
      <c r="JSR17" s="476"/>
      <c r="JSS17" s="476"/>
      <c r="JST17" s="476"/>
      <c r="JSU17" s="476"/>
      <c r="JSV17" s="476"/>
      <c r="JSW17" s="476"/>
      <c r="JSX17" s="476"/>
      <c r="JSY17" s="477"/>
      <c r="JSZ17" s="477"/>
      <c r="JTA17" s="463"/>
      <c r="JTB17" s="475"/>
      <c r="JTC17" s="476"/>
      <c r="JTD17" s="476"/>
      <c r="JTE17" s="476"/>
      <c r="JTF17" s="476"/>
      <c r="JTG17" s="476"/>
      <c r="JTH17" s="476"/>
      <c r="JTI17" s="476"/>
      <c r="JTJ17" s="476"/>
      <c r="JTK17" s="476"/>
      <c r="JTL17" s="476"/>
      <c r="JTM17" s="476"/>
      <c r="JTN17" s="476"/>
      <c r="JTO17" s="477"/>
      <c r="JTP17" s="477"/>
      <c r="JTQ17" s="463"/>
      <c r="JTR17" s="475"/>
      <c r="JTS17" s="476"/>
      <c r="JTT17" s="476"/>
      <c r="JTU17" s="476"/>
      <c r="JTV17" s="476"/>
      <c r="JTW17" s="476"/>
      <c r="JTX17" s="476"/>
      <c r="JTY17" s="476"/>
      <c r="JTZ17" s="476"/>
      <c r="JUA17" s="476"/>
      <c r="JUB17" s="476"/>
      <c r="JUC17" s="476"/>
      <c r="JUD17" s="476"/>
      <c r="JUE17" s="477"/>
      <c r="JUF17" s="477"/>
      <c r="JUG17" s="463"/>
      <c r="JUH17" s="475"/>
      <c r="JUI17" s="476"/>
      <c r="JUJ17" s="476"/>
      <c r="JUK17" s="476"/>
      <c r="JUL17" s="476"/>
      <c r="JUM17" s="476"/>
      <c r="JUN17" s="476"/>
      <c r="JUO17" s="476"/>
      <c r="JUP17" s="476"/>
      <c r="JUQ17" s="476"/>
      <c r="JUR17" s="476"/>
      <c r="JUS17" s="476"/>
      <c r="JUT17" s="476"/>
      <c r="JUU17" s="477"/>
      <c r="JUV17" s="477"/>
      <c r="JUW17" s="463"/>
      <c r="JUX17" s="475"/>
      <c r="JUY17" s="476"/>
      <c r="JUZ17" s="476"/>
      <c r="JVA17" s="476"/>
      <c r="JVB17" s="476"/>
      <c r="JVC17" s="476"/>
      <c r="JVD17" s="476"/>
      <c r="JVE17" s="476"/>
      <c r="JVF17" s="476"/>
      <c r="JVG17" s="476"/>
      <c r="JVH17" s="476"/>
      <c r="JVI17" s="476"/>
      <c r="JVJ17" s="476"/>
      <c r="JVK17" s="477"/>
      <c r="JVL17" s="477"/>
      <c r="JVM17" s="463"/>
      <c r="JVN17" s="475"/>
      <c r="JVO17" s="476"/>
      <c r="JVP17" s="476"/>
      <c r="JVQ17" s="476"/>
      <c r="JVR17" s="476"/>
      <c r="JVS17" s="476"/>
      <c r="JVT17" s="476"/>
      <c r="JVU17" s="476"/>
      <c r="JVV17" s="476"/>
      <c r="JVW17" s="476"/>
      <c r="JVX17" s="476"/>
      <c r="JVY17" s="476"/>
      <c r="JVZ17" s="476"/>
      <c r="JWA17" s="477"/>
      <c r="JWB17" s="477"/>
      <c r="JWC17" s="463"/>
      <c r="JWD17" s="475"/>
      <c r="JWE17" s="476"/>
      <c r="JWF17" s="476"/>
      <c r="JWG17" s="476"/>
      <c r="JWH17" s="476"/>
      <c r="JWI17" s="476"/>
      <c r="JWJ17" s="476"/>
      <c r="JWK17" s="476"/>
      <c r="JWL17" s="476"/>
      <c r="JWM17" s="476"/>
      <c r="JWN17" s="476"/>
      <c r="JWO17" s="476"/>
      <c r="JWP17" s="476"/>
      <c r="JWQ17" s="477"/>
      <c r="JWR17" s="477"/>
      <c r="JWS17" s="463"/>
      <c r="JWT17" s="475"/>
      <c r="JWU17" s="476"/>
      <c r="JWV17" s="476"/>
      <c r="JWW17" s="476"/>
      <c r="JWX17" s="476"/>
      <c r="JWY17" s="476"/>
      <c r="JWZ17" s="476"/>
      <c r="JXA17" s="476"/>
      <c r="JXB17" s="476"/>
      <c r="JXC17" s="476"/>
      <c r="JXD17" s="476"/>
      <c r="JXE17" s="476"/>
      <c r="JXF17" s="476"/>
      <c r="JXG17" s="477"/>
      <c r="JXH17" s="477"/>
      <c r="JXI17" s="463"/>
      <c r="JXJ17" s="475"/>
      <c r="JXK17" s="476"/>
      <c r="JXL17" s="476"/>
      <c r="JXM17" s="476"/>
      <c r="JXN17" s="476"/>
      <c r="JXO17" s="476"/>
      <c r="JXP17" s="476"/>
      <c r="JXQ17" s="476"/>
      <c r="JXR17" s="476"/>
      <c r="JXS17" s="476"/>
      <c r="JXT17" s="476"/>
      <c r="JXU17" s="476"/>
      <c r="JXV17" s="476"/>
      <c r="JXW17" s="477"/>
      <c r="JXX17" s="477"/>
      <c r="JXY17" s="463"/>
      <c r="JXZ17" s="475"/>
      <c r="JYA17" s="476"/>
      <c r="JYB17" s="476"/>
      <c r="JYC17" s="476"/>
      <c r="JYD17" s="476"/>
      <c r="JYE17" s="476"/>
      <c r="JYF17" s="476"/>
      <c r="JYG17" s="476"/>
      <c r="JYH17" s="476"/>
      <c r="JYI17" s="476"/>
      <c r="JYJ17" s="476"/>
      <c r="JYK17" s="476"/>
      <c r="JYL17" s="476"/>
      <c r="JYM17" s="477"/>
      <c r="JYN17" s="477"/>
      <c r="JYO17" s="463"/>
      <c r="JYP17" s="475"/>
      <c r="JYQ17" s="476"/>
      <c r="JYR17" s="476"/>
      <c r="JYS17" s="476"/>
      <c r="JYT17" s="476"/>
      <c r="JYU17" s="476"/>
      <c r="JYV17" s="476"/>
      <c r="JYW17" s="476"/>
      <c r="JYX17" s="476"/>
      <c r="JYY17" s="476"/>
      <c r="JYZ17" s="476"/>
      <c r="JZA17" s="476"/>
      <c r="JZB17" s="476"/>
      <c r="JZC17" s="477"/>
      <c r="JZD17" s="477"/>
      <c r="JZE17" s="463"/>
      <c r="JZF17" s="475"/>
      <c r="JZG17" s="476"/>
      <c r="JZH17" s="476"/>
      <c r="JZI17" s="476"/>
      <c r="JZJ17" s="476"/>
      <c r="JZK17" s="476"/>
      <c r="JZL17" s="476"/>
      <c r="JZM17" s="476"/>
      <c r="JZN17" s="476"/>
      <c r="JZO17" s="476"/>
      <c r="JZP17" s="476"/>
      <c r="JZQ17" s="476"/>
      <c r="JZR17" s="476"/>
      <c r="JZS17" s="477"/>
      <c r="JZT17" s="477"/>
      <c r="JZU17" s="463"/>
      <c r="JZV17" s="475"/>
      <c r="JZW17" s="476"/>
      <c r="JZX17" s="476"/>
      <c r="JZY17" s="476"/>
      <c r="JZZ17" s="476"/>
      <c r="KAA17" s="476"/>
      <c r="KAB17" s="476"/>
      <c r="KAC17" s="476"/>
      <c r="KAD17" s="476"/>
      <c r="KAE17" s="476"/>
      <c r="KAF17" s="476"/>
      <c r="KAG17" s="476"/>
      <c r="KAH17" s="476"/>
      <c r="KAI17" s="477"/>
      <c r="KAJ17" s="477"/>
      <c r="KAK17" s="463"/>
      <c r="KAL17" s="475"/>
      <c r="KAM17" s="476"/>
      <c r="KAN17" s="476"/>
      <c r="KAO17" s="476"/>
      <c r="KAP17" s="476"/>
      <c r="KAQ17" s="476"/>
      <c r="KAR17" s="476"/>
      <c r="KAS17" s="476"/>
      <c r="KAT17" s="476"/>
      <c r="KAU17" s="476"/>
      <c r="KAV17" s="476"/>
      <c r="KAW17" s="476"/>
      <c r="KAX17" s="476"/>
      <c r="KAY17" s="477"/>
      <c r="KAZ17" s="477"/>
      <c r="KBA17" s="463"/>
      <c r="KBB17" s="475"/>
      <c r="KBC17" s="476"/>
      <c r="KBD17" s="476"/>
      <c r="KBE17" s="476"/>
      <c r="KBF17" s="476"/>
      <c r="KBG17" s="476"/>
      <c r="KBH17" s="476"/>
      <c r="KBI17" s="476"/>
      <c r="KBJ17" s="476"/>
      <c r="KBK17" s="476"/>
      <c r="KBL17" s="476"/>
      <c r="KBM17" s="476"/>
      <c r="KBN17" s="476"/>
      <c r="KBO17" s="477"/>
      <c r="KBP17" s="477"/>
      <c r="KBQ17" s="463"/>
      <c r="KBR17" s="475"/>
      <c r="KBS17" s="476"/>
      <c r="KBT17" s="476"/>
      <c r="KBU17" s="476"/>
      <c r="KBV17" s="476"/>
      <c r="KBW17" s="476"/>
      <c r="KBX17" s="476"/>
      <c r="KBY17" s="476"/>
      <c r="KBZ17" s="476"/>
      <c r="KCA17" s="476"/>
      <c r="KCB17" s="476"/>
      <c r="KCC17" s="476"/>
      <c r="KCD17" s="476"/>
      <c r="KCE17" s="477"/>
      <c r="KCF17" s="477"/>
      <c r="KCG17" s="463"/>
      <c r="KCH17" s="475"/>
      <c r="KCI17" s="476"/>
      <c r="KCJ17" s="476"/>
      <c r="KCK17" s="476"/>
      <c r="KCL17" s="476"/>
      <c r="KCM17" s="476"/>
      <c r="KCN17" s="476"/>
      <c r="KCO17" s="476"/>
      <c r="KCP17" s="476"/>
      <c r="KCQ17" s="476"/>
      <c r="KCR17" s="476"/>
      <c r="KCS17" s="476"/>
      <c r="KCT17" s="476"/>
      <c r="KCU17" s="477"/>
      <c r="KCV17" s="477"/>
      <c r="KCW17" s="463"/>
      <c r="KCX17" s="475"/>
      <c r="KCY17" s="476"/>
      <c r="KCZ17" s="476"/>
      <c r="KDA17" s="476"/>
      <c r="KDB17" s="476"/>
      <c r="KDC17" s="476"/>
      <c r="KDD17" s="476"/>
      <c r="KDE17" s="476"/>
      <c r="KDF17" s="476"/>
      <c r="KDG17" s="476"/>
      <c r="KDH17" s="476"/>
      <c r="KDI17" s="476"/>
      <c r="KDJ17" s="476"/>
      <c r="KDK17" s="477"/>
      <c r="KDL17" s="477"/>
      <c r="KDM17" s="463"/>
      <c r="KDN17" s="475"/>
      <c r="KDO17" s="476"/>
      <c r="KDP17" s="476"/>
      <c r="KDQ17" s="476"/>
      <c r="KDR17" s="476"/>
      <c r="KDS17" s="476"/>
      <c r="KDT17" s="476"/>
      <c r="KDU17" s="476"/>
      <c r="KDV17" s="476"/>
      <c r="KDW17" s="476"/>
      <c r="KDX17" s="476"/>
      <c r="KDY17" s="476"/>
      <c r="KDZ17" s="476"/>
      <c r="KEA17" s="477"/>
      <c r="KEB17" s="477"/>
      <c r="KEC17" s="463"/>
      <c r="KED17" s="475"/>
      <c r="KEE17" s="476"/>
      <c r="KEF17" s="476"/>
      <c r="KEG17" s="476"/>
      <c r="KEH17" s="476"/>
      <c r="KEI17" s="476"/>
      <c r="KEJ17" s="476"/>
      <c r="KEK17" s="476"/>
      <c r="KEL17" s="476"/>
      <c r="KEM17" s="476"/>
      <c r="KEN17" s="476"/>
      <c r="KEO17" s="476"/>
      <c r="KEP17" s="476"/>
      <c r="KEQ17" s="477"/>
      <c r="KER17" s="477"/>
      <c r="KES17" s="463"/>
      <c r="KET17" s="475"/>
      <c r="KEU17" s="476"/>
      <c r="KEV17" s="476"/>
      <c r="KEW17" s="476"/>
      <c r="KEX17" s="476"/>
      <c r="KEY17" s="476"/>
      <c r="KEZ17" s="476"/>
      <c r="KFA17" s="476"/>
      <c r="KFB17" s="476"/>
      <c r="KFC17" s="476"/>
      <c r="KFD17" s="476"/>
      <c r="KFE17" s="476"/>
      <c r="KFF17" s="476"/>
      <c r="KFG17" s="477"/>
      <c r="KFH17" s="477"/>
      <c r="KFI17" s="463"/>
      <c r="KFJ17" s="475"/>
      <c r="KFK17" s="476"/>
      <c r="KFL17" s="476"/>
      <c r="KFM17" s="476"/>
      <c r="KFN17" s="476"/>
      <c r="KFO17" s="476"/>
      <c r="KFP17" s="476"/>
      <c r="KFQ17" s="476"/>
      <c r="KFR17" s="476"/>
      <c r="KFS17" s="476"/>
      <c r="KFT17" s="476"/>
      <c r="KFU17" s="476"/>
      <c r="KFV17" s="476"/>
      <c r="KFW17" s="477"/>
      <c r="KFX17" s="477"/>
      <c r="KFY17" s="463"/>
      <c r="KFZ17" s="475"/>
      <c r="KGA17" s="476"/>
      <c r="KGB17" s="476"/>
      <c r="KGC17" s="476"/>
      <c r="KGD17" s="476"/>
      <c r="KGE17" s="476"/>
      <c r="KGF17" s="476"/>
      <c r="KGG17" s="476"/>
      <c r="KGH17" s="476"/>
      <c r="KGI17" s="476"/>
      <c r="KGJ17" s="476"/>
      <c r="KGK17" s="476"/>
      <c r="KGL17" s="476"/>
      <c r="KGM17" s="477"/>
      <c r="KGN17" s="477"/>
      <c r="KGO17" s="463"/>
      <c r="KGP17" s="475"/>
      <c r="KGQ17" s="476"/>
      <c r="KGR17" s="476"/>
      <c r="KGS17" s="476"/>
      <c r="KGT17" s="476"/>
      <c r="KGU17" s="476"/>
      <c r="KGV17" s="476"/>
      <c r="KGW17" s="476"/>
      <c r="KGX17" s="476"/>
      <c r="KGY17" s="476"/>
      <c r="KGZ17" s="476"/>
      <c r="KHA17" s="476"/>
      <c r="KHB17" s="476"/>
      <c r="KHC17" s="477"/>
      <c r="KHD17" s="477"/>
      <c r="KHE17" s="463"/>
      <c r="KHF17" s="475"/>
      <c r="KHG17" s="476"/>
      <c r="KHH17" s="476"/>
      <c r="KHI17" s="476"/>
      <c r="KHJ17" s="476"/>
      <c r="KHK17" s="476"/>
      <c r="KHL17" s="476"/>
      <c r="KHM17" s="476"/>
      <c r="KHN17" s="476"/>
      <c r="KHO17" s="476"/>
      <c r="KHP17" s="476"/>
      <c r="KHQ17" s="476"/>
      <c r="KHR17" s="476"/>
      <c r="KHS17" s="477"/>
      <c r="KHT17" s="477"/>
      <c r="KHU17" s="463"/>
      <c r="KHV17" s="475"/>
      <c r="KHW17" s="476"/>
      <c r="KHX17" s="476"/>
      <c r="KHY17" s="476"/>
      <c r="KHZ17" s="476"/>
      <c r="KIA17" s="476"/>
      <c r="KIB17" s="476"/>
      <c r="KIC17" s="476"/>
      <c r="KID17" s="476"/>
      <c r="KIE17" s="476"/>
      <c r="KIF17" s="476"/>
      <c r="KIG17" s="476"/>
      <c r="KIH17" s="476"/>
      <c r="KII17" s="477"/>
      <c r="KIJ17" s="477"/>
      <c r="KIK17" s="463"/>
      <c r="KIL17" s="475"/>
      <c r="KIM17" s="476"/>
      <c r="KIN17" s="476"/>
      <c r="KIO17" s="476"/>
      <c r="KIP17" s="476"/>
      <c r="KIQ17" s="476"/>
      <c r="KIR17" s="476"/>
      <c r="KIS17" s="476"/>
      <c r="KIT17" s="476"/>
      <c r="KIU17" s="476"/>
      <c r="KIV17" s="476"/>
      <c r="KIW17" s="476"/>
      <c r="KIX17" s="476"/>
      <c r="KIY17" s="477"/>
      <c r="KIZ17" s="477"/>
      <c r="KJA17" s="463"/>
      <c r="KJB17" s="475"/>
      <c r="KJC17" s="476"/>
      <c r="KJD17" s="476"/>
      <c r="KJE17" s="476"/>
      <c r="KJF17" s="476"/>
      <c r="KJG17" s="476"/>
      <c r="KJH17" s="476"/>
      <c r="KJI17" s="476"/>
      <c r="KJJ17" s="476"/>
      <c r="KJK17" s="476"/>
      <c r="KJL17" s="476"/>
      <c r="KJM17" s="476"/>
      <c r="KJN17" s="476"/>
      <c r="KJO17" s="477"/>
      <c r="KJP17" s="477"/>
      <c r="KJQ17" s="463"/>
      <c r="KJR17" s="475"/>
      <c r="KJS17" s="476"/>
      <c r="KJT17" s="476"/>
      <c r="KJU17" s="476"/>
      <c r="KJV17" s="476"/>
      <c r="KJW17" s="476"/>
      <c r="KJX17" s="476"/>
      <c r="KJY17" s="476"/>
      <c r="KJZ17" s="476"/>
      <c r="KKA17" s="476"/>
      <c r="KKB17" s="476"/>
      <c r="KKC17" s="476"/>
      <c r="KKD17" s="476"/>
      <c r="KKE17" s="477"/>
      <c r="KKF17" s="477"/>
      <c r="KKG17" s="463"/>
      <c r="KKH17" s="475"/>
      <c r="KKI17" s="476"/>
      <c r="KKJ17" s="476"/>
      <c r="KKK17" s="476"/>
      <c r="KKL17" s="476"/>
      <c r="KKM17" s="476"/>
      <c r="KKN17" s="476"/>
      <c r="KKO17" s="476"/>
      <c r="KKP17" s="476"/>
      <c r="KKQ17" s="476"/>
      <c r="KKR17" s="476"/>
      <c r="KKS17" s="476"/>
      <c r="KKT17" s="476"/>
      <c r="KKU17" s="477"/>
      <c r="KKV17" s="477"/>
      <c r="KKW17" s="463"/>
      <c r="KKX17" s="475"/>
      <c r="KKY17" s="476"/>
      <c r="KKZ17" s="476"/>
      <c r="KLA17" s="476"/>
      <c r="KLB17" s="476"/>
      <c r="KLC17" s="476"/>
      <c r="KLD17" s="476"/>
      <c r="KLE17" s="476"/>
      <c r="KLF17" s="476"/>
      <c r="KLG17" s="476"/>
      <c r="KLH17" s="476"/>
      <c r="KLI17" s="476"/>
      <c r="KLJ17" s="476"/>
      <c r="KLK17" s="477"/>
      <c r="KLL17" s="477"/>
      <c r="KLM17" s="463"/>
      <c r="KLN17" s="475"/>
      <c r="KLO17" s="476"/>
      <c r="KLP17" s="476"/>
      <c r="KLQ17" s="476"/>
      <c r="KLR17" s="476"/>
      <c r="KLS17" s="476"/>
      <c r="KLT17" s="476"/>
      <c r="KLU17" s="476"/>
      <c r="KLV17" s="476"/>
      <c r="KLW17" s="476"/>
      <c r="KLX17" s="476"/>
      <c r="KLY17" s="476"/>
      <c r="KLZ17" s="476"/>
      <c r="KMA17" s="477"/>
      <c r="KMB17" s="477"/>
      <c r="KMC17" s="463"/>
      <c r="KMD17" s="475"/>
      <c r="KME17" s="476"/>
      <c r="KMF17" s="476"/>
      <c r="KMG17" s="476"/>
      <c r="KMH17" s="476"/>
      <c r="KMI17" s="476"/>
      <c r="KMJ17" s="476"/>
      <c r="KMK17" s="476"/>
      <c r="KML17" s="476"/>
      <c r="KMM17" s="476"/>
      <c r="KMN17" s="476"/>
      <c r="KMO17" s="476"/>
      <c r="KMP17" s="476"/>
      <c r="KMQ17" s="477"/>
      <c r="KMR17" s="477"/>
      <c r="KMS17" s="463"/>
      <c r="KMT17" s="475"/>
      <c r="KMU17" s="476"/>
      <c r="KMV17" s="476"/>
      <c r="KMW17" s="476"/>
      <c r="KMX17" s="476"/>
      <c r="KMY17" s="476"/>
      <c r="KMZ17" s="476"/>
      <c r="KNA17" s="476"/>
      <c r="KNB17" s="476"/>
      <c r="KNC17" s="476"/>
      <c r="KND17" s="476"/>
      <c r="KNE17" s="476"/>
      <c r="KNF17" s="476"/>
      <c r="KNG17" s="477"/>
      <c r="KNH17" s="477"/>
      <c r="KNI17" s="463"/>
      <c r="KNJ17" s="475"/>
      <c r="KNK17" s="476"/>
      <c r="KNL17" s="476"/>
      <c r="KNM17" s="476"/>
      <c r="KNN17" s="476"/>
      <c r="KNO17" s="476"/>
      <c r="KNP17" s="476"/>
      <c r="KNQ17" s="476"/>
      <c r="KNR17" s="476"/>
      <c r="KNS17" s="476"/>
      <c r="KNT17" s="476"/>
      <c r="KNU17" s="476"/>
      <c r="KNV17" s="476"/>
      <c r="KNW17" s="477"/>
      <c r="KNX17" s="477"/>
      <c r="KNY17" s="463"/>
      <c r="KNZ17" s="475"/>
      <c r="KOA17" s="476"/>
      <c r="KOB17" s="476"/>
      <c r="KOC17" s="476"/>
      <c r="KOD17" s="476"/>
      <c r="KOE17" s="476"/>
      <c r="KOF17" s="476"/>
      <c r="KOG17" s="476"/>
      <c r="KOH17" s="476"/>
      <c r="KOI17" s="476"/>
      <c r="KOJ17" s="476"/>
      <c r="KOK17" s="476"/>
      <c r="KOL17" s="476"/>
      <c r="KOM17" s="477"/>
      <c r="KON17" s="477"/>
      <c r="KOO17" s="463"/>
      <c r="KOP17" s="475"/>
      <c r="KOQ17" s="476"/>
      <c r="KOR17" s="476"/>
      <c r="KOS17" s="476"/>
      <c r="KOT17" s="476"/>
      <c r="KOU17" s="476"/>
      <c r="KOV17" s="476"/>
      <c r="KOW17" s="476"/>
      <c r="KOX17" s="476"/>
      <c r="KOY17" s="476"/>
      <c r="KOZ17" s="476"/>
      <c r="KPA17" s="476"/>
      <c r="KPB17" s="476"/>
      <c r="KPC17" s="477"/>
      <c r="KPD17" s="477"/>
      <c r="KPE17" s="463"/>
      <c r="KPF17" s="475"/>
      <c r="KPG17" s="476"/>
      <c r="KPH17" s="476"/>
      <c r="KPI17" s="476"/>
      <c r="KPJ17" s="476"/>
      <c r="KPK17" s="476"/>
      <c r="KPL17" s="476"/>
      <c r="KPM17" s="476"/>
      <c r="KPN17" s="476"/>
      <c r="KPO17" s="476"/>
      <c r="KPP17" s="476"/>
      <c r="KPQ17" s="476"/>
      <c r="KPR17" s="476"/>
      <c r="KPS17" s="477"/>
      <c r="KPT17" s="477"/>
      <c r="KPU17" s="463"/>
      <c r="KPV17" s="475"/>
      <c r="KPW17" s="476"/>
      <c r="KPX17" s="476"/>
      <c r="KPY17" s="476"/>
      <c r="KPZ17" s="476"/>
      <c r="KQA17" s="476"/>
      <c r="KQB17" s="476"/>
      <c r="KQC17" s="476"/>
      <c r="KQD17" s="476"/>
      <c r="KQE17" s="476"/>
      <c r="KQF17" s="476"/>
      <c r="KQG17" s="476"/>
      <c r="KQH17" s="476"/>
      <c r="KQI17" s="477"/>
      <c r="KQJ17" s="477"/>
      <c r="KQK17" s="463"/>
      <c r="KQL17" s="475"/>
      <c r="KQM17" s="476"/>
      <c r="KQN17" s="476"/>
      <c r="KQO17" s="476"/>
      <c r="KQP17" s="476"/>
      <c r="KQQ17" s="476"/>
      <c r="KQR17" s="476"/>
      <c r="KQS17" s="476"/>
      <c r="KQT17" s="476"/>
      <c r="KQU17" s="476"/>
      <c r="KQV17" s="476"/>
      <c r="KQW17" s="476"/>
      <c r="KQX17" s="476"/>
      <c r="KQY17" s="477"/>
      <c r="KQZ17" s="477"/>
      <c r="KRA17" s="463"/>
      <c r="KRB17" s="475"/>
      <c r="KRC17" s="476"/>
      <c r="KRD17" s="476"/>
      <c r="KRE17" s="476"/>
      <c r="KRF17" s="476"/>
      <c r="KRG17" s="476"/>
      <c r="KRH17" s="476"/>
      <c r="KRI17" s="476"/>
      <c r="KRJ17" s="476"/>
      <c r="KRK17" s="476"/>
      <c r="KRL17" s="476"/>
      <c r="KRM17" s="476"/>
      <c r="KRN17" s="476"/>
      <c r="KRO17" s="477"/>
      <c r="KRP17" s="477"/>
      <c r="KRQ17" s="463"/>
      <c r="KRR17" s="475"/>
      <c r="KRS17" s="476"/>
      <c r="KRT17" s="476"/>
      <c r="KRU17" s="476"/>
      <c r="KRV17" s="476"/>
      <c r="KRW17" s="476"/>
      <c r="KRX17" s="476"/>
      <c r="KRY17" s="476"/>
      <c r="KRZ17" s="476"/>
      <c r="KSA17" s="476"/>
      <c r="KSB17" s="476"/>
      <c r="KSC17" s="476"/>
      <c r="KSD17" s="476"/>
      <c r="KSE17" s="477"/>
      <c r="KSF17" s="477"/>
      <c r="KSG17" s="463"/>
      <c r="KSH17" s="475"/>
      <c r="KSI17" s="476"/>
      <c r="KSJ17" s="476"/>
      <c r="KSK17" s="476"/>
      <c r="KSL17" s="476"/>
      <c r="KSM17" s="476"/>
      <c r="KSN17" s="476"/>
      <c r="KSO17" s="476"/>
      <c r="KSP17" s="476"/>
      <c r="KSQ17" s="476"/>
      <c r="KSR17" s="476"/>
      <c r="KSS17" s="476"/>
      <c r="KST17" s="476"/>
      <c r="KSU17" s="477"/>
      <c r="KSV17" s="477"/>
      <c r="KSW17" s="463"/>
      <c r="KSX17" s="475"/>
      <c r="KSY17" s="476"/>
      <c r="KSZ17" s="476"/>
      <c r="KTA17" s="476"/>
      <c r="KTB17" s="476"/>
      <c r="KTC17" s="476"/>
      <c r="KTD17" s="476"/>
      <c r="KTE17" s="476"/>
      <c r="KTF17" s="476"/>
      <c r="KTG17" s="476"/>
      <c r="KTH17" s="476"/>
      <c r="KTI17" s="476"/>
      <c r="KTJ17" s="476"/>
      <c r="KTK17" s="477"/>
      <c r="KTL17" s="477"/>
      <c r="KTM17" s="463"/>
      <c r="KTN17" s="475"/>
      <c r="KTO17" s="476"/>
      <c r="KTP17" s="476"/>
      <c r="KTQ17" s="476"/>
      <c r="KTR17" s="476"/>
      <c r="KTS17" s="476"/>
      <c r="KTT17" s="476"/>
      <c r="KTU17" s="476"/>
      <c r="KTV17" s="476"/>
      <c r="KTW17" s="476"/>
      <c r="KTX17" s="476"/>
      <c r="KTY17" s="476"/>
      <c r="KTZ17" s="476"/>
      <c r="KUA17" s="477"/>
      <c r="KUB17" s="477"/>
      <c r="KUC17" s="463"/>
      <c r="KUD17" s="475"/>
      <c r="KUE17" s="476"/>
      <c r="KUF17" s="476"/>
      <c r="KUG17" s="476"/>
      <c r="KUH17" s="476"/>
      <c r="KUI17" s="476"/>
      <c r="KUJ17" s="476"/>
      <c r="KUK17" s="476"/>
      <c r="KUL17" s="476"/>
      <c r="KUM17" s="476"/>
      <c r="KUN17" s="476"/>
      <c r="KUO17" s="476"/>
      <c r="KUP17" s="476"/>
      <c r="KUQ17" s="477"/>
      <c r="KUR17" s="477"/>
      <c r="KUS17" s="463"/>
      <c r="KUT17" s="475"/>
      <c r="KUU17" s="476"/>
      <c r="KUV17" s="476"/>
      <c r="KUW17" s="476"/>
      <c r="KUX17" s="476"/>
      <c r="KUY17" s="476"/>
      <c r="KUZ17" s="476"/>
      <c r="KVA17" s="476"/>
      <c r="KVB17" s="476"/>
      <c r="KVC17" s="476"/>
      <c r="KVD17" s="476"/>
      <c r="KVE17" s="476"/>
      <c r="KVF17" s="476"/>
      <c r="KVG17" s="477"/>
      <c r="KVH17" s="477"/>
      <c r="KVI17" s="463"/>
      <c r="KVJ17" s="475"/>
      <c r="KVK17" s="476"/>
      <c r="KVL17" s="476"/>
      <c r="KVM17" s="476"/>
      <c r="KVN17" s="476"/>
      <c r="KVO17" s="476"/>
      <c r="KVP17" s="476"/>
      <c r="KVQ17" s="476"/>
      <c r="KVR17" s="476"/>
      <c r="KVS17" s="476"/>
      <c r="KVT17" s="476"/>
      <c r="KVU17" s="476"/>
      <c r="KVV17" s="476"/>
      <c r="KVW17" s="477"/>
      <c r="KVX17" s="477"/>
      <c r="KVY17" s="463"/>
      <c r="KVZ17" s="475"/>
      <c r="KWA17" s="476"/>
      <c r="KWB17" s="476"/>
      <c r="KWC17" s="476"/>
      <c r="KWD17" s="476"/>
      <c r="KWE17" s="476"/>
      <c r="KWF17" s="476"/>
      <c r="KWG17" s="476"/>
      <c r="KWH17" s="476"/>
      <c r="KWI17" s="476"/>
      <c r="KWJ17" s="476"/>
      <c r="KWK17" s="476"/>
      <c r="KWL17" s="476"/>
      <c r="KWM17" s="477"/>
      <c r="KWN17" s="477"/>
      <c r="KWO17" s="463"/>
      <c r="KWP17" s="475"/>
      <c r="KWQ17" s="476"/>
      <c r="KWR17" s="476"/>
      <c r="KWS17" s="476"/>
      <c r="KWT17" s="476"/>
      <c r="KWU17" s="476"/>
      <c r="KWV17" s="476"/>
      <c r="KWW17" s="476"/>
      <c r="KWX17" s="476"/>
      <c r="KWY17" s="476"/>
      <c r="KWZ17" s="476"/>
      <c r="KXA17" s="476"/>
      <c r="KXB17" s="476"/>
      <c r="KXC17" s="477"/>
      <c r="KXD17" s="477"/>
      <c r="KXE17" s="463"/>
      <c r="KXF17" s="475"/>
      <c r="KXG17" s="476"/>
      <c r="KXH17" s="476"/>
      <c r="KXI17" s="476"/>
      <c r="KXJ17" s="476"/>
      <c r="KXK17" s="476"/>
      <c r="KXL17" s="476"/>
      <c r="KXM17" s="476"/>
      <c r="KXN17" s="476"/>
      <c r="KXO17" s="476"/>
      <c r="KXP17" s="476"/>
      <c r="KXQ17" s="476"/>
      <c r="KXR17" s="476"/>
      <c r="KXS17" s="477"/>
      <c r="KXT17" s="477"/>
      <c r="KXU17" s="463"/>
      <c r="KXV17" s="475"/>
      <c r="KXW17" s="476"/>
      <c r="KXX17" s="476"/>
      <c r="KXY17" s="476"/>
      <c r="KXZ17" s="476"/>
      <c r="KYA17" s="476"/>
      <c r="KYB17" s="476"/>
      <c r="KYC17" s="476"/>
      <c r="KYD17" s="476"/>
      <c r="KYE17" s="476"/>
      <c r="KYF17" s="476"/>
      <c r="KYG17" s="476"/>
      <c r="KYH17" s="476"/>
      <c r="KYI17" s="477"/>
      <c r="KYJ17" s="477"/>
      <c r="KYK17" s="463"/>
      <c r="KYL17" s="475"/>
      <c r="KYM17" s="476"/>
      <c r="KYN17" s="476"/>
      <c r="KYO17" s="476"/>
      <c r="KYP17" s="476"/>
      <c r="KYQ17" s="476"/>
      <c r="KYR17" s="476"/>
      <c r="KYS17" s="476"/>
      <c r="KYT17" s="476"/>
      <c r="KYU17" s="476"/>
      <c r="KYV17" s="476"/>
      <c r="KYW17" s="476"/>
      <c r="KYX17" s="476"/>
      <c r="KYY17" s="477"/>
      <c r="KYZ17" s="477"/>
      <c r="KZA17" s="463"/>
      <c r="KZB17" s="475"/>
      <c r="KZC17" s="476"/>
      <c r="KZD17" s="476"/>
      <c r="KZE17" s="476"/>
      <c r="KZF17" s="476"/>
      <c r="KZG17" s="476"/>
      <c r="KZH17" s="476"/>
      <c r="KZI17" s="476"/>
      <c r="KZJ17" s="476"/>
      <c r="KZK17" s="476"/>
      <c r="KZL17" s="476"/>
      <c r="KZM17" s="476"/>
      <c r="KZN17" s="476"/>
      <c r="KZO17" s="477"/>
      <c r="KZP17" s="477"/>
      <c r="KZQ17" s="463"/>
      <c r="KZR17" s="475"/>
      <c r="KZS17" s="476"/>
      <c r="KZT17" s="476"/>
      <c r="KZU17" s="476"/>
      <c r="KZV17" s="476"/>
      <c r="KZW17" s="476"/>
      <c r="KZX17" s="476"/>
      <c r="KZY17" s="476"/>
      <c r="KZZ17" s="476"/>
      <c r="LAA17" s="476"/>
      <c r="LAB17" s="476"/>
      <c r="LAC17" s="476"/>
      <c r="LAD17" s="476"/>
      <c r="LAE17" s="477"/>
      <c r="LAF17" s="477"/>
      <c r="LAG17" s="463"/>
      <c r="LAH17" s="475"/>
      <c r="LAI17" s="476"/>
      <c r="LAJ17" s="476"/>
      <c r="LAK17" s="476"/>
      <c r="LAL17" s="476"/>
      <c r="LAM17" s="476"/>
      <c r="LAN17" s="476"/>
      <c r="LAO17" s="476"/>
      <c r="LAP17" s="476"/>
      <c r="LAQ17" s="476"/>
      <c r="LAR17" s="476"/>
      <c r="LAS17" s="476"/>
      <c r="LAT17" s="476"/>
      <c r="LAU17" s="477"/>
      <c r="LAV17" s="477"/>
      <c r="LAW17" s="463"/>
      <c r="LAX17" s="475"/>
      <c r="LAY17" s="476"/>
      <c r="LAZ17" s="476"/>
      <c r="LBA17" s="476"/>
      <c r="LBB17" s="476"/>
      <c r="LBC17" s="476"/>
      <c r="LBD17" s="476"/>
      <c r="LBE17" s="476"/>
      <c r="LBF17" s="476"/>
      <c r="LBG17" s="476"/>
      <c r="LBH17" s="476"/>
      <c r="LBI17" s="476"/>
      <c r="LBJ17" s="476"/>
      <c r="LBK17" s="477"/>
      <c r="LBL17" s="477"/>
      <c r="LBM17" s="463"/>
      <c r="LBN17" s="475"/>
      <c r="LBO17" s="476"/>
      <c r="LBP17" s="476"/>
      <c r="LBQ17" s="476"/>
      <c r="LBR17" s="476"/>
      <c r="LBS17" s="476"/>
      <c r="LBT17" s="476"/>
      <c r="LBU17" s="476"/>
      <c r="LBV17" s="476"/>
      <c r="LBW17" s="476"/>
      <c r="LBX17" s="476"/>
      <c r="LBY17" s="476"/>
      <c r="LBZ17" s="476"/>
      <c r="LCA17" s="477"/>
      <c r="LCB17" s="477"/>
      <c r="LCC17" s="463"/>
      <c r="LCD17" s="475"/>
      <c r="LCE17" s="476"/>
      <c r="LCF17" s="476"/>
      <c r="LCG17" s="476"/>
      <c r="LCH17" s="476"/>
      <c r="LCI17" s="476"/>
      <c r="LCJ17" s="476"/>
      <c r="LCK17" s="476"/>
      <c r="LCL17" s="476"/>
      <c r="LCM17" s="476"/>
      <c r="LCN17" s="476"/>
      <c r="LCO17" s="476"/>
      <c r="LCP17" s="476"/>
      <c r="LCQ17" s="477"/>
      <c r="LCR17" s="477"/>
      <c r="LCS17" s="463"/>
      <c r="LCT17" s="475"/>
      <c r="LCU17" s="476"/>
      <c r="LCV17" s="476"/>
      <c r="LCW17" s="476"/>
      <c r="LCX17" s="476"/>
      <c r="LCY17" s="476"/>
      <c r="LCZ17" s="476"/>
      <c r="LDA17" s="476"/>
      <c r="LDB17" s="476"/>
      <c r="LDC17" s="476"/>
      <c r="LDD17" s="476"/>
      <c r="LDE17" s="476"/>
      <c r="LDF17" s="476"/>
      <c r="LDG17" s="477"/>
      <c r="LDH17" s="477"/>
      <c r="LDI17" s="463"/>
      <c r="LDJ17" s="475"/>
      <c r="LDK17" s="476"/>
      <c r="LDL17" s="476"/>
      <c r="LDM17" s="476"/>
      <c r="LDN17" s="476"/>
      <c r="LDO17" s="476"/>
      <c r="LDP17" s="476"/>
      <c r="LDQ17" s="476"/>
      <c r="LDR17" s="476"/>
      <c r="LDS17" s="476"/>
      <c r="LDT17" s="476"/>
      <c r="LDU17" s="476"/>
      <c r="LDV17" s="476"/>
      <c r="LDW17" s="477"/>
      <c r="LDX17" s="477"/>
      <c r="LDY17" s="463"/>
      <c r="LDZ17" s="475"/>
      <c r="LEA17" s="476"/>
      <c r="LEB17" s="476"/>
      <c r="LEC17" s="476"/>
      <c r="LED17" s="476"/>
      <c r="LEE17" s="476"/>
      <c r="LEF17" s="476"/>
      <c r="LEG17" s="476"/>
      <c r="LEH17" s="476"/>
      <c r="LEI17" s="476"/>
      <c r="LEJ17" s="476"/>
      <c r="LEK17" s="476"/>
      <c r="LEL17" s="476"/>
      <c r="LEM17" s="477"/>
      <c r="LEN17" s="477"/>
      <c r="LEO17" s="463"/>
      <c r="LEP17" s="475"/>
      <c r="LEQ17" s="476"/>
      <c r="LER17" s="476"/>
      <c r="LES17" s="476"/>
      <c r="LET17" s="476"/>
      <c r="LEU17" s="476"/>
      <c r="LEV17" s="476"/>
      <c r="LEW17" s="476"/>
      <c r="LEX17" s="476"/>
      <c r="LEY17" s="476"/>
      <c r="LEZ17" s="476"/>
      <c r="LFA17" s="476"/>
      <c r="LFB17" s="476"/>
      <c r="LFC17" s="477"/>
      <c r="LFD17" s="477"/>
      <c r="LFE17" s="463"/>
      <c r="LFF17" s="475"/>
      <c r="LFG17" s="476"/>
      <c r="LFH17" s="476"/>
      <c r="LFI17" s="476"/>
      <c r="LFJ17" s="476"/>
      <c r="LFK17" s="476"/>
      <c r="LFL17" s="476"/>
      <c r="LFM17" s="476"/>
      <c r="LFN17" s="476"/>
      <c r="LFO17" s="476"/>
      <c r="LFP17" s="476"/>
      <c r="LFQ17" s="476"/>
      <c r="LFR17" s="476"/>
      <c r="LFS17" s="477"/>
      <c r="LFT17" s="477"/>
      <c r="LFU17" s="463"/>
      <c r="LFV17" s="475"/>
      <c r="LFW17" s="476"/>
      <c r="LFX17" s="476"/>
      <c r="LFY17" s="476"/>
      <c r="LFZ17" s="476"/>
      <c r="LGA17" s="476"/>
      <c r="LGB17" s="476"/>
      <c r="LGC17" s="476"/>
      <c r="LGD17" s="476"/>
      <c r="LGE17" s="476"/>
      <c r="LGF17" s="476"/>
      <c r="LGG17" s="476"/>
      <c r="LGH17" s="476"/>
      <c r="LGI17" s="477"/>
      <c r="LGJ17" s="477"/>
      <c r="LGK17" s="463"/>
      <c r="LGL17" s="475"/>
      <c r="LGM17" s="476"/>
      <c r="LGN17" s="476"/>
      <c r="LGO17" s="476"/>
      <c r="LGP17" s="476"/>
      <c r="LGQ17" s="476"/>
      <c r="LGR17" s="476"/>
      <c r="LGS17" s="476"/>
      <c r="LGT17" s="476"/>
      <c r="LGU17" s="476"/>
      <c r="LGV17" s="476"/>
      <c r="LGW17" s="476"/>
      <c r="LGX17" s="476"/>
      <c r="LGY17" s="477"/>
      <c r="LGZ17" s="477"/>
      <c r="LHA17" s="463"/>
      <c r="LHB17" s="475"/>
      <c r="LHC17" s="476"/>
      <c r="LHD17" s="476"/>
      <c r="LHE17" s="476"/>
      <c r="LHF17" s="476"/>
      <c r="LHG17" s="476"/>
      <c r="LHH17" s="476"/>
      <c r="LHI17" s="476"/>
      <c r="LHJ17" s="476"/>
      <c r="LHK17" s="476"/>
      <c r="LHL17" s="476"/>
      <c r="LHM17" s="476"/>
      <c r="LHN17" s="476"/>
      <c r="LHO17" s="477"/>
      <c r="LHP17" s="477"/>
      <c r="LHQ17" s="463"/>
      <c r="LHR17" s="475"/>
      <c r="LHS17" s="476"/>
      <c r="LHT17" s="476"/>
      <c r="LHU17" s="476"/>
      <c r="LHV17" s="476"/>
      <c r="LHW17" s="476"/>
      <c r="LHX17" s="476"/>
      <c r="LHY17" s="476"/>
      <c r="LHZ17" s="476"/>
      <c r="LIA17" s="476"/>
      <c r="LIB17" s="476"/>
      <c r="LIC17" s="476"/>
      <c r="LID17" s="476"/>
      <c r="LIE17" s="477"/>
      <c r="LIF17" s="477"/>
      <c r="LIG17" s="463"/>
      <c r="LIH17" s="475"/>
      <c r="LII17" s="476"/>
      <c r="LIJ17" s="476"/>
      <c r="LIK17" s="476"/>
      <c r="LIL17" s="476"/>
      <c r="LIM17" s="476"/>
      <c r="LIN17" s="476"/>
      <c r="LIO17" s="476"/>
      <c r="LIP17" s="476"/>
      <c r="LIQ17" s="476"/>
      <c r="LIR17" s="476"/>
      <c r="LIS17" s="476"/>
      <c r="LIT17" s="476"/>
      <c r="LIU17" s="477"/>
      <c r="LIV17" s="477"/>
      <c r="LIW17" s="463"/>
      <c r="LIX17" s="475"/>
      <c r="LIY17" s="476"/>
      <c r="LIZ17" s="476"/>
      <c r="LJA17" s="476"/>
      <c r="LJB17" s="476"/>
      <c r="LJC17" s="476"/>
      <c r="LJD17" s="476"/>
      <c r="LJE17" s="476"/>
      <c r="LJF17" s="476"/>
      <c r="LJG17" s="476"/>
      <c r="LJH17" s="476"/>
      <c r="LJI17" s="476"/>
      <c r="LJJ17" s="476"/>
      <c r="LJK17" s="477"/>
      <c r="LJL17" s="477"/>
      <c r="LJM17" s="463"/>
      <c r="LJN17" s="475"/>
      <c r="LJO17" s="476"/>
      <c r="LJP17" s="476"/>
      <c r="LJQ17" s="476"/>
      <c r="LJR17" s="476"/>
      <c r="LJS17" s="476"/>
      <c r="LJT17" s="476"/>
      <c r="LJU17" s="476"/>
      <c r="LJV17" s="476"/>
      <c r="LJW17" s="476"/>
      <c r="LJX17" s="476"/>
      <c r="LJY17" s="476"/>
      <c r="LJZ17" s="476"/>
      <c r="LKA17" s="477"/>
      <c r="LKB17" s="477"/>
      <c r="LKC17" s="463"/>
      <c r="LKD17" s="475"/>
      <c r="LKE17" s="476"/>
      <c r="LKF17" s="476"/>
      <c r="LKG17" s="476"/>
      <c r="LKH17" s="476"/>
      <c r="LKI17" s="476"/>
      <c r="LKJ17" s="476"/>
      <c r="LKK17" s="476"/>
      <c r="LKL17" s="476"/>
      <c r="LKM17" s="476"/>
      <c r="LKN17" s="476"/>
      <c r="LKO17" s="476"/>
      <c r="LKP17" s="476"/>
      <c r="LKQ17" s="477"/>
      <c r="LKR17" s="477"/>
      <c r="LKS17" s="463"/>
      <c r="LKT17" s="475"/>
      <c r="LKU17" s="476"/>
      <c r="LKV17" s="476"/>
      <c r="LKW17" s="476"/>
      <c r="LKX17" s="476"/>
      <c r="LKY17" s="476"/>
      <c r="LKZ17" s="476"/>
      <c r="LLA17" s="476"/>
      <c r="LLB17" s="476"/>
      <c r="LLC17" s="476"/>
      <c r="LLD17" s="476"/>
      <c r="LLE17" s="476"/>
      <c r="LLF17" s="476"/>
      <c r="LLG17" s="477"/>
      <c r="LLH17" s="477"/>
      <c r="LLI17" s="463"/>
      <c r="LLJ17" s="475"/>
      <c r="LLK17" s="476"/>
      <c r="LLL17" s="476"/>
      <c r="LLM17" s="476"/>
      <c r="LLN17" s="476"/>
      <c r="LLO17" s="476"/>
      <c r="LLP17" s="476"/>
      <c r="LLQ17" s="476"/>
      <c r="LLR17" s="476"/>
      <c r="LLS17" s="476"/>
      <c r="LLT17" s="476"/>
      <c r="LLU17" s="476"/>
      <c r="LLV17" s="476"/>
      <c r="LLW17" s="477"/>
      <c r="LLX17" s="477"/>
      <c r="LLY17" s="463"/>
      <c r="LLZ17" s="475"/>
      <c r="LMA17" s="476"/>
      <c r="LMB17" s="476"/>
      <c r="LMC17" s="476"/>
      <c r="LMD17" s="476"/>
      <c r="LME17" s="476"/>
      <c r="LMF17" s="476"/>
      <c r="LMG17" s="476"/>
      <c r="LMH17" s="476"/>
      <c r="LMI17" s="476"/>
      <c r="LMJ17" s="476"/>
      <c r="LMK17" s="476"/>
      <c r="LML17" s="476"/>
      <c r="LMM17" s="477"/>
      <c r="LMN17" s="477"/>
      <c r="LMO17" s="463"/>
      <c r="LMP17" s="475"/>
      <c r="LMQ17" s="476"/>
      <c r="LMR17" s="476"/>
      <c r="LMS17" s="476"/>
      <c r="LMT17" s="476"/>
      <c r="LMU17" s="476"/>
      <c r="LMV17" s="476"/>
      <c r="LMW17" s="476"/>
      <c r="LMX17" s="476"/>
      <c r="LMY17" s="476"/>
      <c r="LMZ17" s="476"/>
      <c r="LNA17" s="476"/>
      <c r="LNB17" s="476"/>
      <c r="LNC17" s="477"/>
      <c r="LND17" s="477"/>
      <c r="LNE17" s="463"/>
      <c r="LNF17" s="475"/>
      <c r="LNG17" s="476"/>
      <c r="LNH17" s="476"/>
      <c r="LNI17" s="476"/>
      <c r="LNJ17" s="476"/>
      <c r="LNK17" s="476"/>
      <c r="LNL17" s="476"/>
      <c r="LNM17" s="476"/>
      <c r="LNN17" s="476"/>
      <c r="LNO17" s="476"/>
      <c r="LNP17" s="476"/>
      <c r="LNQ17" s="476"/>
      <c r="LNR17" s="476"/>
      <c r="LNS17" s="477"/>
      <c r="LNT17" s="477"/>
      <c r="LNU17" s="463"/>
      <c r="LNV17" s="475"/>
      <c r="LNW17" s="476"/>
      <c r="LNX17" s="476"/>
      <c r="LNY17" s="476"/>
      <c r="LNZ17" s="476"/>
      <c r="LOA17" s="476"/>
      <c r="LOB17" s="476"/>
      <c r="LOC17" s="476"/>
      <c r="LOD17" s="476"/>
      <c r="LOE17" s="476"/>
      <c r="LOF17" s="476"/>
      <c r="LOG17" s="476"/>
      <c r="LOH17" s="476"/>
      <c r="LOI17" s="477"/>
      <c r="LOJ17" s="477"/>
      <c r="LOK17" s="463"/>
      <c r="LOL17" s="475"/>
      <c r="LOM17" s="476"/>
      <c r="LON17" s="476"/>
      <c r="LOO17" s="476"/>
      <c r="LOP17" s="476"/>
      <c r="LOQ17" s="476"/>
      <c r="LOR17" s="476"/>
      <c r="LOS17" s="476"/>
      <c r="LOT17" s="476"/>
      <c r="LOU17" s="476"/>
      <c r="LOV17" s="476"/>
      <c r="LOW17" s="476"/>
      <c r="LOX17" s="476"/>
      <c r="LOY17" s="477"/>
      <c r="LOZ17" s="477"/>
      <c r="LPA17" s="463"/>
      <c r="LPB17" s="475"/>
      <c r="LPC17" s="476"/>
      <c r="LPD17" s="476"/>
      <c r="LPE17" s="476"/>
      <c r="LPF17" s="476"/>
      <c r="LPG17" s="476"/>
      <c r="LPH17" s="476"/>
      <c r="LPI17" s="476"/>
      <c r="LPJ17" s="476"/>
      <c r="LPK17" s="476"/>
      <c r="LPL17" s="476"/>
      <c r="LPM17" s="476"/>
      <c r="LPN17" s="476"/>
      <c r="LPO17" s="477"/>
      <c r="LPP17" s="477"/>
      <c r="LPQ17" s="463"/>
      <c r="LPR17" s="475"/>
      <c r="LPS17" s="476"/>
      <c r="LPT17" s="476"/>
      <c r="LPU17" s="476"/>
      <c r="LPV17" s="476"/>
      <c r="LPW17" s="476"/>
      <c r="LPX17" s="476"/>
      <c r="LPY17" s="476"/>
      <c r="LPZ17" s="476"/>
      <c r="LQA17" s="476"/>
      <c r="LQB17" s="476"/>
      <c r="LQC17" s="476"/>
      <c r="LQD17" s="476"/>
      <c r="LQE17" s="477"/>
      <c r="LQF17" s="477"/>
      <c r="LQG17" s="463"/>
      <c r="LQH17" s="475"/>
      <c r="LQI17" s="476"/>
      <c r="LQJ17" s="476"/>
      <c r="LQK17" s="476"/>
      <c r="LQL17" s="476"/>
      <c r="LQM17" s="476"/>
      <c r="LQN17" s="476"/>
      <c r="LQO17" s="476"/>
      <c r="LQP17" s="476"/>
      <c r="LQQ17" s="476"/>
      <c r="LQR17" s="476"/>
      <c r="LQS17" s="476"/>
      <c r="LQT17" s="476"/>
      <c r="LQU17" s="477"/>
      <c r="LQV17" s="477"/>
      <c r="LQW17" s="463"/>
      <c r="LQX17" s="475"/>
      <c r="LQY17" s="476"/>
      <c r="LQZ17" s="476"/>
      <c r="LRA17" s="476"/>
      <c r="LRB17" s="476"/>
      <c r="LRC17" s="476"/>
      <c r="LRD17" s="476"/>
      <c r="LRE17" s="476"/>
      <c r="LRF17" s="476"/>
      <c r="LRG17" s="476"/>
      <c r="LRH17" s="476"/>
      <c r="LRI17" s="476"/>
      <c r="LRJ17" s="476"/>
      <c r="LRK17" s="477"/>
      <c r="LRL17" s="477"/>
      <c r="LRM17" s="463"/>
      <c r="LRN17" s="475"/>
      <c r="LRO17" s="476"/>
      <c r="LRP17" s="476"/>
      <c r="LRQ17" s="476"/>
      <c r="LRR17" s="476"/>
      <c r="LRS17" s="476"/>
      <c r="LRT17" s="476"/>
      <c r="LRU17" s="476"/>
      <c r="LRV17" s="476"/>
      <c r="LRW17" s="476"/>
      <c r="LRX17" s="476"/>
      <c r="LRY17" s="476"/>
      <c r="LRZ17" s="476"/>
      <c r="LSA17" s="477"/>
      <c r="LSB17" s="477"/>
      <c r="LSC17" s="463"/>
      <c r="LSD17" s="475"/>
      <c r="LSE17" s="476"/>
      <c r="LSF17" s="476"/>
      <c r="LSG17" s="476"/>
      <c r="LSH17" s="476"/>
      <c r="LSI17" s="476"/>
      <c r="LSJ17" s="476"/>
      <c r="LSK17" s="476"/>
      <c r="LSL17" s="476"/>
      <c r="LSM17" s="476"/>
      <c r="LSN17" s="476"/>
      <c r="LSO17" s="476"/>
      <c r="LSP17" s="476"/>
      <c r="LSQ17" s="477"/>
      <c r="LSR17" s="477"/>
      <c r="LSS17" s="463"/>
      <c r="LST17" s="475"/>
      <c r="LSU17" s="476"/>
      <c r="LSV17" s="476"/>
      <c r="LSW17" s="476"/>
      <c r="LSX17" s="476"/>
      <c r="LSY17" s="476"/>
      <c r="LSZ17" s="476"/>
      <c r="LTA17" s="476"/>
      <c r="LTB17" s="476"/>
      <c r="LTC17" s="476"/>
      <c r="LTD17" s="476"/>
      <c r="LTE17" s="476"/>
      <c r="LTF17" s="476"/>
      <c r="LTG17" s="477"/>
      <c r="LTH17" s="477"/>
      <c r="LTI17" s="463"/>
      <c r="LTJ17" s="475"/>
      <c r="LTK17" s="476"/>
      <c r="LTL17" s="476"/>
      <c r="LTM17" s="476"/>
      <c r="LTN17" s="476"/>
      <c r="LTO17" s="476"/>
      <c r="LTP17" s="476"/>
      <c r="LTQ17" s="476"/>
      <c r="LTR17" s="476"/>
      <c r="LTS17" s="476"/>
      <c r="LTT17" s="476"/>
      <c r="LTU17" s="476"/>
      <c r="LTV17" s="476"/>
      <c r="LTW17" s="477"/>
      <c r="LTX17" s="477"/>
      <c r="LTY17" s="463"/>
      <c r="LTZ17" s="475"/>
      <c r="LUA17" s="476"/>
      <c r="LUB17" s="476"/>
      <c r="LUC17" s="476"/>
      <c r="LUD17" s="476"/>
      <c r="LUE17" s="476"/>
      <c r="LUF17" s="476"/>
      <c r="LUG17" s="476"/>
      <c r="LUH17" s="476"/>
      <c r="LUI17" s="476"/>
      <c r="LUJ17" s="476"/>
      <c r="LUK17" s="476"/>
      <c r="LUL17" s="476"/>
      <c r="LUM17" s="477"/>
      <c r="LUN17" s="477"/>
      <c r="LUO17" s="463"/>
      <c r="LUP17" s="475"/>
      <c r="LUQ17" s="476"/>
      <c r="LUR17" s="476"/>
      <c r="LUS17" s="476"/>
      <c r="LUT17" s="476"/>
      <c r="LUU17" s="476"/>
      <c r="LUV17" s="476"/>
      <c r="LUW17" s="476"/>
      <c r="LUX17" s="476"/>
      <c r="LUY17" s="476"/>
      <c r="LUZ17" s="476"/>
      <c r="LVA17" s="476"/>
      <c r="LVB17" s="476"/>
      <c r="LVC17" s="477"/>
      <c r="LVD17" s="477"/>
      <c r="LVE17" s="463"/>
      <c r="LVF17" s="475"/>
      <c r="LVG17" s="476"/>
      <c r="LVH17" s="476"/>
      <c r="LVI17" s="476"/>
      <c r="LVJ17" s="476"/>
      <c r="LVK17" s="476"/>
      <c r="LVL17" s="476"/>
      <c r="LVM17" s="476"/>
      <c r="LVN17" s="476"/>
      <c r="LVO17" s="476"/>
      <c r="LVP17" s="476"/>
      <c r="LVQ17" s="476"/>
      <c r="LVR17" s="476"/>
      <c r="LVS17" s="477"/>
      <c r="LVT17" s="477"/>
      <c r="LVU17" s="463"/>
      <c r="LVV17" s="475"/>
      <c r="LVW17" s="476"/>
      <c r="LVX17" s="476"/>
      <c r="LVY17" s="476"/>
      <c r="LVZ17" s="476"/>
      <c r="LWA17" s="476"/>
      <c r="LWB17" s="476"/>
      <c r="LWC17" s="476"/>
      <c r="LWD17" s="476"/>
      <c r="LWE17" s="476"/>
      <c r="LWF17" s="476"/>
      <c r="LWG17" s="476"/>
      <c r="LWH17" s="476"/>
      <c r="LWI17" s="477"/>
      <c r="LWJ17" s="477"/>
      <c r="LWK17" s="463"/>
      <c r="LWL17" s="475"/>
      <c r="LWM17" s="476"/>
      <c r="LWN17" s="476"/>
      <c r="LWO17" s="476"/>
      <c r="LWP17" s="476"/>
      <c r="LWQ17" s="476"/>
      <c r="LWR17" s="476"/>
      <c r="LWS17" s="476"/>
      <c r="LWT17" s="476"/>
      <c r="LWU17" s="476"/>
      <c r="LWV17" s="476"/>
      <c r="LWW17" s="476"/>
      <c r="LWX17" s="476"/>
      <c r="LWY17" s="477"/>
      <c r="LWZ17" s="477"/>
      <c r="LXA17" s="463"/>
      <c r="LXB17" s="475"/>
      <c r="LXC17" s="476"/>
      <c r="LXD17" s="476"/>
      <c r="LXE17" s="476"/>
      <c r="LXF17" s="476"/>
      <c r="LXG17" s="476"/>
      <c r="LXH17" s="476"/>
      <c r="LXI17" s="476"/>
      <c r="LXJ17" s="476"/>
      <c r="LXK17" s="476"/>
      <c r="LXL17" s="476"/>
      <c r="LXM17" s="476"/>
      <c r="LXN17" s="476"/>
      <c r="LXO17" s="477"/>
      <c r="LXP17" s="477"/>
      <c r="LXQ17" s="463"/>
      <c r="LXR17" s="475"/>
      <c r="LXS17" s="476"/>
      <c r="LXT17" s="476"/>
      <c r="LXU17" s="476"/>
      <c r="LXV17" s="476"/>
      <c r="LXW17" s="476"/>
      <c r="LXX17" s="476"/>
      <c r="LXY17" s="476"/>
      <c r="LXZ17" s="476"/>
      <c r="LYA17" s="476"/>
      <c r="LYB17" s="476"/>
      <c r="LYC17" s="476"/>
      <c r="LYD17" s="476"/>
      <c r="LYE17" s="477"/>
      <c r="LYF17" s="477"/>
      <c r="LYG17" s="463"/>
      <c r="LYH17" s="475"/>
      <c r="LYI17" s="476"/>
      <c r="LYJ17" s="476"/>
      <c r="LYK17" s="476"/>
      <c r="LYL17" s="476"/>
      <c r="LYM17" s="476"/>
      <c r="LYN17" s="476"/>
      <c r="LYO17" s="476"/>
      <c r="LYP17" s="476"/>
      <c r="LYQ17" s="476"/>
      <c r="LYR17" s="476"/>
      <c r="LYS17" s="476"/>
      <c r="LYT17" s="476"/>
      <c r="LYU17" s="477"/>
      <c r="LYV17" s="477"/>
      <c r="LYW17" s="463"/>
      <c r="LYX17" s="475"/>
      <c r="LYY17" s="476"/>
      <c r="LYZ17" s="476"/>
      <c r="LZA17" s="476"/>
      <c r="LZB17" s="476"/>
      <c r="LZC17" s="476"/>
      <c r="LZD17" s="476"/>
      <c r="LZE17" s="476"/>
      <c r="LZF17" s="476"/>
      <c r="LZG17" s="476"/>
      <c r="LZH17" s="476"/>
      <c r="LZI17" s="476"/>
      <c r="LZJ17" s="476"/>
      <c r="LZK17" s="477"/>
      <c r="LZL17" s="477"/>
      <c r="LZM17" s="463"/>
      <c r="LZN17" s="475"/>
      <c r="LZO17" s="476"/>
      <c r="LZP17" s="476"/>
      <c r="LZQ17" s="476"/>
      <c r="LZR17" s="476"/>
      <c r="LZS17" s="476"/>
      <c r="LZT17" s="476"/>
      <c r="LZU17" s="476"/>
      <c r="LZV17" s="476"/>
      <c r="LZW17" s="476"/>
      <c r="LZX17" s="476"/>
      <c r="LZY17" s="476"/>
      <c r="LZZ17" s="476"/>
      <c r="MAA17" s="477"/>
      <c r="MAB17" s="477"/>
      <c r="MAC17" s="463"/>
      <c r="MAD17" s="475"/>
      <c r="MAE17" s="476"/>
      <c r="MAF17" s="476"/>
      <c r="MAG17" s="476"/>
      <c r="MAH17" s="476"/>
      <c r="MAI17" s="476"/>
      <c r="MAJ17" s="476"/>
      <c r="MAK17" s="476"/>
      <c r="MAL17" s="476"/>
      <c r="MAM17" s="476"/>
      <c r="MAN17" s="476"/>
      <c r="MAO17" s="476"/>
      <c r="MAP17" s="476"/>
      <c r="MAQ17" s="477"/>
      <c r="MAR17" s="477"/>
      <c r="MAS17" s="463"/>
      <c r="MAT17" s="475"/>
      <c r="MAU17" s="476"/>
      <c r="MAV17" s="476"/>
      <c r="MAW17" s="476"/>
      <c r="MAX17" s="476"/>
      <c r="MAY17" s="476"/>
      <c r="MAZ17" s="476"/>
      <c r="MBA17" s="476"/>
      <c r="MBB17" s="476"/>
      <c r="MBC17" s="476"/>
      <c r="MBD17" s="476"/>
      <c r="MBE17" s="476"/>
      <c r="MBF17" s="476"/>
      <c r="MBG17" s="477"/>
      <c r="MBH17" s="477"/>
      <c r="MBI17" s="463"/>
      <c r="MBJ17" s="475"/>
      <c r="MBK17" s="476"/>
      <c r="MBL17" s="476"/>
      <c r="MBM17" s="476"/>
      <c r="MBN17" s="476"/>
      <c r="MBO17" s="476"/>
      <c r="MBP17" s="476"/>
      <c r="MBQ17" s="476"/>
      <c r="MBR17" s="476"/>
      <c r="MBS17" s="476"/>
      <c r="MBT17" s="476"/>
      <c r="MBU17" s="476"/>
      <c r="MBV17" s="476"/>
      <c r="MBW17" s="477"/>
      <c r="MBX17" s="477"/>
      <c r="MBY17" s="463"/>
      <c r="MBZ17" s="475"/>
      <c r="MCA17" s="476"/>
      <c r="MCB17" s="476"/>
      <c r="MCC17" s="476"/>
      <c r="MCD17" s="476"/>
      <c r="MCE17" s="476"/>
      <c r="MCF17" s="476"/>
      <c r="MCG17" s="476"/>
      <c r="MCH17" s="476"/>
      <c r="MCI17" s="476"/>
      <c r="MCJ17" s="476"/>
      <c r="MCK17" s="476"/>
      <c r="MCL17" s="476"/>
      <c r="MCM17" s="477"/>
      <c r="MCN17" s="477"/>
      <c r="MCO17" s="463"/>
      <c r="MCP17" s="475"/>
      <c r="MCQ17" s="476"/>
      <c r="MCR17" s="476"/>
      <c r="MCS17" s="476"/>
      <c r="MCT17" s="476"/>
      <c r="MCU17" s="476"/>
      <c r="MCV17" s="476"/>
      <c r="MCW17" s="476"/>
      <c r="MCX17" s="476"/>
      <c r="MCY17" s="476"/>
      <c r="MCZ17" s="476"/>
      <c r="MDA17" s="476"/>
      <c r="MDB17" s="476"/>
      <c r="MDC17" s="477"/>
      <c r="MDD17" s="477"/>
      <c r="MDE17" s="463"/>
      <c r="MDF17" s="475"/>
      <c r="MDG17" s="476"/>
      <c r="MDH17" s="476"/>
      <c r="MDI17" s="476"/>
      <c r="MDJ17" s="476"/>
      <c r="MDK17" s="476"/>
      <c r="MDL17" s="476"/>
      <c r="MDM17" s="476"/>
      <c r="MDN17" s="476"/>
      <c r="MDO17" s="476"/>
      <c r="MDP17" s="476"/>
      <c r="MDQ17" s="476"/>
      <c r="MDR17" s="476"/>
      <c r="MDS17" s="477"/>
      <c r="MDT17" s="477"/>
      <c r="MDU17" s="463"/>
      <c r="MDV17" s="475"/>
      <c r="MDW17" s="476"/>
      <c r="MDX17" s="476"/>
      <c r="MDY17" s="476"/>
      <c r="MDZ17" s="476"/>
      <c r="MEA17" s="476"/>
      <c r="MEB17" s="476"/>
      <c r="MEC17" s="476"/>
      <c r="MED17" s="476"/>
      <c r="MEE17" s="476"/>
      <c r="MEF17" s="476"/>
      <c r="MEG17" s="476"/>
      <c r="MEH17" s="476"/>
      <c r="MEI17" s="477"/>
      <c r="MEJ17" s="477"/>
      <c r="MEK17" s="463"/>
      <c r="MEL17" s="475"/>
      <c r="MEM17" s="476"/>
      <c r="MEN17" s="476"/>
      <c r="MEO17" s="476"/>
      <c r="MEP17" s="476"/>
      <c r="MEQ17" s="476"/>
      <c r="MER17" s="476"/>
      <c r="MES17" s="476"/>
      <c r="MET17" s="476"/>
      <c r="MEU17" s="476"/>
      <c r="MEV17" s="476"/>
      <c r="MEW17" s="476"/>
      <c r="MEX17" s="476"/>
      <c r="MEY17" s="477"/>
      <c r="MEZ17" s="477"/>
      <c r="MFA17" s="463"/>
      <c r="MFB17" s="475"/>
      <c r="MFC17" s="476"/>
      <c r="MFD17" s="476"/>
      <c r="MFE17" s="476"/>
      <c r="MFF17" s="476"/>
      <c r="MFG17" s="476"/>
      <c r="MFH17" s="476"/>
      <c r="MFI17" s="476"/>
      <c r="MFJ17" s="476"/>
      <c r="MFK17" s="476"/>
      <c r="MFL17" s="476"/>
      <c r="MFM17" s="476"/>
      <c r="MFN17" s="476"/>
      <c r="MFO17" s="477"/>
      <c r="MFP17" s="477"/>
      <c r="MFQ17" s="463"/>
      <c r="MFR17" s="475"/>
      <c r="MFS17" s="476"/>
      <c r="MFT17" s="476"/>
      <c r="MFU17" s="476"/>
      <c r="MFV17" s="476"/>
      <c r="MFW17" s="476"/>
      <c r="MFX17" s="476"/>
      <c r="MFY17" s="476"/>
      <c r="MFZ17" s="476"/>
      <c r="MGA17" s="476"/>
      <c r="MGB17" s="476"/>
      <c r="MGC17" s="476"/>
      <c r="MGD17" s="476"/>
      <c r="MGE17" s="477"/>
      <c r="MGF17" s="477"/>
      <c r="MGG17" s="463"/>
      <c r="MGH17" s="475"/>
      <c r="MGI17" s="476"/>
      <c r="MGJ17" s="476"/>
      <c r="MGK17" s="476"/>
      <c r="MGL17" s="476"/>
      <c r="MGM17" s="476"/>
      <c r="MGN17" s="476"/>
      <c r="MGO17" s="476"/>
      <c r="MGP17" s="476"/>
      <c r="MGQ17" s="476"/>
      <c r="MGR17" s="476"/>
      <c r="MGS17" s="476"/>
      <c r="MGT17" s="476"/>
      <c r="MGU17" s="477"/>
      <c r="MGV17" s="477"/>
      <c r="MGW17" s="463"/>
      <c r="MGX17" s="475"/>
      <c r="MGY17" s="476"/>
      <c r="MGZ17" s="476"/>
      <c r="MHA17" s="476"/>
      <c r="MHB17" s="476"/>
      <c r="MHC17" s="476"/>
      <c r="MHD17" s="476"/>
      <c r="MHE17" s="476"/>
      <c r="MHF17" s="476"/>
      <c r="MHG17" s="476"/>
      <c r="MHH17" s="476"/>
      <c r="MHI17" s="476"/>
      <c r="MHJ17" s="476"/>
      <c r="MHK17" s="477"/>
      <c r="MHL17" s="477"/>
      <c r="MHM17" s="463"/>
      <c r="MHN17" s="475"/>
      <c r="MHO17" s="476"/>
      <c r="MHP17" s="476"/>
      <c r="MHQ17" s="476"/>
      <c r="MHR17" s="476"/>
      <c r="MHS17" s="476"/>
      <c r="MHT17" s="476"/>
      <c r="MHU17" s="476"/>
      <c r="MHV17" s="476"/>
      <c r="MHW17" s="476"/>
      <c r="MHX17" s="476"/>
      <c r="MHY17" s="476"/>
      <c r="MHZ17" s="476"/>
      <c r="MIA17" s="477"/>
      <c r="MIB17" s="477"/>
      <c r="MIC17" s="463"/>
      <c r="MID17" s="475"/>
      <c r="MIE17" s="476"/>
      <c r="MIF17" s="476"/>
      <c r="MIG17" s="476"/>
      <c r="MIH17" s="476"/>
      <c r="MII17" s="476"/>
      <c r="MIJ17" s="476"/>
      <c r="MIK17" s="476"/>
      <c r="MIL17" s="476"/>
      <c r="MIM17" s="476"/>
      <c r="MIN17" s="476"/>
      <c r="MIO17" s="476"/>
      <c r="MIP17" s="476"/>
      <c r="MIQ17" s="477"/>
      <c r="MIR17" s="477"/>
      <c r="MIS17" s="463"/>
      <c r="MIT17" s="475"/>
      <c r="MIU17" s="476"/>
      <c r="MIV17" s="476"/>
      <c r="MIW17" s="476"/>
      <c r="MIX17" s="476"/>
      <c r="MIY17" s="476"/>
      <c r="MIZ17" s="476"/>
      <c r="MJA17" s="476"/>
      <c r="MJB17" s="476"/>
      <c r="MJC17" s="476"/>
      <c r="MJD17" s="476"/>
      <c r="MJE17" s="476"/>
      <c r="MJF17" s="476"/>
      <c r="MJG17" s="477"/>
      <c r="MJH17" s="477"/>
      <c r="MJI17" s="463"/>
      <c r="MJJ17" s="475"/>
      <c r="MJK17" s="476"/>
      <c r="MJL17" s="476"/>
      <c r="MJM17" s="476"/>
      <c r="MJN17" s="476"/>
      <c r="MJO17" s="476"/>
      <c r="MJP17" s="476"/>
      <c r="MJQ17" s="476"/>
      <c r="MJR17" s="476"/>
      <c r="MJS17" s="476"/>
      <c r="MJT17" s="476"/>
      <c r="MJU17" s="476"/>
      <c r="MJV17" s="476"/>
      <c r="MJW17" s="477"/>
      <c r="MJX17" s="477"/>
      <c r="MJY17" s="463"/>
      <c r="MJZ17" s="475"/>
      <c r="MKA17" s="476"/>
      <c r="MKB17" s="476"/>
      <c r="MKC17" s="476"/>
      <c r="MKD17" s="476"/>
      <c r="MKE17" s="476"/>
      <c r="MKF17" s="476"/>
      <c r="MKG17" s="476"/>
      <c r="MKH17" s="476"/>
      <c r="MKI17" s="476"/>
      <c r="MKJ17" s="476"/>
      <c r="MKK17" s="476"/>
      <c r="MKL17" s="476"/>
      <c r="MKM17" s="477"/>
      <c r="MKN17" s="477"/>
      <c r="MKO17" s="463"/>
      <c r="MKP17" s="475"/>
      <c r="MKQ17" s="476"/>
      <c r="MKR17" s="476"/>
      <c r="MKS17" s="476"/>
      <c r="MKT17" s="476"/>
      <c r="MKU17" s="476"/>
      <c r="MKV17" s="476"/>
      <c r="MKW17" s="476"/>
      <c r="MKX17" s="476"/>
      <c r="MKY17" s="476"/>
      <c r="MKZ17" s="476"/>
      <c r="MLA17" s="476"/>
      <c r="MLB17" s="476"/>
      <c r="MLC17" s="477"/>
      <c r="MLD17" s="477"/>
      <c r="MLE17" s="463"/>
      <c r="MLF17" s="475"/>
      <c r="MLG17" s="476"/>
      <c r="MLH17" s="476"/>
      <c r="MLI17" s="476"/>
      <c r="MLJ17" s="476"/>
      <c r="MLK17" s="476"/>
      <c r="MLL17" s="476"/>
      <c r="MLM17" s="476"/>
      <c r="MLN17" s="476"/>
      <c r="MLO17" s="476"/>
      <c r="MLP17" s="476"/>
      <c r="MLQ17" s="476"/>
      <c r="MLR17" s="476"/>
      <c r="MLS17" s="477"/>
      <c r="MLT17" s="477"/>
      <c r="MLU17" s="463"/>
      <c r="MLV17" s="475"/>
      <c r="MLW17" s="476"/>
      <c r="MLX17" s="476"/>
      <c r="MLY17" s="476"/>
      <c r="MLZ17" s="476"/>
      <c r="MMA17" s="476"/>
      <c r="MMB17" s="476"/>
      <c r="MMC17" s="476"/>
      <c r="MMD17" s="476"/>
      <c r="MME17" s="476"/>
      <c r="MMF17" s="476"/>
      <c r="MMG17" s="476"/>
      <c r="MMH17" s="476"/>
      <c r="MMI17" s="477"/>
      <c r="MMJ17" s="477"/>
      <c r="MMK17" s="463"/>
      <c r="MML17" s="475"/>
      <c r="MMM17" s="476"/>
      <c r="MMN17" s="476"/>
      <c r="MMO17" s="476"/>
      <c r="MMP17" s="476"/>
      <c r="MMQ17" s="476"/>
      <c r="MMR17" s="476"/>
      <c r="MMS17" s="476"/>
      <c r="MMT17" s="476"/>
      <c r="MMU17" s="476"/>
      <c r="MMV17" s="476"/>
      <c r="MMW17" s="476"/>
      <c r="MMX17" s="476"/>
      <c r="MMY17" s="477"/>
      <c r="MMZ17" s="477"/>
      <c r="MNA17" s="463"/>
      <c r="MNB17" s="475"/>
      <c r="MNC17" s="476"/>
      <c r="MND17" s="476"/>
      <c r="MNE17" s="476"/>
      <c r="MNF17" s="476"/>
      <c r="MNG17" s="476"/>
      <c r="MNH17" s="476"/>
      <c r="MNI17" s="476"/>
      <c r="MNJ17" s="476"/>
      <c r="MNK17" s="476"/>
      <c r="MNL17" s="476"/>
      <c r="MNM17" s="476"/>
      <c r="MNN17" s="476"/>
      <c r="MNO17" s="477"/>
      <c r="MNP17" s="477"/>
      <c r="MNQ17" s="463"/>
      <c r="MNR17" s="475"/>
      <c r="MNS17" s="476"/>
      <c r="MNT17" s="476"/>
      <c r="MNU17" s="476"/>
      <c r="MNV17" s="476"/>
      <c r="MNW17" s="476"/>
      <c r="MNX17" s="476"/>
      <c r="MNY17" s="476"/>
      <c r="MNZ17" s="476"/>
      <c r="MOA17" s="476"/>
      <c r="MOB17" s="476"/>
      <c r="MOC17" s="476"/>
      <c r="MOD17" s="476"/>
      <c r="MOE17" s="477"/>
      <c r="MOF17" s="477"/>
      <c r="MOG17" s="463"/>
      <c r="MOH17" s="475"/>
      <c r="MOI17" s="476"/>
      <c r="MOJ17" s="476"/>
      <c r="MOK17" s="476"/>
      <c r="MOL17" s="476"/>
      <c r="MOM17" s="476"/>
      <c r="MON17" s="476"/>
      <c r="MOO17" s="476"/>
      <c r="MOP17" s="476"/>
      <c r="MOQ17" s="476"/>
      <c r="MOR17" s="476"/>
      <c r="MOS17" s="476"/>
      <c r="MOT17" s="476"/>
      <c r="MOU17" s="477"/>
      <c r="MOV17" s="477"/>
      <c r="MOW17" s="463"/>
      <c r="MOX17" s="475"/>
      <c r="MOY17" s="476"/>
      <c r="MOZ17" s="476"/>
      <c r="MPA17" s="476"/>
      <c r="MPB17" s="476"/>
      <c r="MPC17" s="476"/>
      <c r="MPD17" s="476"/>
      <c r="MPE17" s="476"/>
      <c r="MPF17" s="476"/>
      <c r="MPG17" s="476"/>
      <c r="MPH17" s="476"/>
      <c r="MPI17" s="476"/>
      <c r="MPJ17" s="476"/>
      <c r="MPK17" s="477"/>
      <c r="MPL17" s="477"/>
      <c r="MPM17" s="463"/>
      <c r="MPN17" s="475"/>
      <c r="MPO17" s="476"/>
      <c r="MPP17" s="476"/>
      <c r="MPQ17" s="476"/>
      <c r="MPR17" s="476"/>
      <c r="MPS17" s="476"/>
      <c r="MPT17" s="476"/>
      <c r="MPU17" s="476"/>
      <c r="MPV17" s="476"/>
      <c r="MPW17" s="476"/>
      <c r="MPX17" s="476"/>
      <c r="MPY17" s="476"/>
      <c r="MPZ17" s="476"/>
      <c r="MQA17" s="477"/>
      <c r="MQB17" s="477"/>
      <c r="MQC17" s="463"/>
      <c r="MQD17" s="475"/>
      <c r="MQE17" s="476"/>
      <c r="MQF17" s="476"/>
      <c r="MQG17" s="476"/>
      <c r="MQH17" s="476"/>
      <c r="MQI17" s="476"/>
      <c r="MQJ17" s="476"/>
      <c r="MQK17" s="476"/>
      <c r="MQL17" s="476"/>
      <c r="MQM17" s="476"/>
      <c r="MQN17" s="476"/>
      <c r="MQO17" s="476"/>
      <c r="MQP17" s="476"/>
      <c r="MQQ17" s="477"/>
      <c r="MQR17" s="477"/>
      <c r="MQS17" s="463"/>
      <c r="MQT17" s="475"/>
      <c r="MQU17" s="476"/>
      <c r="MQV17" s="476"/>
      <c r="MQW17" s="476"/>
      <c r="MQX17" s="476"/>
      <c r="MQY17" s="476"/>
      <c r="MQZ17" s="476"/>
      <c r="MRA17" s="476"/>
      <c r="MRB17" s="476"/>
      <c r="MRC17" s="476"/>
      <c r="MRD17" s="476"/>
      <c r="MRE17" s="476"/>
      <c r="MRF17" s="476"/>
      <c r="MRG17" s="477"/>
      <c r="MRH17" s="477"/>
      <c r="MRI17" s="463"/>
      <c r="MRJ17" s="475"/>
      <c r="MRK17" s="476"/>
      <c r="MRL17" s="476"/>
      <c r="MRM17" s="476"/>
      <c r="MRN17" s="476"/>
      <c r="MRO17" s="476"/>
      <c r="MRP17" s="476"/>
      <c r="MRQ17" s="476"/>
      <c r="MRR17" s="476"/>
      <c r="MRS17" s="476"/>
      <c r="MRT17" s="476"/>
      <c r="MRU17" s="476"/>
      <c r="MRV17" s="476"/>
      <c r="MRW17" s="477"/>
      <c r="MRX17" s="477"/>
      <c r="MRY17" s="463"/>
      <c r="MRZ17" s="475"/>
      <c r="MSA17" s="476"/>
      <c r="MSB17" s="476"/>
      <c r="MSC17" s="476"/>
      <c r="MSD17" s="476"/>
      <c r="MSE17" s="476"/>
      <c r="MSF17" s="476"/>
      <c r="MSG17" s="476"/>
      <c r="MSH17" s="476"/>
      <c r="MSI17" s="476"/>
      <c r="MSJ17" s="476"/>
      <c r="MSK17" s="476"/>
      <c r="MSL17" s="476"/>
      <c r="MSM17" s="477"/>
      <c r="MSN17" s="477"/>
      <c r="MSO17" s="463"/>
      <c r="MSP17" s="475"/>
      <c r="MSQ17" s="476"/>
      <c r="MSR17" s="476"/>
      <c r="MSS17" s="476"/>
      <c r="MST17" s="476"/>
      <c r="MSU17" s="476"/>
      <c r="MSV17" s="476"/>
      <c r="MSW17" s="476"/>
      <c r="MSX17" s="476"/>
      <c r="MSY17" s="476"/>
      <c r="MSZ17" s="476"/>
      <c r="MTA17" s="476"/>
      <c r="MTB17" s="476"/>
      <c r="MTC17" s="477"/>
      <c r="MTD17" s="477"/>
      <c r="MTE17" s="463"/>
      <c r="MTF17" s="475"/>
      <c r="MTG17" s="476"/>
      <c r="MTH17" s="476"/>
      <c r="MTI17" s="476"/>
      <c r="MTJ17" s="476"/>
      <c r="MTK17" s="476"/>
      <c r="MTL17" s="476"/>
      <c r="MTM17" s="476"/>
      <c r="MTN17" s="476"/>
      <c r="MTO17" s="476"/>
      <c r="MTP17" s="476"/>
      <c r="MTQ17" s="476"/>
      <c r="MTR17" s="476"/>
      <c r="MTS17" s="477"/>
      <c r="MTT17" s="477"/>
      <c r="MTU17" s="463"/>
      <c r="MTV17" s="475"/>
      <c r="MTW17" s="476"/>
      <c r="MTX17" s="476"/>
      <c r="MTY17" s="476"/>
      <c r="MTZ17" s="476"/>
      <c r="MUA17" s="476"/>
      <c r="MUB17" s="476"/>
      <c r="MUC17" s="476"/>
      <c r="MUD17" s="476"/>
      <c r="MUE17" s="476"/>
      <c r="MUF17" s="476"/>
      <c r="MUG17" s="476"/>
      <c r="MUH17" s="476"/>
      <c r="MUI17" s="477"/>
      <c r="MUJ17" s="477"/>
      <c r="MUK17" s="463"/>
      <c r="MUL17" s="475"/>
      <c r="MUM17" s="476"/>
      <c r="MUN17" s="476"/>
      <c r="MUO17" s="476"/>
      <c r="MUP17" s="476"/>
      <c r="MUQ17" s="476"/>
      <c r="MUR17" s="476"/>
      <c r="MUS17" s="476"/>
      <c r="MUT17" s="476"/>
      <c r="MUU17" s="476"/>
      <c r="MUV17" s="476"/>
      <c r="MUW17" s="476"/>
      <c r="MUX17" s="476"/>
      <c r="MUY17" s="477"/>
      <c r="MUZ17" s="477"/>
      <c r="MVA17" s="463"/>
      <c r="MVB17" s="475"/>
      <c r="MVC17" s="476"/>
      <c r="MVD17" s="476"/>
      <c r="MVE17" s="476"/>
      <c r="MVF17" s="476"/>
      <c r="MVG17" s="476"/>
      <c r="MVH17" s="476"/>
      <c r="MVI17" s="476"/>
      <c r="MVJ17" s="476"/>
      <c r="MVK17" s="476"/>
      <c r="MVL17" s="476"/>
      <c r="MVM17" s="476"/>
      <c r="MVN17" s="476"/>
      <c r="MVO17" s="477"/>
      <c r="MVP17" s="477"/>
      <c r="MVQ17" s="463"/>
      <c r="MVR17" s="475"/>
      <c r="MVS17" s="476"/>
      <c r="MVT17" s="476"/>
      <c r="MVU17" s="476"/>
      <c r="MVV17" s="476"/>
      <c r="MVW17" s="476"/>
      <c r="MVX17" s="476"/>
      <c r="MVY17" s="476"/>
      <c r="MVZ17" s="476"/>
      <c r="MWA17" s="476"/>
      <c r="MWB17" s="476"/>
      <c r="MWC17" s="476"/>
      <c r="MWD17" s="476"/>
      <c r="MWE17" s="477"/>
      <c r="MWF17" s="477"/>
      <c r="MWG17" s="463"/>
      <c r="MWH17" s="475"/>
      <c r="MWI17" s="476"/>
      <c r="MWJ17" s="476"/>
      <c r="MWK17" s="476"/>
      <c r="MWL17" s="476"/>
      <c r="MWM17" s="476"/>
      <c r="MWN17" s="476"/>
      <c r="MWO17" s="476"/>
      <c r="MWP17" s="476"/>
      <c r="MWQ17" s="476"/>
      <c r="MWR17" s="476"/>
      <c r="MWS17" s="476"/>
      <c r="MWT17" s="476"/>
      <c r="MWU17" s="477"/>
      <c r="MWV17" s="477"/>
      <c r="MWW17" s="463"/>
      <c r="MWX17" s="475"/>
      <c r="MWY17" s="476"/>
      <c r="MWZ17" s="476"/>
      <c r="MXA17" s="476"/>
      <c r="MXB17" s="476"/>
      <c r="MXC17" s="476"/>
      <c r="MXD17" s="476"/>
      <c r="MXE17" s="476"/>
      <c r="MXF17" s="476"/>
      <c r="MXG17" s="476"/>
      <c r="MXH17" s="476"/>
      <c r="MXI17" s="476"/>
      <c r="MXJ17" s="476"/>
      <c r="MXK17" s="477"/>
      <c r="MXL17" s="477"/>
      <c r="MXM17" s="463"/>
      <c r="MXN17" s="475"/>
      <c r="MXO17" s="476"/>
      <c r="MXP17" s="476"/>
      <c r="MXQ17" s="476"/>
      <c r="MXR17" s="476"/>
      <c r="MXS17" s="476"/>
      <c r="MXT17" s="476"/>
      <c r="MXU17" s="476"/>
      <c r="MXV17" s="476"/>
      <c r="MXW17" s="476"/>
      <c r="MXX17" s="476"/>
      <c r="MXY17" s="476"/>
      <c r="MXZ17" s="476"/>
      <c r="MYA17" s="477"/>
      <c r="MYB17" s="477"/>
      <c r="MYC17" s="463"/>
      <c r="MYD17" s="475"/>
      <c r="MYE17" s="476"/>
      <c r="MYF17" s="476"/>
      <c r="MYG17" s="476"/>
      <c r="MYH17" s="476"/>
      <c r="MYI17" s="476"/>
      <c r="MYJ17" s="476"/>
      <c r="MYK17" s="476"/>
      <c r="MYL17" s="476"/>
      <c r="MYM17" s="476"/>
      <c r="MYN17" s="476"/>
      <c r="MYO17" s="476"/>
      <c r="MYP17" s="476"/>
      <c r="MYQ17" s="477"/>
      <c r="MYR17" s="477"/>
      <c r="MYS17" s="463"/>
      <c r="MYT17" s="475"/>
      <c r="MYU17" s="476"/>
      <c r="MYV17" s="476"/>
      <c r="MYW17" s="476"/>
      <c r="MYX17" s="476"/>
      <c r="MYY17" s="476"/>
      <c r="MYZ17" s="476"/>
      <c r="MZA17" s="476"/>
      <c r="MZB17" s="476"/>
      <c r="MZC17" s="476"/>
      <c r="MZD17" s="476"/>
      <c r="MZE17" s="476"/>
      <c r="MZF17" s="476"/>
      <c r="MZG17" s="477"/>
      <c r="MZH17" s="477"/>
      <c r="MZI17" s="463"/>
      <c r="MZJ17" s="475"/>
      <c r="MZK17" s="476"/>
      <c r="MZL17" s="476"/>
      <c r="MZM17" s="476"/>
      <c r="MZN17" s="476"/>
      <c r="MZO17" s="476"/>
      <c r="MZP17" s="476"/>
      <c r="MZQ17" s="476"/>
      <c r="MZR17" s="476"/>
      <c r="MZS17" s="476"/>
      <c r="MZT17" s="476"/>
      <c r="MZU17" s="476"/>
      <c r="MZV17" s="476"/>
      <c r="MZW17" s="477"/>
      <c r="MZX17" s="477"/>
      <c r="MZY17" s="463"/>
      <c r="MZZ17" s="475"/>
      <c r="NAA17" s="476"/>
      <c r="NAB17" s="476"/>
      <c r="NAC17" s="476"/>
      <c r="NAD17" s="476"/>
      <c r="NAE17" s="476"/>
      <c r="NAF17" s="476"/>
      <c r="NAG17" s="476"/>
      <c r="NAH17" s="476"/>
      <c r="NAI17" s="476"/>
      <c r="NAJ17" s="476"/>
      <c r="NAK17" s="476"/>
      <c r="NAL17" s="476"/>
      <c r="NAM17" s="477"/>
      <c r="NAN17" s="477"/>
      <c r="NAO17" s="463"/>
      <c r="NAP17" s="475"/>
      <c r="NAQ17" s="476"/>
      <c r="NAR17" s="476"/>
      <c r="NAS17" s="476"/>
      <c r="NAT17" s="476"/>
      <c r="NAU17" s="476"/>
      <c r="NAV17" s="476"/>
      <c r="NAW17" s="476"/>
      <c r="NAX17" s="476"/>
      <c r="NAY17" s="476"/>
      <c r="NAZ17" s="476"/>
      <c r="NBA17" s="476"/>
      <c r="NBB17" s="476"/>
      <c r="NBC17" s="477"/>
      <c r="NBD17" s="477"/>
      <c r="NBE17" s="463"/>
      <c r="NBF17" s="475"/>
      <c r="NBG17" s="476"/>
      <c r="NBH17" s="476"/>
      <c r="NBI17" s="476"/>
      <c r="NBJ17" s="476"/>
      <c r="NBK17" s="476"/>
      <c r="NBL17" s="476"/>
      <c r="NBM17" s="476"/>
      <c r="NBN17" s="476"/>
      <c r="NBO17" s="476"/>
      <c r="NBP17" s="476"/>
      <c r="NBQ17" s="476"/>
      <c r="NBR17" s="476"/>
      <c r="NBS17" s="477"/>
      <c r="NBT17" s="477"/>
      <c r="NBU17" s="463"/>
      <c r="NBV17" s="475"/>
      <c r="NBW17" s="476"/>
      <c r="NBX17" s="476"/>
      <c r="NBY17" s="476"/>
      <c r="NBZ17" s="476"/>
      <c r="NCA17" s="476"/>
      <c r="NCB17" s="476"/>
      <c r="NCC17" s="476"/>
      <c r="NCD17" s="476"/>
      <c r="NCE17" s="476"/>
      <c r="NCF17" s="476"/>
      <c r="NCG17" s="476"/>
      <c r="NCH17" s="476"/>
      <c r="NCI17" s="477"/>
      <c r="NCJ17" s="477"/>
      <c r="NCK17" s="463"/>
      <c r="NCL17" s="475"/>
      <c r="NCM17" s="476"/>
      <c r="NCN17" s="476"/>
      <c r="NCO17" s="476"/>
      <c r="NCP17" s="476"/>
      <c r="NCQ17" s="476"/>
      <c r="NCR17" s="476"/>
      <c r="NCS17" s="476"/>
      <c r="NCT17" s="476"/>
      <c r="NCU17" s="476"/>
      <c r="NCV17" s="476"/>
      <c r="NCW17" s="476"/>
      <c r="NCX17" s="476"/>
      <c r="NCY17" s="477"/>
      <c r="NCZ17" s="477"/>
      <c r="NDA17" s="463"/>
      <c r="NDB17" s="475"/>
      <c r="NDC17" s="476"/>
      <c r="NDD17" s="476"/>
      <c r="NDE17" s="476"/>
      <c r="NDF17" s="476"/>
      <c r="NDG17" s="476"/>
      <c r="NDH17" s="476"/>
      <c r="NDI17" s="476"/>
      <c r="NDJ17" s="476"/>
      <c r="NDK17" s="476"/>
      <c r="NDL17" s="476"/>
      <c r="NDM17" s="476"/>
      <c r="NDN17" s="476"/>
      <c r="NDO17" s="477"/>
      <c r="NDP17" s="477"/>
      <c r="NDQ17" s="463"/>
      <c r="NDR17" s="475"/>
      <c r="NDS17" s="476"/>
      <c r="NDT17" s="476"/>
      <c r="NDU17" s="476"/>
      <c r="NDV17" s="476"/>
      <c r="NDW17" s="476"/>
      <c r="NDX17" s="476"/>
      <c r="NDY17" s="476"/>
      <c r="NDZ17" s="476"/>
      <c r="NEA17" s="476"/>
      <c r="NEB17" s="476"/>
      <c r="NEC17" s="476"/>
      <c r="NED17" s="476"/>
      <c r="NEE17" s="477"/>
      <c r="NEF17" s="477"/>
      <c r="NEG17" s="463"/>
      <c r="NEH17" s="475"/>
      <c r="NEI17" s="476"/>
      <c r="NEJ17" s="476"/>
      <c r="NEK17" s="476"/>
      <c r="NEL17" s="476"/>
      <c r="NEM17" s="476"/>
      <c r="NEN17" s="476"/>
      <c r="NEO17" s="476"/>
      <c r="NEP17" s="476"/>
      <c r="NEQ17" s="476"/>
      <c r="NER17" s="476"/>
      <c r="NES17" s="476"/>
      <c r="NET17" s="476"/>
      <c r="NEU17" s="477"/>
      <c r="NEV17" s="477"/>
      <c r="NEW17" s="463"/>
      <c r="NEX17" s="475"/>
      <c r="NEY17" s="476"/>
      <c r="NEZ17" s="476"/>
      <c r="NFA17" s="476"/>
      <c r="NFB17" s="476"/>
      <c r="NFC17" s="476"/>
      <c r="NFD17" s="476"/>
      <c r="NFE17" s="476"/>
      <c r="NFF17" s="476"/>
      <c r="NFG17" s="476"/>
      <c r="NFH17" s="476"/>
      <c r="NFI17" s="476"/>
      <c r="NFJ17" s="476"/>
      <c r="NFK17" s="477"/>
      <c r="NFL17" s="477"/>
      <c r="NFM17" s="463"/>
      <c r="NFN17" s="475"/>
      <c r="NFO17" s="476"/>
      <c r="NFP17" s="476"/>
      <c r="NFQ17" s="476"/>
      <c r="NFR17" s="476"/>
      <c r="NFS17" s="476"/>
      <c r="NFT17" s="476"/>
      <c r="NFU17" s="476"/>
      <c r="NFV17" s="476"/>
      <c r="NFW17" s="476"/>
      <c r="NFX17" s="476"/>
      <c r="NFY17" s="476"/>
      <c r="NFZ17" s="476"/>
      <c r="NGA17" s="477"/>
      <c r="NGB17" s="477"/>
      <c r="NGC17" s="463"/>
      <c r="NGD17" s="475"/>
      <c r="NGE17" s="476"/>
      <c r="NGF17" s="476"/>
      <c r="NGG17" s="476"/>
      <c r="NGH17" s="476"/>
      <c r="NGI17" s="476"/>
      <c r="NGJ17" s="476"/>
      <c r="NGK17" s="476"/>
      <c r="NGL17" s="476"/>
      <c r="NGM17" s="476"/>
      <c r="NGN17" s="476"/>
      <c r="NGO17" s="476"/>
      <c r="NGP17" s="476"/>
      <c r="NGQ17" s="477"/>
      <c r="NGR17" s="477"/>
      <c r="NGS17" s="463"/>
      <c r="NGT17" s="475"/>
      <c r="NGU17" s="476"/>
      <c r="NGV17" s="476"/>
      <c r="NGW17" s="476"/>
      <c r="NGX17" s="476"/>
      <c r="NGY17" s="476"/>
      <c r="NGZ17" s="476"/>
      <c r="NHA17" s="476"/>
      <c r="NHB17" s="476"/>
      <c r="NHC17" s="476"/>
      <c r="NHD17" s="476"/>
      <c r="NHE17" s="476"/>
      <c r="NHF17" s="476"/>
      <c r="NHG17" s="477"/>
      <c r="NHH17" s="477"/>
      <c r="NHI17" s="463"/>
      <c r="NHJ17" s="475"/>
      <c r="NHK17" s="476"/>
      <c r="NHL17" s="476"/>
      <c r="NHM17" s="476"/>
      <c r="NHN17" s="476"/>
      <c r="NHO17" s="476"/>
      <c r="NHP17" s="476"/>
      <c r="NHQ17" s="476"/>
      <c r="NHR17" s="476"/>
      <c r="NHS17" s="476"/>
      <c r="NHT17" s="476"/>
      <c r="NHU17" s="476"/>
      <c r="NHV17" s="476"/>
      <c r="NHW17" s="477"/>
      <c r="NHX17" s="477"/>
      <c r="NHY17" s="463"/>
      <c r="NHZ17" s="475"/>
      <c r="NIA17" s="476"/>
      <c r="NIB17" s="476"/>
      <c r="NIC17" s="476"/>
      <c r="NID17" s="476"/>
      <c r="NIE17" s="476"/>
      <c r="NIF17" s="476"/>
      <c r="NIG17" s="476"/>
      <c r="NIH17" s="476"/>
      <c r="NII17" s="476"/>
      <c r="NIJ17" s="476"/>
      <c r="NIK17" s="476"/>
      <c r="NIL17" s="476"/>
      <c r="NIM17" s="477"/>
      <c r="NIN17" s="477"/>
      <c r="NIO17" s="463"/>
      <c r="NIP17" s="475"/>
      <c r="NIQ17" s="476"/>
      <c r="NIR17" s="476"/>
      <c r="NIS17" s="476"/>
      <c r="NIT17" s="476"/>
      <c r="NIU17" s="476"/>
      <c r="NIV17" s="476"/>
      <c r="NIW17" s="476"/>
      <c r="NIX17" s="476"/>
      <c r="NIY17" s="476"/>
      <c r="NIZ17" s="476"/>
      <c r="NJA17" s="476"/>
      <c r="NJB17" s="476"/>
      <c r="NJC17" s="477"/>
      <c r="NJD17" s="477"/>
      <c r="NJE17" s="463"/>
      <c r="NJF17" s="475"/>
      <c r="NJG17" s="476"/>
      <c r="NJH17" s="476"/>
      <c r="NJI17" s="476"/>
      <c r="NJJ17" s="476"/>
      <c r="NJK17" s="476"/>
      <c r="NJL17" s="476"/>
      <c r="NJM17" s="476"/>
      <c r="NJN17" s="476"/>
      <c r="NJO17" s="476"/>
      <c r="NJP17" s="476"/>
      <c r="NJQ17" s="476"/>
      <c r="NJR17" s="476"/>
      <c r="NJS17" s="477"/>
      <c r="NJT17" s="477"/>
      <c r="NJU17" s="463"/>
      <c r="NJV17" s="475"/>
      <c r="NJW17" s="476"/>
      <c r="NJX17" s="476"/>
      <c r="NJY17" s="476"/>
      <c r="NJZ17" s="476"/>
      <c r="NKA17" s="476"/>
      <c r="NKB17" s="476"/>
      <c r="NKC17" s="476"/>
      <c r="NKD17" s="476"/>
      <c r="NKE17" s="476"/>
      <c r="NKF17" s="476"/>
      <c r="NKG17" s="476"/>
      <c r="NKH17" s="476"/>
      <c r="NKI17" s="477"/>
      <c r="NKJ17" s="477"/>
      <c r="NKK17" s="463"/>
      <c r="NKL17" s="475"/>
      <c r="NKM17" s="476"/>
      <c r="NKN17" s="476"/>
      <c r="NKO17" s="476"/>
      <c r="NKP17" s="476"/>
      <c r="NKQ17" s="476"/>
      <c r="NKR17" s="476"/>
      <c r="NKS17" s="476"/>
      <c r="NKT17" s="476"/>
      <c r="NKU17" s="476"/>
      <c r="NKV17" s="476"/>
      <c r="NKW17" s="476"/>
      <c r="NKX17" s="476"/>
      <c r="NKY17" s="477"/>
      <c r="NKZ17" s="477"/>
      <c r="NLA17" s="463"/>
      <c r="NLB17" s="475"/>
      <c r="NLC17" s="476"/>
      <c r="NLD17" s="476"/>
      <c r="NLE17" s="476"/>
      <c r="NLF17" s="476"/>
      <c r="NLG17" s="476"/>
      <c r="NLH17" s="476"/>
      <c r="NLI17" s="476"/>
      <c r="NLJ17" s="476"/>
      <c r="NLK17" s="476"/>
      <c r="NLL17" s="476"/>
      <c r="NLM17" s="476"/>
      <c r="NLN17" s="476"/>
      <c r="NLO17" s="477"/>
      <c r="NLP17" s="477"/>
      <c r="NLQ17" s="463"/>
      <c r="NLR17" s="475"/>
      <c r="NLS17" s="476"/>
      <c r="NLT17" s="476"/>
      <c r="NLU17" s="476"/>
      <c r="NLV17" s="476"/>
      <c r="NLW17" s="476"/>
      <c r="NLX17" s="476"/>
      <c r="NLY17" s="476"/>
      <c r="NLZ17" s="476"/>
      <c r="NMA17" s="476"/>
      <c r="NMB17" s="476"/>
      <c r="NMC17" s="476"/>
      <c r="NMD17" s="476"/>
      <c r="NME17" s="477"/>
      <c r="NMF17" s="477"/>
      <c r="NMG17" s="463"/>
      <c r="NMH17" s="475"/>
      <c r="NMI17" s="476"/>
      <c r="NMJ17" s="476"/>
      <c r="NMK17" s="476"/>
      <c r="NML17" s="476"/>
      <c r="NMM17" s="476"/>
      <c r="NMN17" s="476"/>
      <c r="NMO17" s="476"/>
      <c r="NMP17" s="476"/>
      <c r="NMQ17" s="476"/>
      <c r="NMR17" s="476"/>
      <c r="NMS17" s="476"/>
      <c r="NMT17" s="476"/>
      <c r="NMU17" s="477"/>
      <c r="NMV17" s="477"/>
      <c r="NMW17" s="463"/>
      <c r="NMX17" s="475"/>
      <c r="NMY17" s="476"/>
      <c r="NMZ17" s="476"/>
      <c r="NNA17" s="476"/>
      <c r="NNB17" s="476"/>
      <c r="NNC17" s="476"/>
      <c r="NND17" s="476"/>
      <c r="NNE17" s="476"/>
      <c r="NNF17" s="476"/>
      <c r="NNG17" s="476"/>
      <c r="NNH17" s="476"/>
      <c r="NNI17" s="476"/>
      <c r="NNJ17" s="476"/>
      <c r="NNK17" s="477"/>
      <c r="NNL17" s="477"/>
      <c r="NNM17" s="463"/>
      <c r="NNN17" s="475"/>
      <c r="NNO17" s="476"/>
      <c r="NNP17" s="476"/>
      <c r="NNQ17" s="476"/>
      <c r="NNR17" s="476"/>
      <c r="NNS17" s="476"/>
      <c r="NNT17" s="476"/>
      <c r="NNU17" s="476"/>
      <c r="NNV17" s="476"/>
      <c r="NNW17" s="476"/>
      <c r="NNX17" s="476"/>
      <c r="NNY17" s="476"/>
      <c r="NNZ17" s="476"/>
      <c r="NOA17" s="477"/>
      <c r="NOB17" s="477"/>
      <c r="NOC17" s="463"/>
      <c r="NOD17" s="475"/>
      <c r="NOE17" s="476"/>
      <c r="NOF17" s="476"/>
      <c r="NOG17" s="476"/>
      <c r="NOH17" s="476"/>
      <c r="NOI17" s="476"/>
      <c r="NOJ17" s="476"/>
      <c r="NOK17" s="476"/>
      <c r="NOL17" s="476"/>
      <c r="NOM17" s="476"/>
      <c r="NON17" s="476"/>
      <c r="NOO17" s="476"/>
      <c r="NOP17" s="476"/>
      <c r="NOQ17" s="477"/>
      <c r="NOR17" s="477"/>
      <c r="NOS17" s="463"/>
      <c r="NOT17" s="475"/>
      <c r="NOU17" s="476"/>
      <c r="NOV17" s="476"/>
      <c r="NOW17" s="476"/>
      <c r="NOX17" s="476"/>
      <c r="NOY17" s="476"/>
      <c r="NOZ17" s="476"/>
      <c r="NPA17" s="476"/>
      <c r="NPB17" s="476"/>
      <c r="NPC17" s="476"/>
      <c r="NPD17" s="476"/>
      <c r="NPE17" s="476"/>
      <c r="NPF17" s="476"/>
      <c r="NPG17" s="477"/>
      <c r="NPH17" s="477"/>
      <c r="NPI17" s="463"/>
      <c r="NPJ17" s="475"/>
      <c r="NPK17" s="476"/>
      <c r="NPL17" s="476"/>
      <c r="NPM17" s="476"/>
      <c r="NPN17" s="476"/>
      <c r="NPO17" s="476"/>
      <c r="NPP17" s="476"/>
      <c r="NPQ17" s="476"/>
      <c r="NPR17" s="476"/>
      <c r="NPS17" s="476"/>
      <c r="NPT17" s="476"/>
      <c r="NPU17" s="476"/>
      <c r="NPV17" s="476"/>
      <c r="NPW17" s="477"/>
      <c r="NPX17" s="477"/>
      <c r="NPY17" s="463"/>
      <c r="NPZ17" s="475"/>
      <c r="NQA17" s="476"/>
      <c r="NQB17" s="476"/>
      <c r="NQC17" s="476"/>
      <c r="NQD17" s="476"/>
      <c r="NQE17" s="476"/>
      <c r="NQF17" s="476"/>
      <c r="NQG17" s="476"/>
      <c r="NQH17" s="476"/>
      <c r="NQI17" s="476"/>
      <c r="NQJ17" s="476"/>
      <c r="NQK17" s="476"/>
      <c r="NQL17" s="476"/>
      <c r="NQM17" s="477"/>
      <c r="NQN17" s="477"/>
      <c r="NQO17" s="463"/>
      <c r="NQP17" s="475"/>
      <c r="NQQ17" s="476"/>
      <c r="NQR17" s="476"/>
      <c r="NQS17" s="476"/>
      <c r="NQT17" s="476"/>
      <c r="NQU17" s="476"/>
      <c r="NQV17" s="476"/>
      <c r="NQW17" s="476"/>
      <c r="NQX17" s="476"/>
      <c r="NQY17" s="476"/>
      <c r="NQZ17" s="476"/>
      <c r="NRA17" s="476"/>
      <c r="NRB17" s="476"/>
      <c r="NRC17" s="477"/>
      <c r="NRD17" s="477"/>
      <c r="NRE17" s="463"/>
      <c r="NRF17" s="475"/>
      <c r="NRG17" s="476"/>
      <c r="NRH17" s="476"/>
      <c r="NRI17" s="476"/>
      <c r="NRJ17" s="476"/>
      <c r="NRK17" s="476"/>
      <c r="NRL17" s="476"/>
      <c r="NRM17" s="476"/>
      <c r="NRN17" s="476"/>
      <c r="NRO17" s="476"/>
      <c r="NRP17" s="476"/>
      <c r="NRQ17" s="476"/>
      <c r="NRR17" s="476"/>
      <c r="NRS17" s="477"/>
      <c r="NRT17" s="477"/>
      <c r="NRU17" s="463"/>
      <c r="NRV17" s="475"/>
      <c r="NRW17" s="476"/>
      <c r="NRX17" s="476"/>
      <c r="NRY17" s="476"/>
      <c r="NRZ17" s="476"/>
      <c r="NSA17" s="476"/>
      <c r="NSB17" s="476"/>
      <c r="NSC17" s="476"/>
      <c r="NSD17" s="476"/>
      <c r="NSE17" s="476"/>
      <c r="NSF17" s="476"/>
      <c r="NSG17" s="476"/>
      <c r="NSH17" s="476"/>
      <c r="NSI17" s="477"/>
      <c r="NSJ17" s="477"/>
      <c r="NSK17" s="463"/>
      <c r="NSL17" s="475"/>
      <c r="NSM17" s="476"/>
      <c r="NSN17" s="476"/>
      <c r="NSO17" s="476"/>
      <c r="NSP17" s="476"/>
      <c r="NSQ17" s="476"/>
      <c r="NSR17" s="476"/>
      <c r="NSS17" s="476"/>
      <c r="NST17" s="476"/>
      <c r="NSU17" s="476"/>
      <c r="NSV17" s="476"/>
      <c r="NSW17" s="476"/>
      <c r="NSX17" s="476"/>
      <c r="NSY17" s="477"/>
      <c r="NSZ17" s="477"/>
      <c r="NTA17" s="463"/>
      <c r="NTB17" s="475"/>
      <c r="NTC17" s="476"/>
      <c r="NTD17" s="476"/>
      <c r="NTE17" s="476"/>
      <c r="NTF17" s="476"/>
      <c r="NTG17" s="476"/>
      <c r="NTH17" s="476"/>
      <c r="NTI17" s="476"/>
      <c r="NTJ17" s="476"/>
      <c r="NTK17" s="476"/>
      <c r="NTL17" s="476"/>
      <c r="NTM17" s="476"/>
      <c r="NTN17" s="476"/>
      <c r="NTO17" s="477"/>
      <c r="NTP17" s="477"/>
      <c r="NTQ17" s="463"/>
      <c r="NTR17" s="475"/>
      <c r="NTS17" s="476"/>
      <c r="NTT17" s="476"/>
      <c r="NTU17" s="476"/>
      <c r="NTV17" s="476"/>
      <c r="NTW17" s="476"/>
      <c r="NTX17" s="476"/>
      <c r="NTY17" s="476"/>
      <c r="NTZ17" s="476"/>
      <c r="NUA17" s="476"/>
      <c r="NUB17" s="476"/>
      <c r="NUC17" s="476"/>
      <c r="NUD17" s="476"/>
      <c r="NUE17" s="477"/>
      <c r="NUF17" s="477"/>
      <c r="NUG17" s="463"/>
      <c r="NUH17" s="475"/>
      <c r="NUI17" s="476"/>
      <c r="NUJ17" s="476"/>
      <c r="NUK17" s="476"/>
      <c r="NUL17" s="476"/>
      <c r="NUM17" s="476"/>
      <c r="NUN17" s="476"/>
      <c r="NUO17" s="476"/>
      <c r="NUP17" s="476"/>
      <c r="NUQ17" s="476"/>
      <c r="NUR17" s="476"/>
      <c r="NUS17" s="476"/>
      <c r="NUT17" s="476"/>
      <c r="NUU17" s="477"/>
      <c r="NUV17" s="477"/>
      <c r="NUW17" s="463"/>
      <c r="NUX17" s="475"/>
      <c r="NUY17" s="476"/>
      <c r="NUZ17" s="476"/>
      <c r="NVA17" s="476"/>
      <c r="NVB17" s="476"/>
      <c r="NVC17" s="476"/>
      <c r="NVD17" s="476"/>
      <c r="NVE17" s="476"/>
      <c r="NVF17" s="476"/>
      <c r="NVG17" s="476"/>
      <c r="NVH17" s="476"/>
      <c r="NVI17" s="476"/>
      <c r="NVJ17" s="476"/>
      <c r="NVK17" s="477"/>
      <c r="NVL17" s="477"/>
      <c r="NVM17" s="463"/>
      <c r="NVN17" s="475"/>
      <c r="NVO17" s="476"/>
      <c r="NVP17" s="476"/>
      <c r="NVQ17" s="476"/>
      <c r="NVR17" s="476"/>
      <c r="NVS17" s="476"/>
      <c r="NVT17" s="476"/>
      <c r="NVU17" s="476"/>
      <c r="NVV17" s="476"/>
      <c r="NVW17" s="476"/>
      <c r="NVX17" s="476"/>
      <c r="NVY17" s="476"/>
      <c r="NVZ17" s="476"/>
      <c r="NWA17" s="477"/>
      <c r="NWB17" s="477"/>
      <c r="NWC17" s="463"/>
      <c r="NWD17" s="475"/>
      <c r="NWE17" s="476"/>
      <c r="NWF17" s="476"/>
      <c r="NWG17" s="476"/>
      <c r="NWH17" s="476"/>
      <c r="NWI17" s="476"/>
      <c r="NWJ17" s="476"/>
      <c r="NWK17" s="476"/>
      <c r="NWL17" s="476"/>
      <c r="NWM17" s="476"/>
      <c r="NWN17" s="476"/>
      <c r="NWO17" s="476"/>
      <c r="NWP17" s="476"/>
      <c r="NWQ17" s="477"/>
      <c r="NWR17" s="477"/>
      <c r="NWS17" s="463"/>
      <c r="NWT17" s="475"/>
      <c r="NWU17" s="476"/>
      <c r="NWV17" s="476"/>
      <c r="NWW17" s="476"/>
      <c r="NWX17" s="476"/>
      <c r="NWY17" s="476"/>
      <c r="NWZ17" s="476"/>
      <c r="NXA17" s="476"/>
      <c r="NXB17" s="476"/>
      <c r="NXC17" s="476"/>
      <c r="NXD17" s="476"/>
      <c r="NXE17" s="476"/>
      <c r="NXF17" s="476"/>
      <c r="NXG17" s="477"/>
      <c r="NXH17" s="477"/>
      <c r="NXI17" s="463"/>
      <c r="NXJ17" s="475"/>
      <c r="NXK17" s="476"/>
      <c r="NXL17" s="476"/>
      <c r="NXM17" s="476"/>
      <c r="NXN17" s="476"/>
      <c r="NXO17" s="476"/>
      <c r="NXP17" s="476"/>
      <c r="NXQ17" s="476"/>
      <c r="NXR17" s="476"/>
      <c r="NXS17" s="476"/>
      <c r="NXT17" s="476"/>
      <c r="NXU17" s="476"/>
      <c r="NXV17" s="476"/>
      <c r="NXW17" s="477"/>
      <c r="NXX17" s="477"/>
      <c r="NXY17" s="463"/>
      <c r="NXZ17" s="475"/>
      <c r="NYA17" s="476"/>
      <c r="NYB17" s="476"/>
      <c r="NYC17" s="476"/>
      <c r="NYD17" s="476"/>
      <c r="NYE17" s="476"/>
      <c r="NYF17" s="476"/>
      <c r="NYG17" s="476"/>
      <c r="NYH17" s="476"/>
      <c r="NYI17" s="476"/>
      <c r="NYJ17" s="476"/>
      <c r="NYK17" s="476"/>
      <c r="NYL17" s="476"/>
      <c r="NYM17" s="477"/>
      <c r="NYN17" s="477"/>
      <c r="NYO17" s="463"/>
      <c r="NYP17" s="475"/>
      <c r="NYQ17" s="476"/>
      <c r="NYR17" s="476"/>
      <c r="NYS17" s="476"/>
      <c r="NYT17" s="476"/>
      <c r="NYU17" s="476"/>
      <c r="NYV17" s="476"/>
      <c r="NYW17" s="476"/>
      <c r="NYX17" s="476"/>
      <c r="NYY17" s="476"/>
      <c r="NYZ17" s="476"/>
      <c r="NZA17" s="476"/>
      <c r="NZB17" s="476"/>
      <c r="NZC17" s="477"/>
      <c r="NZD17" s="477"/>
      <c r="NZE17" s="463"/>
      <c r="NZF17" s="475"/>
      <c r="NZG17" s="476"/>
      <c r="NZH17" s="476"/>
      <c r="NZI17" s="476"/>
      <c r="NZJ17" s="476"/>
      <c r="NZK17" s="476"/>
      <c r="NZL17" s="476"/>
      <c r="NZM17" s="476"/>
      <c r="NZN17" s="476"/>
      <c r="NZO17" s="476"/>
      <c r="NZP17" s="476"/>
      <c r="NZQ17" s="476"/>
      <c r="NZR17" s="476"/>
      <c r="NZS17" s="477"/>
      <c r="NZT17" s="477"/>
      <c r="NZU17" s="463"/>
      <c r="NZV17" s="475"/>
      <c r="NZW17" s="476"/>
      <c r="NZX17" s="476"/>
      <c r="NZY17" s="476"/>
      <c r="NZZ17" s="476"/>
      <c r="OAA17" s="476"/>
      <c r="OAB17" s="476"/>
      <c r="OAC17" s="476"/>
      <c r="OAD17" s="476"/>
      <c r="OAE17" s="476"/>
      <c r="OAF17" s="476"/>
      <c r="OAG17" s="476"/>
      <c r="OAH17" s="476"/>
      <c r="OAI17" s="477"/>
      <c r="OAJ17" s="477"/>
      <c r="OAK17" s="463"/>
      <c r="OAL17" s="475"/>
      <c r="OAM17" s="476"/>
      <c r="OAN17" s="476"/>
      <c r="OAO17" s="476"/>
      <c r="OAP17" s="476"/>
      <c r="OAQ17" s="476"/>
      <c r="OAR17" s="476"/>
      <c r="OAS17" s="476"/>
      <c r="OAT17" s="476"/>
      <c r="OAU17" s="476"/>
      <c r="OAV17" s="476"/>
      <c r="OAW17" s="476"/>
      <c r="OAX17" s="476"/>
      <c r="OAY17" s="477"/>
      <c r="OAZ17" s="477"/>
      <c r="OBA17" s="463"/>
      <c r="OBB17" s="475"/>
      <c r="OBC17" s="476"/>
      <c r="OBD17" s="476"/>
      <c r="OBE17" s="476"/>
      <c r="OBF17" s="476"/>
      <c r="OBG17" s="476"/>
      <c r="OBH17" s="476"/>
      <c r="OBI17" s="476"/>
      <c r="OBJ17" s="476"/>
      <c r="OBK17" s="476"/>
      <c r="OBL17" s="476"/>
      <c r="OBM17" s="476"/>
      <c r="OBN17" s="476"/>
      <c r="OBO17" s="477"/>
      <c r="OBP17" s="477"/>
      <c r="OBQ17" s="463"/>
      <c r="OBR17" s="475"/>
      <c r="OBS17" s="476"/>
      <c r="OBT17" s="476"/>
      <c r="OBU17" s="476"/>
      <c r="OBV17" s="476"/>
      <c r="OBW17" s="476"/>
      <c r="OBX17" s="476"/>
      <c r="OBY17" s="476"/>
      <c r="OBZ17" s="476"/>
      <c r="OCA17" s="476"/>
      <c r="OCB17" s="476"/>
      <c r="OCC17" s="476"/>
      <c r="OCD17" s="476"/>
      <c r="OCE17" s="477"/>
      <c r="OCF17" s="477"/>
      <c r="OCG17" s="463"/>
      <c r="OCH17" s="475"/>
      <c r="OCI17" s="476"/>
      <c r="OCJ17" s="476"/>
      <c r="OCK17" s="476"/>
      <c r="OCL17" s="476"/>
      <c r="OCM17" s="476"/>
      <c r="OCN17" s="476"/>
      <c r="OCO17" s="476"/>
      <c r="OCP17" s="476"/>
      <c r="OCQ17" s="476"/>
      <c r="OCR17" s="476"/>
      <c r="OCS17" s="476"/>
      <c r="OCT17" s="476"/>
      <c r="OCU17" s="477"/>
      <c r="OCV17" s="477"/>
      <c r="OCW17" s="463"/>
      <c r="OCX17" s="475"/>
      <c r="OCY17" s="476"/>
      <c r="OCZ17" s="476"/>
      <c r="ODA17" s="476"/>
      <c r="ODB17" s="476"/>
      <c r="ODC17" s="476"/>
      <c r="ODD17" s="476"/>
      <c r="ODE17" s="476"/>
      <c r="ODF17" s="476"/>
      <c r="ODG17" s="476"/>
      <c r="ODH17" s="476"/>
      <c r="ODI17" s="476"/>
      <c r="ODJ17" s="476"/>
      <c r="ODK17" s="477"/>
      <c r="ODL17" s="477"/>
      <c r="ODM17" s="463"/>
      <c r="ODN17" s="475"/>
      <c r="ODO17" s="476"/>
      <c r="ODP17" s="476"/>
      <c r="ODQ17" s="476"/>
      <c r="ODR17" s="476"/>
      <c r="ODS17" s="476"/>
      <c r="ODT17" s="476"/>
      <c r="ODU17" s="476"/>
      <c r="ODV17" s="476"/>
      <c r="ODW17" s="476"/>
      <c r="ODX17" s="476"/>
      <c r="ODY17" s="476"/>
      <c r="ODZ17" s="476"/>
      <c r="OEA17" s="477"/>
      <c r="OEB17" s="477"/>
      <c r="OEC17" s="463"/>
      <c r="OED17" s="475"/>
      <c r="OEE17" s="476"/>
      <c r="OEF17" s="476"/>
      <c r="OEG17" s="476"/>
      <c r="OEH17" s="476"/>
      <c r="OEI17" s="476"/>
      <c r="OEJ17" s="476"/>
      <c r="OEK17" s="476"/>
      <c r="OEL17" s="476"/>
      <c r="OEM17" s="476"/>
      <c r="OEN17" s="476"/>
      <c r="OEO17" s="476"/>
      <c r="OEP17" s="476"/>
      <c r="OEQ17" s="477"/>
      <c r="OER17" s="477"/>
      <c r="OES17" s="463"/>
      <c r="OET17" s="475"/>
      <c r="OEU17" s="476"/>
      <c r="OEV17" s="476"/>
      <c r="OEW17" s="476"/>
      <c r="OEX17" s="476"/>
      <c r="OEY17" s="476"/>
      <c r="OEZ17" s="476"/>
      <c r="OFA17" s="476"/>
      <c r="OFB17" s="476"/>
      <c r="OFC17" s="476"/>
      <c r="OFD17" s="476"/>
      <c r="OFE17" s="476"/>
      <c r="OFF17" s="476"/>
      <c r="OFG17" s="477"/>
      <c r="OFH17" s="477"/>
      <c r="OFI17" s="463"/>
      <c r="OFJ17" s="475"/>
      <c r="OFK17" s="476"/>
      <c r="OFL17" s="476"/>
      <c r="OFM17" s="476"/>
      <c r="OFN17" s="476"/>
      <c r="OFO17" s="476"/>
      <c r="OFP17" s="476"/>
      <c r="OFQ17" s="476"/>
      <c r="OFR17" s="476"/>
      <c r="OFS17" s="476"/>
      <c r="OFT17" s="476"/>
      <c r="OFU17" s="476"/>
      <c r="OFV17" s="476"/>
      <c r="OFW17" s="477"/>
      <c r="OFX17" s="477"/>
      <c r="OFY17" s="463"/>
      <c r="OFZ17" s="475"/>
      <c r="OGA17" s="476"/>
      <c r="OGB17" s="476"/>
      <c r="OGC17" s="476"/>
      <c r="OGD17" s="476"/>
      <c r="OGE17" s="476"/>
      <c r="OGF17" s="476"/>
      <c r="OGG17" s="476"/>
      <c r="OGH17" s="476"/>
      <c r="OGI17" s="476"/>
      <c r="OGJ17" s="476"/>
      <c r="OGK17" s="476"/>
      <c r="OGL17" s="476"/>
      <c r="OGM17" s="477"/>
      <c r="OGN17" s="477"/>
      <c r="OGO17" s="463"/>
      <c r="OGP17" s="475"/>
      <c r="OGQ17" s="476"/>
      <c r="OGR17" s="476"/>
      <c r="OGS17" s="476"/>
      <c r="OGT17" s="476"/>
      <c r="OGU17" s="476"/>
      <c r="OGV17" s="476"/>
      <c r="OGW17" s="476"/>
      <c r="OGX17" s="476"/>
      <c r="OGY17" s="476"/>
      <c r="OGZ17" s="476"/>
      <c r="OHA17" s="476"/>
      <c r="OHB17" s="476"/>
      <c r="OHC17" s="477"/>
      <c r="OHD17" s="477"/>
      <c r="OHE17" s="463"/>
      <c r="OHF17" s="475"/>
      <c r="OHG17" s="476"/>
      <c r="OHH17" s="476"/>
      <c r="OHI17" s="476"/>
      <c r="OHJ17" s="476"/>
      <c r="OHK17" s="476"/>
      <c r="OHL17" s="476"/>
      <c r="OHM17" s="476"/>
      <c r="OHN17" s="476"/>
      <c r="OHO17" s="476"/>
      <c r="OHP17" s="476"/>
      <c r="OHQ17" s="476"/>
      <c r="OHR17" s="476"/>
      <c r="OHS17" s="477"/>
      <c r="OHT17" s="477"/>
      <c r="OHU17" s="463"/>
      <c r="OHV17" s="475"/>
      <c r="OHW17" s="476"/>
      <c r="OHX17" s="476"/>
      <c r="OHY17" s="476"/>
      <c r="OHZ17" s="476"/>
      <c r="OIA17" s="476"/>
      <c r="OIB17" s="476"/>
      <c r="OIC17" s="476"/>
      <c r="OID17" s="476"/>
      <c r="OIE17" s="476"/>
      <c r="OIF17" s="476"/>
      <c r="OIG17" s="476"/>
      <c r="OIH17" s="476"/>
      <c r="OII17" s="477"/>
      <c r="OIJ17" s="477"/>
      <c r="OIK17" s="463"/>
      <c r="OIL17" s="475"/>
      <c r="OIM17" s="476"/>
      <c r="OIN17" s="476"/>
      <c r="OIO17" s="476"/>
      <c r="OIP17" s="476"/>
      <c r="OIQ17" s="476"/>
      <c r="OIR17" s="476"/>
      <c r="OIS17" s="476"/>
      <c r="OIT17" s="476"/>
      <c r="OIU17" s="476"/>
      <c r="OIV17" s="476"/>
      <c r="OIW17" s="476"/>
      <c r="OIX17" s="476"/>
      <c r="OIY17" s="477"/>
      <c r="OIZ17" s="477"/>
      <c r="OJA17" s="463"/>
      <c r="OJB17" s="475"/>
      <c r="OJC17" s="476"/>
      <c r="OJD17" s="476"/>
      <c r="OJE17" s="476"/>
      <c r="OJF17" s="476"/>
      <c r="OJG17" s="476"/>
      <c r="OJH17" s="476"/>
      <c r="OJI17" s="476"/>
      <c r="OJJ17" s="476"/>
      <c r="OJK17" s="476"/>
      <c r="OJL17" s="476"/>
      <c r="OJM17" s="476"/>
      <c r="OJN17" s="476"/>
      <c r="OJO17" s="477"/>
      <c r="OJP17" s="477"/>
      <c r="OJQ17" s="463"/>
      <c r="OJR17" s="475"/>
      <c r="OJS17" s="476"/>
      <c r="OJT17" s="476"/>
      <c r="OJU17" s="476"/>
      <c r="OJV17" s="476"/>
      <c r="OJW17" s="476"/>
      <c r="OJX17" s="476"/>
      <c r="OJY17" s="476"/>
      <c r="OJZ17" s="476"/>
      <c r="OKA17" s="476"/>
      <c r="OKB17" s="476"/>
      <c r="OKC17" s="476"/>
      <c r="OKD17" s="476"/>
      <c r="OKE17" s="477"/>
      <c r="OKF17" s="477"/>
      <c r="OKG17" s="463"/>
      <c r="OKH17" s="475"/>
      <c r="OKI17" s="476"/>
      <c r="OKJ17" s="476"/>
      <c r="OKK17" s="476"/>
      <c r="OKL17" s="476"/>
      <c r="OKM17" s="476"/>
      <c r="OKN17" s="476"/>
      <c r="OKO17" s="476"/>
      <c r="OKP17" s="476"/>
      <c r="OKQ17" s="476"/>
      <c r="OKR17" s="476"/>
      <c r="OKS17" s="476"/>
      <c r="OKT17" s="476"/>
      <c r="OKU17" s="477"/>
      <c r="OKV17" s="477"/>
      <c r="OKW17" s="463"/>
      <c r="OKX17" s="475"/>
      <c r="OKY17" s="476"/>
      <c r="OKZ17" s="476"/>
      <c r="OLA17" s="476"/>
      <c r="OLB17" s="476"/>
      <c r="OLC17" s="476"/>
      <c r="OLD17" s="476"/>
      <c r="OLE17" s="476"/>
      <c r="OLF17" s="476"/>
      <c r="OLG17" s="476"/>
      <c r="OLH17" s="476"/>
      <c r="OLI17" s="476"/>
      <c r="OLJ17" s="476"/>
      <c r="OLK17" s="477"/>
      <c r="OLL17" s="477"/>
      <c r="OLM17" s="463"/>
      <c r="OLN17" s="475"/>
      <c r="OLO17" s="476"/>
      <c r="OLP17" s="476"/>
      <c r="OLQ17" s="476"/>
      <c r="OLR17" s="476"/>
      <c r="OLS17" s="476"/>
      <c r="OLT17" s="476"/>
      <c r="OLU17" s="476"/>
      <c r="OLV17" s="476"/>
      <c r="OLW17" s="476"/>
      <c r="OLX17" s="476"/>
      <c r="OLY17" s="476"/>
      <c r="OLZ17" s="476"/>
      <c r="OMA17" s="477"/>
      <c r="OMB17" s="477"/>
      <c r="OMC17" s="463"/>
      <c r="OMD17" s="475"/>
      <c r="OME17" s="476"/>
      <c r="OMF17" s="476"/>
      <c r="OMG17" s="476"/>
      <c r="OMH17" s="476"/>
      <c r="OMI17" s="476"/>
      <c r="OMJ17" s="476"/>
      <c r="OMK17" s="476"/>
      <c r="OML17" s="476"/>
      <c r="OMM17" s="476"/>
      <c r="OMN17" s="476"/>
      <c r="OMO17" s="476"/>
      <c r="OMP17" s="476"/>
      <c r="OMQ17" s="477"/>
      <c r="OMR17" s="477"/>
      <c r="OMS17" s="463"/>
      <c r="OMT17" s="475"/>
      <c r="OMU17" s="476"/>
      <c r="OMV17" s="476"/>
      <c r="OMW17" s="476"/>
      <c r="OMX17" s="476"/>
      <c r="OMY17" s="476"/>
      <c r="OMZ17" s="476"/>
      <c r="ONA17" s="476"/>
      <c r="ONB17" s="476"/>
      <c r="ONC17" s="476"/>
      <c r="OND17" s="476"/>
      <c r="ONE17" s="476"/>
      <c r="ONF17" s="476"/>
      <c r="ONG17" s="477"/>
      <c r="ONH17" s="477"/>
      <c r="ONI17" s="463"/>
      <c r="ONJ17" s="475"/>
      <c r="ONK17" s="476"/>
      <c r="ONL17" s="476"/>
      <c r="ONM17" s="476"/>
      <c r="ONN17" s="476"/>
      <c r="ONO17" s="476"/>
      <c r="ONP17" s="476"/>
      <c r="ONQ17" s="476"/>
      <c r="ONR17" s="476"/>
      <c r="ONS17" s="476"/>
      <c r="ONT17" s="476"/>
      <c r="ONU17" s="476"/>
      <c r="ONV17" s="476"/>
      <c r="ONW17" s="477"/>
      <c r="ONX17" s="477"/>
      <c r="ONY17" s="463"/>
      <c r="ONZ17" s="475"/>
      <c r="OOA17" s="476"/>
      <c r="OOB17" s="476"/>
      <c r="OOC17" s="476"/>
      <c r="OOD17" s="476"/>
      <c r="OOE17" s="476"/>
      <c r="OOF17" s="476"/>
      <c r="OOG17" s="476"/>
      <c r="OOH17" s="476"/>
      <c r="OOI17" s="476"/>
      <c r="OOJ17" s="476"/>
      <c r="OOK17" s="476"/>
      <c r="OOL17" s="476"/>
      <c r="OOM17" s="477"/>
      <c r="OON17" s="477"/>
      <c r="OOO17" s="463"/>
      <c r="OOP17" s="475"/>
      <c r="OOQ17" s="476"/>
      <c r="OOR17" s="476"/>
      <c r="OOS17" s="476"/>
      <c r="OOT17" s="476"/>
      <c r="OOU17" s="476"/>
      <c r="OOV17" s="476"/>
      <c r="OOW17" s="476"/>
      <c r="OOX17" s="476"/>
      <c r="OOY17" s="476"/>
      <c r="OOZ17" s="476"/>
      <c r="OPA17" s="476"/>
      <c r="OPB17" s="476"/>
      <c r="OPC17" s="477"/>
      <c r="OPD17" s="477"/>
      <c r="OPE17" s="463"/>
      <c r="OPF17" s="475"/>
      <c r="OPG17" s="476"/>
      <c r="OPH17" s="476"/>
      <c r="OPI17" s="476"/>
      <c r="OPJ17" s="476"/>
      <c r="OPK17" s="476"/>
      <c r="OPL17" s="476"/>
      <c r="OPM17" s="476"/>
      <c r="OPN17" s="476"/>
      <c r="OPO17" s="476"/>
      <c r="OPP17" s="476"/>
      <c r="OPQ17" s="476"/>
      <c r="OPR17" s="476"/>
      <c r="OPS17" s="477"/>
      <c r="OPT17" s="477"/>
      <c r="OPU17" s="463"/>
      <c r="OPV17" s="475"/>
      <c r="OPW17" s="476"/>
      <c r="OPX17" s="476"/>
      <c r="OPY17" s="476"/>
      <c r="OPZ17" s="476"/>
      <c r="OQA17" s="476"/>
      <c r="OQB17" s="476"/>
      <c r="OQC17" s="476"/>
      <c r="OQD17" s="476"/>
      <c r="OQE17" s="476"/>
      <c r="OQF17" s="476"/>
      <c r="OQG17" s="476"/>
      <c r="OQH17" s="476"/>
      <c r="OQI17" s="477"/>
      <c r="OQJ17" s="477"/>
      <c r="OQK17" s="463"/>
      <c r="OQL17" s="475"/>
      <c r="OQM17" s="476"/>
      <c r="OQN17" s="476"/>
      <c r="OQO17" s="476"/>
      <c r="OQP17" s="476"/>
      <c r="OQQ17" s="476"/>
      <c r="OQR17" s="476"/>
      <c r="OQS17" s="476"/>
      <c r="OQT17" s="476"/>
      <c r="OQU17" s="476"/>
      <c r="OQV17" s="476"/>
      <c r="OQW17" s="476"/>
      <c r="OQX17" s="476"/>
      <c r="OQY17" s="477"/>
      <c r="OQZ17" s="477"/>
      <c r="ORA17" s="463"/>
      <c r="ORB17" s="475"/>
      <c r="ORC17" s="476"/>
      <c r="ORD17" s="476"/>
      <c r="ORE17" s="476"/>
      <c r="ORF17" s="476"/>
      <c r="ORG17" s="476"/>
      <c r="ORH17" s="476"/>
      <c r="ORI17" s="476"/>
      <c r="ORJ17" s="476"/>
      <c r="ORK17" s="476"/>
      <c r="ORL17" s="476"/>
      <c r="ORM17" s="476"/>
      <c r="ORN17" s="476"/>
      <c r="ORO17" s="477"/>
      <c r="ORP17" s="477"/>
      <c r="ORQ17" s="463"/>
      <c r="ORR17" s="475"/>
      <c r="ORS17" s="476"/>
      <c r="ORT17" s="476"/>
      <c r="ORU17" s="476"/>
      <c r="ORV17" s="476"/>
      <c r="ORW17" s="476"/>
      <c r="ORX17" s="476"/>
      <c r="ORY17" s="476"/>
      <c r="ORZ17" s="476"/>
      <c r="OSA17" s="476"/>
      <c r="OSB17" s="476"/>
      <c r="OSC17" s="476"/>
      <c r="OSD17" s="476"/>
      <c r="OSE17" s="477"/>
      <c r="OSF17" s="477"/>
      <c r="OSG17" s="463"/>
      <c r="OSH17" s="475"/>
      <c r="OSI17" s="476"/>
      <c r="OSJ17" s="476"/>
      <c r="OSK17" s="476"/>
      <c r="OSL17" s="476"/>
      <c r="OSM17" s="476"/>
      <c r="OSN17" s="476"/>
      <c r="OSO17" s="476"/>
      <c r="OSP17" s="476"/>
      <c r="OSQ17" s="476"/>
      <c r="OSR17" s="476"/>
      <c r="OSS17" s="476"/>
      <c r="OST17" s="476"/>
      <c r="OSU17" s="477"/>
      <c r="OSV17" s="477"/>
      <c r="OSW17" s="463"/>
      <c r="OSX17" s="475"/>
      <c r="OSY17" s="476"/>
      <c r="OSZ17" s="476"/>
      <c r="OTA17" s="476"/>
      <c r="OTB17" s="476"/>
      <c r="OTC17" s="476"/>
      <c r="OTD17" s="476"/>
      <c r="OTE17" s="476"/>
      <c r="OTF17" s="476"/>
      <c r="OTG17" s="476"/>
      <c r="OTH17" s="476"/>
      <c r="OTI17" s="476"/>
      <c r="OTJ17" s="476"/>
      <c r="OTK17" s="477"/>
      <c r="OTL17" s="477"/>
      <c r="OTM17" s="463"/>
      <c r="OTN17" s="475"/>
      <c r="OTO17" s="476"/>
      <c r="OTP17" s="476"/>
      <c r="OTQ17" s="476"/>
      <c r="OTR17" s="476"/>
      <c r="OTS17" s="476"/>
      <c r="OTT17" s="476"/>
      <c r="OTU17" s="476"/>
      <c r="OTV17" s="476"/>
      <c r="OTW17" s="476"/>
      <c r="OTX17" s="476"/>
      <c r="OTY17" s="476"/>
      <c r="OTZ17" s="476"/>
      <c r="OUA17" s="477"/>
      <c r="OUB17" s="477"/>
      <c r="OUC17" s="463"/>
      <c r="OUD17" s="475"/>
      <c r="OUE17" s="476"/>
      <c r="OUF17" s="476"/>
      <c r="OUG17" s="476"/>
      <c r="OUH17" s="476"/>
      <c r="OUI17" s="476"/>
      <c r="OUJ17" s="476"/>
      <c r="OUK17" s="476"/>
      <c r="OUL17" s="476"/>
      <c r="OUM17" s="476"/>
      <c r="OUN17" s="476"/>
      <c r="OUO17" s="476"/>
      <c r="OUP17" s="476"/>
      <c r="OUQ17" s="477"/>
      <c r="OUR17" s="477"/>
      <c r="OUS17" s="463"/>
      <c r="OUT17" s="475"/>
      <c r="OUU17" s="476"/>
      <c r="OUV17" s="476"/>
      <c r="OUW17" s="476"/>
      <c r="OUX17" s="476"/>
      <c r="OUY17" s="476"/>
      <c r="OUZ17" s="476"/>
      <c r="OVA17" s="476"/>
      <c r="OVB17" s="476"/>
      <c r="OVC17" s="476"/>
      <c r="OVD17" s="476"/>
      <c r="OVE17" s="476"/>
      <c r="OVF17" s="476"/>
      <c r="OVG17" s="477"/>
      <c r="OVH17" s="477"/>
      <c r="OVI17" s="463"/>
      <c r="OVJ17" s="475"/>
      <c r="OVK17" s="476"/>
      <c r="OVL17" s="476"/>
      <c r="OVM17" s="476"/>
      <c r="OVN17" s="476"/>
      <c r="OVO17" s="476"/>
      <c r="OVP17" s="476"/>
      <c r="OVQ17" s="476"/>
      <c r="OVR17" s="476"/>
      <c r="OVS17" s="476"/>
      <c r="OVT17" s="476"/>
      <c r="OVU17" s="476"/>
      <c r="OVV17" s="476"/>
      <c r="OVW17" s="477"/>
      <c r="OVX17" s="477"/>
      <c r="OVY17" s="463"/>
      <c r="OVZ17" s="475"/>
      <c r="OWA17" s="476"/>
      <c r="OWB17" s="476"/>
      <c r="OWC17" s="476"/>
      <c r="OWD17" s="476"/>
      <c r="OWE17" s="476"/>
      <c r="OWF17" s="476"/>
      <c r="OWG17" s="476"/>
      <c r="OWH17" s="476"/>
      <c r="OWI17" s="476"/>
      <c r="OWJ17" s="476"/>
      <c r="OWK17" s="476"/>
      <c r="OWL17" s="476"/>
      <c r="OWM17" s="477"/>
      <c r="OWN17" s="477"/>
      <c r="OWO17" s="463"/>
      <c r="OWP17" s="475"/>
      <c r="OWQ17" s="476"/>
      <c r="OWR17" s="476"/>
      <c r="OWS17" s="476"/>
      <c r="OWT17" s="476"/>
      <c r="OWU17" s="476"/>
      <c r="OWV17" s="476"/>
      <c r="OWW17" s="476"/>
      <c r="OWX17" s="476"/>
      <c r="OWY17" s="476"/>
      <c r="OWZ17" s="476"/>
      <c r="OXA17" s="476"/>
      <c r="OXB17" s="476"/>
      <c r="OXC17" s="477"/>
      <c r="OXD17" s="477"/>
      <c r="OXE17" s="463"/>
      <c r="OXF17" s="475"/>
      <c r="OXG17" s="476"/>
      <c r="OXH17" s="476"/>
      <c r="OXI17" s="476"/>
      <c r="OXJ17" s="476"/>
      <c r="OXK17" s="476"/>
      <c r="OXL17" s="476"/>
      <c r="OXM17" s="476"/>
      <c r="OXN17" s="476"/>
      <c r="OXO17" s="476"/>
      <c r="OXP17" s="476"/>
      <c r="OXQ17" s="476"/>
      <c r="OXR17" s="476"/>
      <c r="OXS17" s="477"/>
      <c r="OXT17" s="477"/>
      <c r="OXU17" s="463"/>
      <c r="OXV17" s="475"/>
      <c r="OXW17" s="476"/>
      <c r="OXX17" s="476"/>
      <c r="OXY17" s="476"/>
      <c r="OXZ17" s="476"/>
      <c r="OYA17" s="476"/>
      <c r="OYB17" s="476"/>
      <c r="OYC17" s="476"/>
      <c r="OYD17" s="476"/>
      <c r="OYE17" s="476"/>
      <c r="OYF17" s="476"/>
      <c r="OYG17" s="476"/>
      <c r="OYH17" s="476"/>
      <c r="OYI17" s="477"/>
      <c r="OYJ17" s="477"/>
      <c r="OYK17" s="463"/>
      <c r="OYL17" s="475"/>
      <c r="OYM17" s="476"/>
      <c r="OYN17" s="476"/>
      <c r="OYO17" s="476"/>
      <c r="OYP17" s="476"/>
      <c r="OYQ17" s="476"/>
      <c r="OYR17" s="476"/>
      <c r="OYS17" s="476"/>
      <c r="OYT17" s="476"/>
      <c r="OYU17" s="476"/>
      <c r="OYV17" s="476"/>
      <c r="OYW17" s="476"/>
      <c r="OYX17" s="476"/>
      <c r="OYY17" s="477"/>
      <c r="OYZ17" s="477"/>
      <c r="OZA17" s="463"/>
      <c r="OZB17" s="475"/>
      <c r="OZC17" s="476"/>
      <c r="OZD17" s="476"/>
      <c r="OZE17" s="476"/>
      <c r="OZF17" s="476"/>
      <c r="OZG17" s="476"/>
      <c r="OZH17" s="476"/>
      <c r="OZI17" s="476"/>
      <c r="OZJ17" s="476"/>
      <c r="OZK17" s="476"/>
      <c r="OZL17" s="476"/>
      <c r="OZM17" s="476"/>
      <c r="OZN17" s="476"/>
      <c r="OZO17" s="477"/>
      <c r="OZP17" s="477"/>
      <c r="OZQ17" s="463"/>
      <c r="OZR17" s="475"/>
      <c r="OZS17" s="476"/>
      <c r="OZT17" s="476"/>
      <c r="OZU17" s="476"/>
      <c r="OZV17" s="476"/>
      <c r="OZW17" s="476"/>
      <c r="OZX17" s="476"/>
      <c r="OZY17" s="476"/>
      <c r="OZZ17" s="476"/>
      <c r="PAA17" s="476"/>
      <c r="PAB17" s="476"/>
      <c r="PAC17" s="476"/>
      <c r="PAD17" s="476"/>
      <c r="PAE17" s="477"/>
      <c r="PAF17" s="477"/>
      <c r="PAG17" s="463"/>
      <c r="PAH17" s="475"/>
      <c r="PAI17" s="476"/>
      <c r="PAJ17" s="476"/>
      <c r="PAK17" s="476"/>
      <c r="PAL17" s="476"/>
      <c r="PAM17" s="476"/>
      <c r="PAN17" s="476"/>
      <c r="PAO17" s="476"/>
      <c r="PAP17" s="476"/>
      <c r="PAQ17" s="476"/>
      <c r="PAR17" s="476"/>
      <c r="PAS17" s="476"/>
      <c r="PAT17" s="476"/>
      <c r="PAU17" s="477"/>
      <c r="PAV17" s="477"/>
      <c r="PAW17" s="463"/>
      <c r="PAX17" s="475"/>
      <c r="PAY17" s="476"/>
      <c r="PAZ17" s="476"/>
      <c r="PBA17" s="476"/>
      <c r="PBB17" s="476"/>
      <c r="PBC17" s="476"/>
      <c r="PBD17" s="476"/>
      <c r="PBE17" s="476"/>
      <c r="PBF17" s="476"/>
      <c r="PBG17" s="476"/>
      <c r="PBH17" s="476"/>
      <c r="PBI17" s="476"/>
      <c r="PBJ17" s="476"/>
      <c r="PBK17" s="477"/>
      <c r="PBL17" s="477"/>
      <c r="PBM17" s="463"/>
      <c r="PBN17" s="475"/>
      <c r="PBO17" s="476"/>
      <c r="PBP17" s="476"/>
      <c r="PBQ17" s="476"/>
      <c r="PBR17" s="476"/>
      <c r="PBS17" s="476"/>
      <c r="PBT17" s="476"/>
      <c r="PBU17" s="476"/>
      <c r="PBV17" s="476"/>
      <c r="PBW17" s="476"/>
      <c r="PBX17" s="476"/>
      <c r="PBY17" s="476"/>
      <c r="PBZ17" s="476"/>
      <c r="PCA17" s="477"/>
      <c r="PCB17" s="477"/>
      <c r="PCC17" s="463"/>
      <c r="PCD17" s="475"/>
      <c r="PCE17" s="476"/>
      <c r="PCF17" s="476"/>
      <c r="PCG17" s="476"/>
      <c r="PCH17" s="476"/>
      <c r="PCI17" s="476"/>
      <c r="PCJ17" s="476"/>
      <c r="PCK17" s="476"/>
      <c r="PCL17" s="476"/>
      <c r="PCM17" s="476"/>
      <c r="PCN17" s="476"/>
      <c r="PCO17" s="476"/>
      <c r="PCP17" s="476"/>
      <c r="PCQ17" s="477"/>
      <c r="PCR17" s="477"/>
      <c r="PCS17" s="463"/>
      <c r="PCT17" s="475"/>
      <c r="PCU17" s="476"/>
      <c r="PCV17" s="476"/>
      <c r="PCW17" s="476"/>
      <c r="PCX17" s="476"/>
      <c r="PCY17" s="476"/>
      <c r="PCZ17" s="476"/>
      <c r="PDA17" s="476"/>
      <c r="PDB17" s="476"/>
      <c r="PDC17" s="476"/>
      <c r="PDD17" s="476"/>
      <c r="PDE17" s="476"/>
      <c r="PDF17" s="476"/>
      <c r="PDG17" s="477"/>
      <c r="PDH17" s="477"/>
      <c r="PDI17" s="463"/>
      <c r="PDJ17" s="475"/>
      <c r="PDK17" s="476"/>
      <c r="PDL17" s="476"/>
      <c r="PDM17" s="476"/>
      <c r="PDN17" s="476"/>
      <c r="PDO17" s="476"/>
      <c r="PDP17" s="476"/>
      <c r="PDQ17" s="476"/>
      <c r="PDR17" s="476"/>
      <c r="PDS17" s="476"/>
      <c r="PDT17" s="476"/>
      <c r="PDU17" s="476"/>
      <c r="PDV17" s="476"/>
      <c r="PDW17" s="477"/>
      <c r="PDX17" s="477"/>
      <c r="PDY17" s="463"/>
      <c r="PDZ17" s="475"/>
      <c r="PEA17" s="476"/>
      <c r="PEB17" s="476"/>
      <c r="PEC17" s="476"/>
      <c r="PED17" s="476"/>
      <c r="PEE17" s="476"/>
      <c r="PEF17" s="476"/>
      <c r="PEG17" s="476"/>
      <c r="PEH17" s="476"/>
      <c r="PEI17" s="476"/>
      <c r="PEJ17" s="476"/>
      <c r="PEK17" s="476"/>
      <c r="PEL17" s="476"/>
      <c r="PEM17" s="477"/>
      <c r="PEN17" s="477"/>
      <c r="PEO17" s="463"/>
      <c r="PEP17" s="475"/>
      <c r="PEQ17" s="476"/>
      <c r="PER17" s="476"/>
      <c r="PES17" s="476"/>
      <c r="PET17" s="476"/>
      <c r="PEU17" s="476"/>
      <c r="PEV17" s="476"/>
      <c r="PEW17" s="476"/>
      <c r="PEX17" s="476"/>
      <c r="PEY17" s="476"/>
      <c r="PEZ17" s="476"/>
      <c r="PFA17" s="476"/>
      <c r="PFB17" s="476"/>
      <c r="PFC17" s="477"/>
      <c r="PFD17" s="477"/>
      <c r="PFE17" s="463"/>
      <c r="PFF17" s="475"/>
      <c r="PFG17" s="476"/>
      <c r="PFH17" s="476"/>
      <c r="PFI17" s="476"/>
      <c r="PFJ17" s="476"/>
      <c r="PFK17" s="476"/>
      <c r="PFL17" s="476"/>
      <c r="PFM17" s="476"/>
      <c r="PFN17" s="476"/>
      <c r="PFO17" s="476"/>
      <c r="PFP17" s="476"/>
      <c r="PFQ17" s="476"/>
      <c r="PFR17" s="476"/>
      <c r="PFS17" s="477"/>
      <c r="PFT17" s="477"/>
      <c r="PFU17" s="463"/>
      <c r="PFV17" s="475"/>
      <c r="PFW17" s="476"/>
      <c r="PFX17" s="476"/>
      <c r="PFY17" s="476"/>
      <c r="PFZ17" s="476"/>
      <c r="PGA17" s="476"/>
      <c r="PGB17" s="476"/>
      <c r="PGC17" s="476"/>
      <c r="PGD17" s="476"/>
      <c r="PGE17" s="476"/>
      <c r="PGF17" s="476"/>
      <c r="PGG17" s="476"/>
      <c r="PGH17" s="476"/>
      <c r="PGI17" s="477"/>
      <c r="PGJ17" s="477"/>
      <c r="PGK17" s="463"/>
      <c r="PGL17" s="475"/>
      <c r="PGM17" s="476"/>
      <c r="PGN17" s="476"/>
      <c r="PGO17" s="476"/>
      <c r="PGP17" s="476"/>
      <c r="PGQ17" s="476"/>
      <c r="PGR17" s="476"/>
      <c r="PGS17" s="476"/>
      <c r="PGT17" s="476"/>
      <c r="PGU17" s="476"/>
      <c r="PGV17" s="476"/>
      <c r="PGW17" s="476"/>
      <c r="PGX17" s="476"/>
      <c r="PGY17" s="477"/>
      <c r="PGZ17" s="477"/>
      <c r="PHA17" s="463"/>
      <c r="PHB17" s="475"/>
      <c r="PHC17" s="476"/>
      <c r="PHD17" s="476"/>
      <c r="PHE17" s="476"/>
      <c r="PHF17" s="476"/>
      <c r="PHG17" s="476"/>
      <c r="PHH17" s="476"/>
      <c r="PHI17" s="476"/>
      <c r="PHJ17" s="476"/>
      <c r="PHK17" s="476"/>
      <c r="PHL17" s="476"/>
      <c r="PHM17" s="476"/>
      <c r="PHN17" s="476"/>
      <c r="PHO17" s="477"/>
      <c r="PHP17" s="477"/>
      <c r="PHQ17" s="463"/>
      <c r="PHR17" s="475"/>
      <c r="PHS17" s="476"/>
      <c r="PHT17" s="476"/>
      <c r="PHU17" s="476"/>
      <c r="PHV17" s="476"/>
      <c r="PHW17" s="476"/>
      <c r="PHX17" s="476"/>
      <c r="PHY17" s="476"/>
      <c r="PHZ17" s="476"/>
      <c r="PIA17" s="476"/>
      <c r="PIB17" s="476"/>
      <c r="PIC17" s="476"/>
      <c r="PID17" s="476"/>
      <c r="PIE17" s="477"/>
      <c r="PIF17" s="477"/>
      <c r="PIG17" s="463"/>
      <c r="PIH17" s="475"/>
      <c r="PII17" s="476"/>
      <c r="PIJ17" s="476"/>
      <c r="PIK17" s="476"/>
      <c r="PIL17" s="476"/>
      <c r="PIM17" s="476"/>
      <c r="PIN17" s="476"/>
      <c r="PIO17" s="476"/>
      <c r="PIP17" s="476"/>
      <c r="PIQ17" s="476"/>
      <c r="PIR17" s="476"/>
      <c r="PIS17" s="476"/>
      <c r="PIT17" s="476"/>
      <c r="PIU17" s="477"/>
      <c r="PIV17" s="477"/>
      <c r="PIW17" s="463"/>
      <c r="PIX17" s="475"/>
      <c r="PIY17" s="476"/>
      <c r="PIZ17" s="476"/>
      <c r="PJA17" s="476"/>
      <c r="PJB17" s="476"/>
      <c r="PJC17" s="476"/>
      <c r="PJD17" s="476"/>
      <c r="PJE17" s="476"/>
      <c r="PJF17" s="476"/>
      <c r="PJG17" s="476"/>
      <c r="PJH17" s="476"/>
      <c r="PJI17" s="476"/>
      <c r="PJJ17" s="476"/>
      <c r="PJK17" s="477"/>
      <c r="PJL17" s="477"/>
      <c r="PJM17" s="463"/>
      <c r="PJN17" s="475"/>
      <c r="PJO17" s="476"/>
      <c r="PJP17" s="476"/>
      <c r="PJQ17" s="476"/>
      <c r="PJR17" s="476"/>
      <c r="PJS17" s="476"/>
      <c r="PJT17" s="476"/>
      <c r="PJU17" s="476"/>
      <c r="PJV17" s="476"/>
      <c r="PJW17" s="476"/>
      <c r="PJX17" s="476"/>
      <c r="PJY17" s="476"/>
      <c r="PJZ17" s="476"/>
      <c r="PKA17" s="477"/>
      <c r="PKB17" s="477"/>
      <c r="PKC17" s="463"/>
      <c r="PKD17" s="475"/>
      <c r="PKE17" s="476"/>
      <c r="PKF17" s="476"/>
      <c r="PKG17" s="476"/>
      <c r="PKH17" s="476"/>
      <c r="PKI17" s="476"/>
      <c r="PKJ17" s="476"/>
      <c r="PKK17" s="476"/>
      <c r="PKL17" s="476"/>
      <c r="PKM17" s="476"/>
      <c r="PKN17" s="476"/>
      <c r="PKO17" s="476"/>
      <c r="PKP17" s="476"/>
      <c r="PKQ17" s="477"/>
      <c r="PKR17" s="477"/>
      <c r="PKS17" s="463"/>
      <c r="PKT17" s="475"/>
      <c r="PKU17" s="476"/>
      <c r="PKV17" s="476"/>
      <c r="PKW17" s="476"/>
      <c r="PKX17" s="476"/>
      <c r="PKY17" s="476"/>
      <c r="PKZ17" s="476"/>
      <c r="PLA17" s="476"/>
      <c r="PLB17" s="476"/>
      <c r="PLC17" s="476"/>
      <c r="PLD17" s="476"/>
      <c r="PLE17" s="476"/>
      <c r="PLF17" s="476"/>
      <c r="PLG17" s="477"/>
      <c r="PLH17" s="477"/>
      <c r="PLI17" s="463"/>
      <c r="PLJ17" s="475"/>
      <c r="PLK17" s="476"/>
      <c r="PLL17" s="476"/>
      <c r="PLM17" s="476"/>
      <c r="PLN17" s="476"/>
      <c r="PLO17" s="476"/>
      <c r="PLP17" s="476"/>
      <c r="PLQ17" s="476"/>
      <c r="PLR17" s="476"/>
      <c r="PLS17" s="476"/>
      <c r="PLT17" s="476"/>
      <c r="PLU17" s="476"/>
      <c r="PLV17" s="476"/>
      <c r="PLW17" s="477"/>
      <c r="PLX17" s="477"/>
      <c r="PLY17" s="463"/>
      <c r="PLZ17" s="475"/>
      <c r="PMA17" s="476"/>
      <c r="PMB17" s="476"/>
      <c r="PMC17" s="476"/>
      <c r="PMD17" s="476"/>
      <c r="PME17" s="476"/>
      <c r="PMF17" s="476"/>
      <c r="PMG17" s="476"/>
      <c r="PMH17" s="476"/>
      <c r="PMI17" s="476"/>
      <c r="PMJ17" s="476"/>
      <c r="PMK17" s="476"/>
      <c r="PML17" s="476"/>
      <c r="PMM17" s="477"/>
      <c r="PMN17" s="477"/>
      <c r="PMO17" s="463"/>
      <c r="PMP17" s="475"/>
      <c r="PMQ17" s="476"/>
      <c r="PMR17" s="476"/>
      <c r="PMS17" s="476"/>
      <c r="PMT17" s="476"/>
      <c r="PMU17" s="476"/>
      <c r="PMV17" s="476"/>
      <c r="PMW17" s="476"/>
      <c r="PMX17" s="476"/>
      <c r="PMY17" s="476"/>
      <c r="PMZ17" s="476"/>
      <c r="PNA17" s="476"/>
      <c r="PNB17" s="476"/>
      <c r="PNC17" s="477"/>
      <c r="PND17" s="477"/>
      <c r="PNE17" s="463"/>
      <c r="PNF17" s="475"/>
      <c r="PNG17" s="476"/>
      <c r="PNH17" s="476"/>
      <c r="PNI17" s="476"/>
      <c r="PNJ17" s="476"/>
      <c r="PNK17" s="476"/>
      <c r="PNL17" s="476"/>
      <c r="PNM17" s="476"/>
      <c r="PNN17" s="476"/>
      <c r="PNO17" s="476"/>
      <c r="PNP17" s="476"/>
      <c r="PNQ17" s="476"/>
      <c r="PNR17" s="476"/>
      <c r="PNS17" s="477"/>
      <c r="PNT17" s="477"/>
      <c r="PNU17" s="463"/>
      <c r="PNV17" s="475"/>
      <c r="PNW17" s="476"/>
      <c r="PNX17" s="476"/>
      <c r="PNY17" s="476"/>
      <c r="PNZ17" s="476"/>
      <c r="POA17" s="476"/>
      <c r="POB17" s="476"/>
      <c r="POC17" s="476"/>
      <c r="POD17" s="476"/>
      <c r="POE17" s="476"/>
      <c r="POF17" s="476"/>
      <c r="POG17" s="476"/>
      <c r="POH17" s="476"/>
      <c r="POI17" s="477"/>
      <c r="POJ17" s="477"/>
      <c r="POK17" s="463"/>
      <c r="POL17" s="475"/>
      <c r="POM17" s="476"/>
      <c r="PON17" s="476"/>
      <c r="POO17" s="476"/>
      <c r="POP17" s="476"/>
      <c r="POQ17" s="476"/>
      <c r="POR17" s="476"/>
      <c r="POS17" s="476"/>
      <c r="POT17" s="476"/>
      <c r="POU17" s="476"/>
      <c r="POV17" s="476"/>
      <c r="POW17" s="476"/>
      <c r="POX17" s="476"/>
      <c r="POY17" s="477"/>
      <c r="POZ17" s="477"/>
      <c r="PPA17" s="463"/>
      <c r="PPB17" s="475"/>
      <c r="PPC17" s="476"/>
      <c r="PPD17" s="476"/>
      <c r="PPE17" s="476"/>
      <c r="PPF17" s="476"/>
      <c r="PPG17" s="476"/>
      <c r="PPH17" s="476"/>
      <c r="PPI17" s="476"/>
      <c r="PPJ17" s="476"/>
      <c r="PPK17" s="476"/>
      <c r="PPL17" s="476"/>
      <c r="PPM17" s="476"/>
      <c r="PPN17" s="476"/>
      <c r="PPO17" s="477"/>
      <c r="PPP17" s="477"/>
      <c r="PPQ17" s="463"/>
      <c r="PPR17" s="475"/>
      <c r="PPS17" s="476"/>
      <c r="PPT17" s="476"/>
      <c r="PPU17" s="476"/>
      <c r="PPV17" s="476"/>
      <c r="PPW17" s="476"/>
      <c r="PPX17" s="476"/>
      <c r="PPY17" s="476"/>
      <c r="PPZ17" s="476"/>
      <c r="PQA17" s="476"/>
      <c r="PQB17" s="476"/>
      <c r="PQC17" s="476"/>
      <c r="PQD17" s="476"/>
      <c r="PQE17" s="477"/>
      <c r="PQF17" s="477"/>
      <c r="PQG17" s="463"/>
      <c r="PQH17" s="475"/>
      <c r="PQI17" s="476"/>
      <c r="PQJ17" s="476"/>
      <c r="PQK17" s="476"/>
      <c r="PQL17" s="476"/>
      <c r="PQM17" s="476"/>
      <c r="PQN17" s="476"/>
      <c r="PQO17" s="476"/>
      <c r="PQP17" s="476"/>
      <c r="PQQ17" s="476"/>
      <c r="PQR17" s="476"/>
      <c r="PQS17" s="476"/>
      <c r="PQT17" s="476"/>
      <c r="PQU17" s="477"/>
      <c r="PQV17" s="477"/>
      <c r="PQW17" s="463"/>
      <c r="PQX17" s="475"/>
      <c r="PQY17" s="476"/>
      <c r="PQZ17" s="476"/>
      <c r="PRA17" s="476"/>
      <c r="PRB17" s="476"/>
      <c r="PRC17" s="476"/>
      <c r="PRD17" s="476"/>
      <c r="PRE17" s="476"/>
      <c r="PRF17" s="476"/>
      <c r="PRG17" s="476"/>
      <c r="PRH17" s="476"/>
      <c r="PRI17" s="476"/>
      <c r="PRJ17" s="476"/>
      <c r="PRK17" s="477"/>
      <c r="PRL17" s="477"/>
      <c r="PRM17" s="463"/>
      <c r="PRN17" s="475"/>
      <c r="PRO17" s="476"/>
      <c r="PRP17" s="476"/>
      <c r="PRQ17" s="476"/>
      <c r="PRR17" s="476"/>
      <c r="PRS17" s="476"/>
      <c r="PRT17" s="476"/>
      <c r="PRU17" s="476"/>
      <c r="PRV17" s="476"/>
      <c r="PRW17" s="476"/>
      <c r="PRX17" s="476"/>
      <c r="PRY17" s="476"/>
      <c r="PRZ17" s="476"/>
      <c r="PSA17" s="477"/>
      <c r="PSB17" s="477"/>
      <c r="PSC17" s="463"/>
      <c r="PSD17" s="475"/>
      <c r="PSE17" s="476"/>
      <c r="PSF17" s="476"/>
      <c r="PSG17" s="476"/>
      <c r="PSH17" s="476"/>
      <c r="PSI17" s="476"/>
      <c r="PSJ17" s="476"/>
      <c r="PSK17" s="476"/>
      <c r="PSL17" s="476"/>
      <c r="PSM17" s="476"/>
      <c r="PSN17" s="476"/>
      <c r="PSO17" s="476"/>
      <c r="PSP17" s="476"/>
      <c r="PSQ17" s="477"/>
      <c r="PSR17" s="477"/>
      <c r="PSS17" s="463"/>
      <c r="PST17" s="475"/>
      <c r="PSU17" s="476"/>
      <c r="PSV17" s="476"/>
      <c r="PSW17" s="476"/>
      <c r="PSX17" s="476"/>
      <c r="PSY17" s="476"/>
      <c r="PSZ17" s="476"/>
      <c r="PTA17" s="476"/>
      <c r="PTB17" s="476"/>
      <c r="PTC17" s="476"/>
      <c r="PTD17" s="476"/>
      <c r="PTE17" s="476"/>
      <c r="PTF17" s="476"/>
      <c r="PTG17" s="477"/>
      <c r="PTH17" s="477"/>
      <c r="PTI17" s="463"/>
      <c r="PTJ17" s="475"/>
      <c r="PTK17" s="476"/>
      <c r="PTL17" s="476"/>
      <c r="PTM17" s="476"/>
      <c r="PTN17" s="476"/>
      <c r="PTO17" s="476"/>
      <c r="PTP17" s="476"/>
      <c r="PTQ17" s="476"/>
      <c r="PTR17" s="476"/>
      <c r="PTS17" s="476"/>
      <c r="PTT17" s="476"/>
      <c r="PTU17" s="476"/>
      <c r="PTV17" s="476"/>
      <c r="PTW17" s="477"/>
      <c r="PTX17" s="477"/>
      <c r="PTY17" s="463"/>
      <c r="PTZ17" s="475"/>
      <c r="PUA17" s="476"/>
      <c r="PUB17" s="476"/>
      <c r="PUC17" s="476"/>
      <c r="PUD17" s="476"/>
      <c r="PUE17" s="476"/>
      <c r="PUF17" s="476"/>
      <c r="PUG17" s="476"/>
      <c r="PUH17" s="476"/>
      <c r="PUI17" s="476"/>
      <c r="PUJ17" s="476"/>
      <c r="PUK17" s="476"/>
      <c r="PUL17" s="476"/>
      <c r="PUM17" s="477"/>
      <c r="PUN17" s="477"/>
      <c r="PUO17" s="463"/>
      <c r="PUP17" s="475"/>
      <c r="PUQ17" s="476"/>
      <c r="PUR17" s="476"/>
      <c r="PUS17" s="476"/>
      <c r="PUT17" s="476"/>
      <c r="PUU17" s="476"/>
      <c r="PUV17" s="476"/>
      <c r="PUW17" s="476"/>
      <c r="PUX17" s="476"/>
      <c r="PUY17" s="476"/>
      <c r="PUZ17" s="476"/>
      <c r="PVA17" s="476"/>
      <c r="PVB17" s="476"/>
      <c r="PVC17" s="477"/>
      <c r="PVD17" s="477"/>
      <c r="PVE17" s="463"/>
      <c r="PVF17" s="475"/>
      <c r="PVG17" s="476"/>
      <c r="PVH17" s="476"/>
      <c r="PVI17" s="476"/>
      <c r="PVJ17" s="476"/>
      <c r="PVK17" s="476"/>
      <c r="PVL17" s="476"/>
      <c r="PVM17" s="476"/>
      <c r="PVN17" s="476"/>
      <c r="PVO17" s="476"/>
      <c r="PVP17" s="476"/>
      <c r="PVQ17" s="476"/>
      <c r="PVR17" s="476"/>
      <c r="PVS17" s="477"/>
      <c r="PVT17" s="477"/>
      <c r="PVU17" s="463"/>
      <c r="PVV17" s="475"/>
      <c r="PVW17" s="476"/>
      <c r="PVX17" s="476"/>
      <c r="PVY17" s="476"/>
      <c r="PVZ17" s="476"/>
      <c r="PWA17" s="476"/>
      <c r="PWB17" s="476"/>
      <c r="PWC17" s="476"/>
      <c r="PWD17" s="476"/>
      <c r="PWE17" s="476"/>
      <c r="PWF17" s="476"/>
      <c r="PWG17" s="476"/>
      <c r="PWH17" s="476"/>
      <c r="PWI17" s="477"/>
      <c r="PWJ17" s="477"/>
      <c r="PWK17" s="463"/>
      <c r="PWL17" s="475"/>
      <c r="PWM17" s="476"/>
      <c r="PWN17" s="476"/>
      <c r="PWO17" s="476"/>
      <c r="PWP17" s="476"/>
      <c r="PWQ17" s="476"/>
      <c r="PWR17" s="476"/>
      <c r="PWS17" s="476"/>
      <c r="PWT17" s="476"/>
      <c r="PWU17" s="476"/>
      <c r="PWV17" s="476"/>
      <c r="PWW17" s="476"/>
      <c r="PWX17" s="476"/>
      <c r="PWY17" s="477"/>
      <c r="PWZ17" s="477"/>
      <c r="PXA17" s="463"/>
      <c r="PXB17" s="475"/>
      <c r="PXC17" s="476"/>
      <c r="PXD17" s="476"/>
      <c r="PXE17" s="476"/>
      <c r="PXF17" s="476"/>
      <c r="PXG17" s="476"/>
      <c r="PXH17" s="476"/>
      <c r="PXI17" s="476"/>
      <c r="PXJ17" s="476"/>
      <c r="PXK17" s="476"/>
      <c r="PXL17" s="476"/>
      <c r="PXM17" s="476"/>
      <c r="PXN17" s="476"/>
      <c r="PXO17" s="477"/>
      <c r="PXP17" s="477"/>
      <c r="PXQ17" s="463"/>
      <c r="PXR17" s="475"/>
      <c r="PXS17" s="476"/>
      <c r="PXT17" s="476"/>
      <c r="PXU17" s="476"/>
      <c r="PXV17" s="476"/>
      <c r="PXW17" s="476"/>
      <c r="PXX17" s="476"/>
      <c r="PXY17" s="476"/>
      <c r="PXZ17" s="476"/>
      <c r="PYA17" s="476"/>
      <c r="PYB17" s="476"/>
      <c r="PYC17" s="476"/>
      <c r="PYD17" s="476"/>
      <c r="PYE17" s="477"/>
      <c r="PYF17" s="477"/>
      <c r="PYG17" s="463"/>
      <c r="PYH17" s="475"/>
      <c r="PYI17" s="476"/>
      <c r="PYJ17" s="476"/>
      <c r="PYK17" s="476"/>
      <c r="PYL17" s="476"/>
      <c r="PYM17" s="476"/>
      <c r="PYN17" s="476"/>
      <c r="PYO17" s="476"/>
      <c r="PYP17" s="476"/>
      <c r="PYQ17" s="476"/>
      <c r="PYR17" s="476"/>
      <c r="PYS17" s="476"/>
      <c r="PYT17" s="476"/>
      <c r="PYU17" s="477"/>
      <c r="PYV17" s="477"/>
      <c r="PYW17" s="463"/>
      <c r="PYX17" s="475"/>
      <c r="PYY17" s="476"/>
      <c r="PYZ17" s="476"/>
      <c r="PZA17" s="476"/>
      <c r="PZB17" s="476"/>
      <c r="PZC17" s="476"/>
      <c r="PZD17" s="476"/>
      <c r="PZE17" s="476"/>
      <c r="PZF17" s="476"/>
      <c r="PZG17" s="476"/>
      <c r="PZH17" s="476"/>
      <c r="PZI17" s="476"/>
      <c r="PZJ17" s="476"/>
      <c r="PZK17" s="477"/>
      <c r="PZL17" s="477"/>
      <c r="PZM17" s="463"/>
      <c r="PZN17" s="475"/>
      <c r="PZO17" s="476"/>
      <c r="PZP17" s="476"/>
      <c r="PZQ17" s="476"/>
      <c r="PZR17" s="476"/>
      <c r="PZS17" s="476"/>
      <c r="PZT17" s="476"/>
      <c r="PZU17" s="476"/>
      <c r="PZV17" s="476"/>
      <c r="PZW17" s="476"/>
      <c r="PZX17" s="476"/>
      <c r="PZY17" s="476"/>
      <c r="PZZ17" s="476"/>
      <c r="QAA17" s="477"/>
      <c r="QAB17" s="477"/>
      <c r="QAC17" s="463"/>
      <c r="QAD17" s="475"/>
      <c r="QAE17" s="476"/>
      <c r="QAF17" s="476"/>
      <c r="QAG17" s="476"/>
      <c r="QAH17" s="476"/>
      <c r="QAI17" s="476"/>
      <c r="QAJ17" s="476"/>
      <c r="QAK17" s="476"/>
      <c r="QAL17" s="476"/>
      <c r="QAM17" s="476"/>
      <c r="QAN17" s="476"/>
      <c r="QAO17" s="476"/>
      <c r="QAP17" s="476"/>
      <c r="QAQ17" s="477"/>
      <c r="QAR17" s="477"/>
      <c r="QAS17" s="463"/>
      <c r="QAT17" s="475"/>
      <c r="QAU17" s="476"/>
      <c r="QAV17" s="476"/>
      <c r="QAW17" s="476"/>
      <c r="QAX17" s="476"/>
      <c r="QAY17" s="476"/>
      <c r="QAZ17" s="476"/>
      <c r="QBA17" s="476"/>
      <c r="QBB17" s="476"/>
      <c r="QBC17" s="476"/>
      <c r="QBD17" s="476"/>
      <c r="QBE17" s="476"/>
      <c r="QBF17" s="476"/>
      <c r="QBG17" s="477"/>
      <c r="QBH17" s="477"/>
      <c r="QBI17" s="463"/>
      <c r="QBJ17" s="475"/>
      <c r="QBK17" s="476"/>
      <c r="QBL17" s="476"/>
      <c r="QBM17" s="476"/>
      <c r="QBN17" s="476"/>
      <c r="QBO17" s="476"/>
      <c r="QBP17" s="476"/>
      <c r="QBQ17" s="476"/>
      <c r="QBR17" s="476"/>
      <c r="QBS17" s="476"/>
      <c r="QBT17" s="476"/>
      <c r="QBU17" s="476"/>
      <c r="QBV17" s="476"/>
      <c r="QBW17" s="477"/>
      <c r="QBX17" s="477"/>
      <c r="QBY17" s="463"/>
      <c r="QBZ17" s="475"/>
      <c r="QCA17" s="476"/>
      <c r="QCB17" s="476"/>
      <c r="QCC17" s="476"/>
      <c r="QCD17" s="476"/>
      <c r="QCE17" s="476"/>
      <c r="QCF17" s="476"/>
      <c r="QCG17" s="476"/>
      <c r="QCH17" s="476"/>
      <c r="QCI17" s="476"/>
      <c r="QCJ17" s="476"/>
      <c r="QCK17" s="476"/>
      <c r="QCL17" s="476"/>
      <c r="QCM17" s="477"/>
      <c r="QCN17" s="477"/>
      <c r="QCO17" s="463"/>
      <c r="QCP17" s="475"/>
      <c r="QCQ17" s="476"/>
      <c r="QCR17" s="476"/>
      <c r="QCS17" s="476"/>
      <c r="QCT17" s="476"/>
      <c r="QCU17" s="476"/>
      <c r="QCV17" s="476"/>
      <c r="QCW17" s="476"/>
      <c r="QCX17" s="476"/>
      <c r="QCY17" s="476"/>
      <c r="QCZ17" s="476"/>
      <c r="QDA17" s="476"/>
      <c r="QDB17" s="476"/>
      <c r="QDC17" s="477"/>
      <c r="QDD17" s="477"/>
      <c r="QDE17" s="463"/>
      <c r="QDF17" s="475"/>
      <c r="QDG17" s="476"/>
      <c r="QDH17" s="476"/>
      <c r="QDI17" s="476"/>
      <c r="QDJ17" s="476"/>
      <c r="QDK17" s="476"/>
      <c r="QDL17" s="476"/>
      <c r="QDM17" s="476"/>
      <c r="QDN17" s="476"/>
      <c r="QDO17" s="476"/>
      <c r="QDP17" s="476"/>
      <c r="QDQ17" s="476"/>
      <c r="QDR17" s="476"/>
      <c r="QDS17" s="477"/>
      <c r="QDT17" s="477"/>
      <c r="QDU17" s="463"/>
      <c r="QDV17" s="475"/>
      <c r="QDW17" s="476"/>
      <c r="QDX17" s="476"/>
      <c r="QDY17" s="476"/>
      <c r="QDZ17" s="476"/>
      <c r="QEA17" s="476"/>
      <c r="QEB17" s="476"/>
      <c r="QEC17" s="476"/>
      <c r="QED17" s="476"/>
      <c r="QEE17" s="476"/>
      <c r="QEF17" s="476"/>
      <c r="QEG17" s="476"/>
      <c r="QEH17" s="476"/>
      <c r="QEI17" s="477"/>
      <c r="QEJ17" s="477"/>
      <c r="QEK17" s="463"/>
      <c r="QEL17" s="475"/>
      <c r="QEM17" s="476"/>
      <c r="QEN17" s="476"/>
      <c r="QEO17" s="476"/>
      <c r="QEP17" s="476"/>
      <c r="QEQ17" s="476"/>
      <c r="QER17" s="476"/>
      <c r="QES17" s="476"/>
      <c r="QET17" s="476"/>
      <c r="QEU17" s="476"/>
      <c r="QEV17" s="476"/>
      <c r="QEW17" s="476"/>
      <c r="QEX17" s="476"/>
      <c r="QEY17" s="477"/>
      <c r="QEZ17" s="477"/>
      <c r="QFA17" s="463"/>
      <c r="QFB17" s="475"/>
      <c r="QFC17" s="476"/>
      <c r="QFD17" s="476"/>
      <c r="QFE17" s="476"/>
      <c r="QFF17" s="476"/>
      <c r="QFG17" s="476"/>
      <c r="QFH17" s="476"/>
      <c r="QFI17" s="476"/>
      <c r="QFJ17" s="476"/>
      <c r="QFK17" s="476"/>
      <c r="QFL17" s="476"/>
      <c r="QFM17" s="476"/>
      <c r="QFN17" s="476"/>
      <c r="QFO17" s="477"/>
      <c r="QFP17" s="477"/>
      <c r="QFQ17" s="463"/>
      <c r="QFR17" s="475"/>
      <c r="QFS17" s="476"/>
      <c r="QFT17" s="476"/>
      <c r="QFU17" s="476"/>
      <c r="QFV17" s="476"/>
      <c r="QFW17" s="476"/>
      <c r="QFX17" s="476"/>
      <c r="QFY17" s="476"/>
      <c r="QFZ17" s="476"/>
      <c r="QGA17" s="476"/>
      <c r="QGB17" s="476"/>
      <c r="QGC17" s="476"/>
      <c r="QGD17" s="476"/>
      <c r="QGE17" s="477"/>
      <c r="QGF17" s="477"/>
      <c r="QGG17" s="463"/>
      <c r="QGH17" s="475"/>
      <c r="QGI17" s="476"/>
      <c r="QGJ17" s="476"/>
      <c r="QGK17" s="476"/>
      <c r="QGL17" s="476"/>
      <c r="QGM17" s="476"/>
      <c r="QGN17" s="476"/>
      <c r="QGO17" s="476"/>
      <c r="QGP17" s="476"/>
      <c r="QGQ17" s="476"/>
      <c r="QGR17" s="476"/>
      <c r="QGS17" s="476"/>
      <c r="QGT17" s="476"/>
      <c r="QGU17" s="477"/>
      <c r="QGV17" s="477"/>
      <c r="QGW17" s="463"/>
      <c r="QGX17" s="475"/>
      <c r="QGY17" s="476"/>
      <c r="QGZ17" s="476"/>
      <c r="QHA17" s="476"/>
      <c r="QHB17" s="476"/>
      <c r="QHC17" s="476"/>
      <c r="QHD17" s="476"/>
      <c r="QHE17" s="476"/>
      <c r="QHF17" s="476"/>
      <c r="QHG17" s="476"/>
      <c r="QHH17" s="476"/>
      <c r="QHI17" s="476"/>
      <c r="QHJ17" s="476"/>
      <c r="QHK17" s="477"/>
      <c r="QHL17" s="477"/>
      <c r="QHM17" s="463"/>
      <c r="QHN17" s="475"/>
      <c r="QHO17" s="476"/>
      <c r="QHP17" s="476"/>
      <c r="QHQ17" s="476"/>
      <c r="QHR17" s="476"/>
      <c r="QHS17" s="476"/>
      <c r="QHT17" s="476"/>
      <c r="QHU17" s="476"/>
      <c r="QHV17" s="476"/>
      <c r="QHW17" s="476"/>
      <c r="QHX17" s="476"/>
      <c r="QHY17" s="476"/>
      <c r="QHZ17" s="476"/>
      <c r="QIA17" s="477"/>
      <c r="QIB17" s="477"/>
      <c r="QIC17" s="463"/>
      <c r="QID17" s="475"/>
      <c r="QIE17" s="476"/>
      <c r="QIF17" s="476"/>
      <c r="QIG17" s="476"/>
      <c r="QIH17" s="476"/>
      <c r="QII17" s="476"/>
      <c r="QIJ17" s="476"/>
      <c r="QIK17" s="476"/>
      <c r="QIL17" s="476"/>
      <c r="QIM17" s="476"/>
      <c r="QIN17" s="476"/>
      <c r="QIO17" s="476"/>
      <c r="QIP17" s="476"/>
      <c r="QIQ17" s="477"/>
      <c r="QIR17" s="477"/>
      <c r="QIS17" s="463"/>
      <c r="QIT17" s="475"/>
      <c r="QIU17" s="476"/>
      <c r="QIV17" s="476"/>
      <c r="QIW17" s="476"/>
      <c r="QIX17" s="476"/>
      <c r="QIY17" s="476"/>
      <c r="QIZ17" s="476"/>
      <c r="QJA17" s="476"/>
      <c r="QJB17" s="476"/>
      <c r="QJC17" s="476"/>
      <c r="QJD17" s="476"/>
      <c r="QJE17" s="476"/>
      <c r="QJF17" s="476"/>
      <c r="QJG17" s="477"/>
      <c r="QJH17" s="477"/>
      <c r="QJI17" s="463"/>
      <c r="QJJ17" s="475"/>
      <c r="QJK17" s="476"/>
      <c r="QJL17" s="476"/>
      <c r="QJM17" s="476"/>
      <c r="QJN17" s="476"/>
      <c r="QJO17" s="476"/>
      <c r="QJP17" s="476"/>
      <c r="QJQ17" s="476"/>
      <c r="QJR17" s="476"/>
      <c r="QJS17" s="476"/>
      <c r="QJT17" s="476"/>
      <c r="QJU17" s="476"/>
      <c r="QJV17" s="476"/>
      <c r="QJW17" s="477"/>
      <c r="QJX17" s="477"/>
      <c r="QJY17" s="463"/>
      <c r="QJZ17" s="475"/>
      <c r="QKA17" s="476"/>
      <c r="QKB17" s="476"/>
      <c r="QKC17" s="476"/>
      <c r="QKD17" s="476"/>
      <c r="QKE17" s="476"/>
      <c r="QKF17" s="476"/>
      <c r="QKG17" s="476"/>
      <c r="QKH17" s="476"/>
      <c r="QKI17" s="476"/>
      <c r="QKJ17" s="476"/>
      <c r="QKK17" s="476"/>
      <c r="QKL17" s="476"/>
      <c r="QKM17" s="477"/>
      <c r="QKN17" s="477"/>
      <c r="QKO17" s="463"/>
      <c r="QKP17" s="475"/>
      <c r="QKQ17" s="476"/>
      <c r="QKR17" s="476"/>
      <c r="QKS17" s="476"/>
      <c r="QKT17" s="476"/>
      <c r="QKU17" s="476"/>
      <c r="QKV17" s="476"/>
      <c r="QKW17" s="476"/>
      <c r="QKX17" s="476"/>
      <c r="QKY17" s="476"/>
      <c r="QKZ17" s="476"/>
      <c r="QLA17" s="476"/>
      <c r="QLB17" s="476"/>
      <c r="QLC17" s="477"/>
      <c r="QLD17" s="477"/>
      <c r="QLE17" s="463"/>
      <c r="QLF17" s="475"/>
      <c r="QLG17" s="476"/>
      <c r="QLH17" s="476"/>
      <c r="QLI17" s="476"/>
      <c r="QLJ17" s="476"/>
      <c r="QLK17" s="476"/>
      <c r="QLL17" s="476"/>
      <c r="QLM17" s="476"/>
      <c r="QLN17" s="476"/>
      <c r="QLO17" s="476"/>
      <c r="QLP17" s="476"/>
      <c r="QLQ17" s="476"/>
      <c r="QLR17" s="476"/>
      <c r="QLS17" s="477"/>
      <c r="QLT17" s="477"/>
      <c r="QLU17" s="463"/>
      <c r="QLV17" s="475"/>
      <c r="QLW17" s="476"/>
      <c r="QLX17" s="476"/>
      <c r="QLY17" s="476"/>
      <c r="QLZ17" s="476"/>
      <c r="QMA17" s="476"/>
      <c r="QMB17" s="476"/>
      <c r="QMC17" s="476"/>
      <c r="QMD17" s="476"/>
      <c r="QME17" s="476"/>
      <c r="QMF17" s="476"/>
      <c r="QMG17" s="476"/>
      <c r="QMH17" s="476"/>
      <c r="QMI17" s="477"/>
      <c r="QMJ17" s="477"/>
      <c r="QMK17" s="463"/>
      <c r="QML17" s="475"/>
      <c r="QMM17" s="476"/>
      <c r="QMN17" s="476"/>
      <c r="QMO17" s="476"/>
      <c r="QMP17" s="476"/>
      <c r="QMQ17" s="476"/>
      <c r="QMR17" s="476"/>
      <c r="QMS17" s="476"/>
      <c r="QMT17" s="476"/>
      <c r="QMU17" s="476"/>
      <c r="QMV17" s="476"/>
      <c r="QMW17" s="476"/>
      <c r="QMX17" s="476"/>
      <c r="QMY17" s="477"/>
      <c r="QMZ17" s="477"/>
      <c r="QNA17" s="463"/>
      <c r="QNB17" s="475"/>
      <c r="QNC17" s="476"/>
      <c r="QND17" s="476"/>
      <c r="QNE17" s="476"/>
      <c r="QNF17" s="476"/>
      <c r="QNG17" s="476"/>
      <c r="QNH17" s="476"/>
      <c r="QNI17" s="476"/>
      <c r="QNJ17" s="476"/>
      <c r="QNK17" s="476"/>
      <c r="QNL17" s="476"/>
      <c r="QNM17" s="476"/>
      <c r="QNN17" s="476"/>
      <c r="QNO17" s="477"/>
      <c r="QNP17" s="477"/>
      <c r="QNQ17" s="463"/>
      <c r="QNR17" s="475"/>
      <c r="QNS17" s="476"/>
      <c r="QNT17" s="476"/>
      <c r="QNU17" s="476"/>
      <c r="QNV17" s="476"/>
      <c r="QNW17" s="476"/>
      <c r="QNX17" s="476"/>
      <c r="QNY17" s="476"/>
      <c r="QNZ17" s="476"/>
      <c r="QOA17" s="476"/>
      <c r="QOB17" s="476"/>
      <c r="QOC17" s="476"/>
      <c r="QOD17" s="476"/>
      <c r="QOE17" s="477"/>
      <c r="QOF17" s="477"/>
      <c r="QOG17" s="463"/>
      <c r="QOH17" s="475"/>
      <c r="QOI17" s="476"/>
      <c r="QOJ17" s="476"/>
      <c r="QOK17" s="476"/>
      <c r="QOL17" s="476"/>
      <c r="QOM17" s="476"/>
      <c r="QON17" s="476"/>
      <c r="QOO17" s="476"/>
      <c r="QOP17" s="476"/>
      <c r="QOQ17" s="476"/>
      <c r="QOR17" s="476"/>
      <c r="QOS17" s="476"/>
      <c r="QOT17" s="476"/>
      <c r="QOU17" s="477"/>
      <c r="QOV17" s="477"/>
      <c r="QOW17" s="463"/>
      <c r="QOX17" s="475"/>
      <c r="QOY17" s="476"/>
      <c r="QOZ17" s="476"/>
      <c r="QPA17" s="476"/>
      <c r="QPB17" s="476"/>
      <c r="QPC17" s="476"/>
      <c r="QPD17" s="476"/>
      <c r="QPE17" s="476"/>
      <c r="QPF17" s="476"/>
      <c r="QPG17" s="476"/>
      <c r="QPH17" s="476"/>
      <c r="QPI17" s="476"/>
      <c r="QPJ17" s="476"/>
      <c r="QPK17" s="477"/>
      <c r="QPL17" s="477"/>
      <c r="QPM17" s="463"/>
      <c r="QPN17" s="475"/>
      <c r="QPO17" s="476"/>
      <c r="QPP17" s="476"/>
      <c r="QPQ17" s="476"/>
      <c r="QPR17" s="476"/>
      <c r="QPS17" s="476"/>
      <c r="QPT17" s="476"/>
      <c r="QPU17" s="476"/>
      <c r="QPV17" s="476"/>
      <c r="QPW17" s="476"/>
      <c r="QPX17" s="476"/>
      <c r="QPY17" s="476"/>
      <c r="QPZ17" s="476"/>
      <c r="QQA17" s="477"/>
      <c r="QQB17" s="477"/>
      <c r="QQC17" s="463"/>
      <c r="QQD17" s="475"/>
      <c r="QQE17" s="476"/>
      <c r="QQF17" s="476"/>
      <c r="QQG17" s="476"/>
      <c r="QQH17" s="476"/>
      <c r="QQI17" s="476"/>
      <c r="QQJ17" s="476"/>
      <c r="QQK17" s="476"/>
      <c r="QQL17" s="476"/>
      <c r="QQM17" s="476"/>
      <c r="QQN17" s="476"/>
      <c r="QQO17" s="476"/>
      <c r="QQP17" s="476"/>
      <c r="QQQ17" s="477"/>
      <c r="QQR17" s="477"/>
      <c r="QQS17" s="463"/>
      <c r="QQT17" s="475"/>
      <c r="QQU17" s="476"/>
      <c r="QQV17" s="476"/>
      <c r="QQW17" s="476"/>
      <c r="QQX17" s="476"/>
      <c r="QQY17" s="476"/>
      <c r="QQZ17" s="476"/>
      <c r="QRA17" s="476"/>
      <c r="QRB17" s="476"/>
      <c r="QRC17" s="476"/>
      <c r="QRD17" s="476"/>
      <c r="QRE17" s="476"/>
      <c r="QRF17" s="476"/>
      <c r="QRG17" s="477"/>
      <c r="QRH17" s="477"/>
      <c r="QRI17" s="463"/>
      <c r="QRJ17" s="475"/>
      <c r="QRK17" s="476"/>
      <c r="QRL17" s="476"/>
      <c r="QRM17" s="476"/>
      <c r="QRN17" s="476"/>
      <c r="QRO17" s="476"/>
      <c r="QRP17" s="476"/>
      <c r="QRQ17" s="476"/>
      <c r="QRR17" s="476"/>
      <c r="QRS17" s="476"/>
      <c r="QRT17" s="476"/>
      <c r="QRU17" s="476"/>
      <c r="QRV17" s="476"/>
      <c r="QRW17" s="477"/>
      <c r="QRX17" s="477"/>
      <c r="QRY17" s="463"/>
      <c r="QRZ17" s="475"/>
      <c r="QSA17" s="476"/>
      <c r="QSB17" s="476"/>
      <c r="QSC17" s="476"/>
      <c r="QSD17" s="476"/>
      <c r="QSE17" s="476"/>
      <c r="QSF17" s="476"/>
      <c r="QSG17" s="476"/>
      <c r="QSH17" s="476"/>
      <c r="QSI17" s="476"/>
      <c r="QSJ17" s="476"/>
      <c r="QSK17" s="476"/>
      <c r="QSL17" s="476"/>
      <c r="QSM17" s="477"/>
      <c r="QSN17" s="477"/>
      <c r="QSO17" s="463"/>
      <c r="QSP17" s="475"/>
      <c r="QSQ17" s="476"/>
      <c r="QSR17" s="476"/>
      <c r="QSS17" s="476"/>
      <c r="QST17" s="476"/>
      <c r="QSU17" s="476"/>
      <c r="QSV17" s="476"/>
      <c r="QSW17" s="476"/>
      <c r="QSX17" s="476"/>
      <c r="QSY17" s="476"/>
      <c r="QSZ17" s="476"/>
      <c r="QTA17" s="476"/>
      <c r="QTB17" s="476"/>
      <c r="QTC17" s="477"/>
      <c r="QTD17" s="477"/>
      <c r="QTE17" s="463"/>
      <c r="QTF17" s="475"/>
      <c r="QTG17" s="476"/>
      <c r="QTH17" s="476"/>
      <c r="QTI17" s="476"/>
      <c r="QTJ17" s="476"/>
      <c r="QTK17" s="476"/>
      <c r="QTL17" s="476"/>
      <c r="QTM17" s="476"/>
      <c r="QTN17" s="476"/>
      <c r="QTO17" s="476"/>
      <c r="QTP17" s="476"/>
      <c r="QTQ17" s="476"/>
      <c r="QTR17" s="476"/>
      <c r="QTS17" s="477"/>
      <c r="QTT17" s="477"/>
      <c r="QTU17" s="463"/>
      <c r="QTV17" s="475"/>
      <c r="QTW17" s="476"/>
      <c r="QTX17" s="476"/>
      <c r="QTY17" s="476"/>
      <c r="QTZ17" s="476"/>
      <c r="QUA17" s="476"/>
      <c r="QUB17" s="476"/>
      <c r="QUC17" s="476"/>
      <c r="QUD17" s="476"/>
      <c r="QUE17" s="476"/>
      <c r="QUF17" s="476"/>
      <c r="QUG17" s="476"/>
      <c r="QUH17" s="476"/>
      <c r="QUI17" s="477"/>
      <c r="QUJ17" s="477"/>
      <c r="QUK17" s="463"/>
      <c r="QUL17" s="475"/>
      <c r="QUM17" s="476"/>
      <c r="QUN17" s="476"/>
      <c r="QUO17" s="476"/>
      <c r="QUP17" s="476"/>
      <c r="QUQ17" s="476"/>
      <c r="QUR17" s="476"/>
      <c r="QUS17" s="476"/>
      <c r="QUT17" s="476"/>
      <c r="QUU17" s="476"/>
      <c r="QUV17" s="476"/>
      <c r="QUW17" s="476"/>
      <c r="QUX17" s="476"/>
      <c r="QUY17" s="477"/>
      <c r="QUZ17" s="477"/>
      <c r="QVA17" s="463"/>
      <c r="QVB17" s="475"/>
      <c r="QVC17" s="476"/>
      <c r="QVD17" s="476"/>
      <c r="QVE17" s="476"/>
      <c r="QVF17" s="476"/>
      <c r="QVG17" s="476"/>
      <c r="QVH17" s="476"/>
      <c r="QVI17" s="476"/>
      <c r="QVJ17" s="476"/>
      <c r="QVK17" s="476"/>
      <c r="QVL17" s="476"/>
      <c r="QVM17" s="476"/>
      <c r="QVN17" s="476"/>
      <c r="QVO17" s="477"/>
      <c r="QVP17" s="477"/>
      <c r="QVQ17" s="463"/>
      <c r="QVR17" s="475"/>
      <c r="QVS17" s="476"/>
      <c r="QVT17" s="476"/>
      <c r="QVU17" s="476"/>
      <c r="QVV17" s="476"/>
      <c r="QVW17" s="476"/>
      <c r="QVX17" s="476"/>
      <c r="QVY17" s="476"/>
      <c r="QVZ17" s="476"/>
      <c r="QWA17" s="476"/>
      <c r="QWB17" s="476"/>
      <c r="QWC17" s="476"/>
      <c r="QWD17" s="476"/>
      <c r="QWE17" s="477"/>
      <c r="QWF17" s="477"/>
      <c r="QWG17" s="463"/>
      <c r="QWH17" s="475"/>
      <c r="QWI17" s="476"/>
      <c r="QWJ17" s="476"/>
      <c r="QWK17" s="476"/>
      <c r="QWL17" s="476"/>
      <c r="QWM17" s="476"/>
      <c r="QWN17" s="476"/>
      <c r="QWO17" s="476"/>
      <c r="QWP17" s="476"/>
      <c r="QWQ17" s="476"/>
      <c r="QWR17" s="476"/>
      <c r="QWS17" s="476"/>
      <c r="QWT17" s="476"/>
      <c r="QWU17" s="477"/>
      <c r="QWV17" s="477"/>
      <c r="QWW17" s="463"/>
      <c r="QWX17" s="475"/>
      <c r="QWY17" s="476"/>
      <c r="QWZ17" s="476"/>
      <c r="QXA17" s="476"/>
      <c r="QXB17" s="476"/>
      <c r="QXC17" s="476"/>
      <c r="QXD17" s="476"/>
      <c r="QXE17" s="476"/>
      <c r="QXF17" s="476"/>
      <c r="QXG17" s="476"/>
      <c r="QXH17" s="476"/>
      <c r="QXI17" s="476"/>
      <c r="QXJ17" s="476"/>
      <c r="QXK17" s="477"/>
      <c r="QXL17" s="477"/>
      <c r="QXM17" s="463"/>
      <c r="QXN17" s="475"/>
      <c r="QXO17" s="476"/>
      <c r="QXP17" s="476"/>
      <c r="QXQ17" s="476"/>
      <c r="QXR17" s="476"/>
      <c r="QXS17" s="476"/>
      <c r="QXT17" s="476"/>
      <c r="QXU17" s="476"/>
      <c r="QXV17" s="476"/>
      <c r="QXW17" s="476"/>
      <c r="QXX17" s="476"/>
      <c r="QXY17" s="476"/>
      <c r="QXZ17" s="476"/>
      <c r="QYA17" s="477"/>
      <c r="QYB17" s="477"/>
      <c r="QYC17" s="463"/>
      <c r="QYD17" s="475"/>
      <c r="QYE17" s="476"/>
      <c r="QYF17" s="476"/>
      <c r="QYG17" s="476"/>
      <c r="QYH17" s="476"/>
      <c r="QYI17" s="476"/>
      <c r="QYJ17" s="476"/>
      <c r="QYK17" s="476"/>
      <c r="QYL17" s="476"/>
      <c r="QYM17" s="476"/>
      <c r="QYN17" s="476"/>
      <c r="QYO17" s="476"/>
      <c r="QYP17" s="476"/>
      <c r="QYQ17" s="477"/>
      <c r="QYR17" s="477"/>
      <c r="QYS17" s="463"/>
      <c r="QYT17" s="475"/>
      <c r="QYU17" s="476"/>
      <c r="QYV17" s="476"/>
      <c r="QYW17" s="476"/>
      <c r="QYX17" s="476"/>
      <c r="QYY17" s="476"/>
      <c r="QYZ17" s="476"/>
      <c r="QZA17" s="476"/>
      <c r="QZB17" s="476"/>
      <c r="QZC17" s="476"/>
      <c r="QZD17" s="476"/>
      <c r="QZE17" s="476"/>
      <c r="QZF17" s="476"/>
      <c r="QZG17" s="477"/>
      <c r="QZH17" s="477"/>
      <c r="QZI17" s="463"/>
      <c r="QZJ17" s="475"/>
      <c r="QZK17" s="476"/>
      <c r="QZL17" s="476"/>
      <c r="QZM17" s="476"/>
      <c r="QZN17" s="476"/>
      <c r="QZO17" s="476"/>
      <c r="QZP17" s="476"/>
      <c r="QZQ17" s="476"/>
      <c r="QZR17" s="476"/>
      <c r="QZS17" s="476"/>
      <c r="QZT17" s="476"/>
      <c r="QZU17" s="476"/>
      <c r="QZV17" s="476"/>
      <c r="QZW17" s="477"/>
      <c r="QZX17" s="477"/>
      <c r="QZY17" s="463"/>
      <c r="QZZ17" s="475"/>
      <c r="RAA17" s="476"/>
      <c r="RAB17" s="476"/>
      <c r="RAC17" s="476"/>
      <c r="RAD17" s="476"/>
      <c r="RAE17" s="476"/>
      <c r="RAF17" s="476"/>
      <c r="RAG17" s="476"/>
      <c r="RAH17" s="476"/>
      <c r="RAI17" s="476"/>
      <c r="RAJ17" s="476"/>
      <c r="RAK17" s="476"/>
      <c r="RAL17" s="476"/>
      <c r="RAM17" s="477"/>
      <c r="RAN17" s="477"/>
      <c r="RAO17" s="463"/>
      <c r="RAP17" s="475"/>
      <c r="RAQ17" s="476"/>
      <c r="RAR17" s="476"/>
      <c r="RAS17" s="476"/>
      <c r="RAT17" s="476"/>
      <c r="RAU17" s="476"/>
      <c r="RAV17" s="476"/>
      <c r="RAW17" s="476"/>
      <c r="RAX17" s="476"/>
      <c r="RAY17" s="476"/>
      <c r="RAZ17" s="476"/>
      <c r="RBA17" s="476"/>
      <c r="RBB17" s="476"/>
      <c r="RBC17" s="477"/>
      <c r="RBD17" s="477"/>
      <c r="RBE17" s="463"/>
      <c r="RBF17" s="475"/>
      <c r="RBG17" s="476"/>
      <c r="RBH17" s="476"/>
      <c r="RBI17" s="476"/>
      <c r="RBJ17" s="476"/>
      <c r="RBK17" s="476"/>
      <c r="RBL17" s="476"/>
      <c r="RBM17" s="476"/>
      <c r="RBN17" s="476"/>
      <c r="RBO17" s="476"/>
      <c r="RBP17" s="476"/>
      <c r="RBQ17" s="476"/>
      <c r="RBR17" s="476"/>
      <c r="RBS17" s="477"/>
      <c r="RBT17" s="477"/>
      <c r="RBU17" s="463"/>
      <c r="RBV17" s="475"/>
      <c r="RBW17" s="476"/>
      <c r="RBX17" s="476"/>
      <c r="RBY17" s="476"/>
      <c r="RBZ17" s="476"/>
      <c r="RCA17" s="476"/>
      <c r="RCB17" s="476"/>
      <c r="RCC17" s="476"/>
      <c r="RCD17" s="476"/>
      <c r="RCE17" s="476"/>
      <c r="RCF17" s="476"/>
      <c r="RCG17" s="476"/>
      <c r="RCH17" s="476"/>
      <c r="RCI17" s="477"/>
      <c r="RCJ17" s="477"/>
      <c r="RCK17" s="463"/>
      <c r="RCL17" s="475"/>
      <c r="RCM17" s="476"/>
      <c r="RCN17" s="476"/>
      <c r="RCO17" s="476"/>
      <c r="RCP17" s="476"/>
      <c r="RCQ17" s="476"/>
      <c r="RCR17" s="476"/>
      <c r="RCS17" s="476"/>
      <c r="RCT17" s="476"/>
      <c r="RCU17" s="476"/>
      <c r="RCV17" s="476"/>
      <c r="RCW17" s="476"/>
      <c r="RCX17" s="476"/>
      <c r="RCY17" s="477"/>
      <c r="RCZ17" s="477"/>
      <c r="RDA17" s="463"/>
      <c r="RDB17" s="475"/>
      <c r="RDC17" s="476"/>
      <c r="RDD17" s="476"/>
      <c r="RDE17" s="476"/>
      <c r="RDF17" s="476"/>
      <c r="RDG17" s="476"/>
      <c r="RDH17" s="476"/>
      <c r="RDI17" s="476"/>
      <c r="RDJ17" s="476"/>
      <c r="RDK17" s="476"/>
      <c r="RDL17" s="476"/>
      <c r="RDM17" s="476"/>
      <c r="RDN17" s="476"/>
      <c r="RDO17" s="477"/>
      <c r="RDP17" s="477"/>
      <c r="RDQ17" s="463"/>
      <c r="RDR17" s="475"/>
      <c r="RDS17" s="476"/>
      <c r="RDT17" s="476"/>
      <c r="RDU17" s="476"/>
      <c r="RDV17" s="476"/>
      <c r="RDW17" s="476"/>
      <c r="RDX17" s="476"/>
      <c r="RDY17" s="476"/>
      <c r="RDZ17" s="476"/>
      <c r="REA17" s="476"/>
      <c r="REB17" s="476"/>
      <c r="REC17" s="476"/>
      <c r="RED17" s="476"/>
      <c r="REE17" s="477"/>
      <c r="REF17" s="477"/>
      <c r="REG17" s="463"/>
      <c r="REH17" s="475"/>
      <c r="REI17" s="476"/>
      <c r="REJ17" s="476"/>
      <c r="REK17" s="476"/>
      <c r="REL17" s="476"/>
      <c r="REM17" s="476"/>
      <c r="REN17" s="476"/>
      <c r="REO17" s="476"/>
      <c r="REP17" s="476"/>
      <c r="REQ17" s="476"/>
      <c r="RER17" s="476"/>
      <c r="RES17" s="476"/>
      <c r="RET17" s="476"/>
      <c r="REU17" s="477"/>
      <c r="REV17" s="477"/>
      <c r="REW17" s="463"/>
      <c r="REX17" s="475"/>
      <c r="REY17" s="476"/>
      <c r="REZ17" s="476"/>
      <c r="RFA17" s="476"/>
      <c r="RFB17" s="476"/>
      <c r="RFC17" s="476"/>
      <c r="RFD17" s="476"/>
      <c r="RFE17" s="476"/>
      <c r="RFF17" s="476"/>
      <c r="RFG17" s="476"/>
      <c r="RFH17" s="476"/>
      <c r="RFI17" s="476"/>
      <c r="RFJ17" s="476"/>
      <c r="RFK17" s="477"/>
      <c r="RFL17" s="477"/>
      <c r="RFM17" s="463"/>
      <c r="RFN17" s="475"/>
      <c r="RFO17" s="476"/>
      <c r="RFP17" s="476"/>
      <c r="RFQ17" s="476"/>
      <c r="RFR17" s="476"/>
      <c r="RFS17" s="476"/>
      <c r="RFT17" s="476"/>
      <c r="RFU17" s="476"/>
      <c r="RFV17" s="476"/>
      <c r="RFW17" s="476"/>
      <c r="RFX17" s="476"/>
      <c r="RFY17" s="476"/>
      <c r="RFZ17" s="476"/>
      <c r="RGA17" s="477"/>
      <c r="RGB17" s="477"/>
      <c r="RGC17" s="463"/>
      <c r="RGD17" s="475"/>
      <c r="RGE17" s="476"/>
      <c r="RGF17" s="476"/>
      <c r="RGG17" s="476"/>
      <c r="RGH17" s="476"/>
      <c r="RGI17" s="476"/>
      <c r="RGJ17" s="476"/>
      <c r="RGK17" s="476"/>
      <c r="RGL17" s="476"/>
      <c r="RGM17" s="476"/>
      <c r="RGN17" s="476"/>
      <c r="RGO17" s="476"/>
      <c r="RGP17" s="476"/>
      <c r="RGQ17" s="477"/>
      <c r="RGR17" s="477"/>
      <c r="RGS17" s="463"/>
      <c r="RGT17" s="475"/>
      <c r="RGU17" s="476"/>
      <c r="RGV17" s="476"/>
      <c r="RGW17" s="476"/>
      <c r="RGX17" s="476"/>
      <c r="RGY17" s="476"/>
      <c r="RGZ17" s="476"/>
      <c r="RHA17" s="476"/>
      <c r="RHB17" s="476"/>
      <c r="RHC17" s="476"/>
      <c r="RHD17" s="476"/>
      <c r="RHE17" s="476"/>
      <c r="RHF17" s="476"/>
      <c r="RHG17" s="477"/>
      <c r="RHH17" s="477"/>
      <c r="RHI17" s="463"/>
      <c r="RHJ17" s="475"/>
      <c r="RHK17" s="476"/>
      <c r="RHL17" s="476"/>
      <c r="RHM17" s="476"/>
      <c r="RHN17" s="476"/>
      <c r="RHO17" s="476"/>
      <c r="RHP17" s="476"/>
      <c r="RHQ17" s="476"/>
      <c r="RHR17" s="476"/>
      <c r="RHS17" s="476"/>
      <c r="RHT17" s="476"/>
      <c r="RHU17" s="476"/>
      <c r="RHV17" s="476"/>
      <c r="RHW17" s="477"/>
      <c r="RHX17" s="477"/>
      <c r="RHY17" s="463"/>
      <c r="RHZ17" s="475"/>
      <c r="RIA17" s="476"/>
      <c r="RIB17" s="476"/>
      <c r="RIC17" s="476"/>
      <c r="RID17" s="476"/>
      <c r="RIE17" s="476"/>
      <c r="RIF17" s="476"/>
      <c r="RIG17" s="476"/>
      <c r="RIH17" s="476"/>
      <c r="RII17" s="476"/>
      <c r="RIJ17" s="476"/>
      <c r="RIK17" s="476"/>
      <c r="RIL17" s="476"/>
      <c r="RIM17" s="477"/>
      <c r="RIN17" s="477"/>
      <c r="RIO17" s="463"/>
      <c r="RIP17" s="475"/>
      <c r="RIQ17" s="476"/>
      <c r="RIR17" s="476"/>
      <c r="RIS17" s="476"/>
      <c r="RIT17" s="476"/>
      <c r="RIU17" s="476"/>
      <c r="RIV17" s="476"/>
      <c r="RIW17" s="476"/>
      <c r="RIX17" s="476"/>
      <c r="RIY17" s="476"/>
      <c r="RIZ17" s="476"/>
      <c r="RJA17" s="476"/>
      <c r="RJB17" s="476"/>
      <c r="RJC17" s="477"/>
      <c r="RJD17" s="477"/>
      <c r="RJE17" s="463"/>
      <c r="RJF17" s="475"/>
      <c r="RJG17" s="476"/>
      <c r="RJH17" s="476"/>
      <c r="RJI17" s="476"/>
      <c r="RJJ17" s="476"/>
      <c r="RJK17" s="476"/>
      <c r="RJL17" s="476"/>
      <c r="RJM17" s="476"/>
      <c r="RJN17" s="476"/>
      <c r="RJO17" s="476"/>
      <c r="RJP17" s="476"/>
      <c r="RJQ17" s="476"/>
      <c r="RJR17" s="476"/>
      <c r="RJS17" s="477"/>
      <c r="RJT17" s="477"/>
      <c r="RJU17" s="463"/>
      <c r="RJV17" s="475"/>
      <c r="RJW17" s="476"/>
      <c r="RJX17" s="476"/>
      <c r="RJY17" s="476"/>
      <c r="RJZ17" s="476"/>
      <c r="RKA17" s="476"/>
      <c r="RKB17" s="476"/>
      <c r="RKC17" s="476"/>
      <c r="RKD17" s="476"/>
      <c r="RKE17" s="476"/>
      <c r="RKF17" s="476"/>
      <c r="RKG17" s="476"/>
      <c r="RKH17" s="476"/>
      <c r="RKI17" s="477"/>
      <c r="RKJ17" s="477"/>
      <c r="RKK17" s="463"/>
      <c r="RKL17" s="475"/>
      <c r="RKM17" s="476"/>
      <c r="RKN17" s="476"/>
      <c r="RKO17" s="476"/>
      <c r="RKP17" s="476"/>
      <c r="RKQ17" s="476"/>
      <c r="RKR17" s="476"/>
      <c r="RKS17" s="476"/>
      <c r="RKT17" s="476"/>
      <c r="RKU17" s="476"/>
      <c r="RKV17" s="476"/>
      <c r="RKW17" s="476"/>
      <c r="RKX17" s="476"/>
      <c r="RKY17" s="477"/>
      <c r="RKZ17" s="477"/>
      <c r="RLA17" s="463"/>
      <c r="RLB17" s="475"/>
      <c r="RLC17" s="476"/>
      <c r="RLD17" s="476"/>
      <c r="RLE17" s="476"/>
      <c r="RLF17" s="476"/>
      <c r="RLG17" s="476"/>
      <c r="RLH17" s="476"/>
      <c r="RLI17" s="476"/>
      <c r="RLJ17" s="476"/>
      <c r="RLK17" s="476"/>
      <c r="RLL17" s="476"/>
      <c r="RLM17" s="476"/>
      <c r="RLN17" s="476"/>
      <c r="RLO17" s="477"/>
      <c r="RLP17" s="477"/>
      <c r="RLQ17" s="463"/>
      <c r="RLR17" s="475"/>
      <c r="RLS17" s="476"/>
      <c r="RLT17" s="476"/>
      <c r="RLU17" s="476"/>
      <c r="RLV17" s="476"/>
      <c r="RLW17" s="476"/>
      <c r="RLX17" s="476"/>
      <c r="RLY17" s="476"/>
      <c r="RLZ17" s="476"/>
      <c r="RMA17" s="476"/>
      <c r="RMB17" s="476"/>
      <c r="RMC17" s="476"/>
      <c r="RMD17" s="476"/>
      <c r="RME17" s="477"/>
      <c r="RMF17" s="477"/>
      <c r="RMG17" s="463"/>
      <c r="RMH17" s="475"/>
      <c r="RMI17" s="476"/>
      <c r="RMJ17" s="476"/>
      <c r="RMK17" s="476"/>
      <c r="RML17" s="476"/>
      <c r="RMM17" s="476"/>
      <c r="RMN17" s="476"/>
      <c r="RMO17" s="476"/>
      <c r="RMP17" s="476"/>
      <c r="RMQ17" s="476"/>
      <c r="RMR17" s="476"/>
      <c r="RMS17" s="476"/>
      <c r="RMT17" s="476"/>
      <c r="RMU17" s="477"/>
      <c r="RMV17" s="477"/>
      <c r="RMW17" s="463"/>
      <c r="RMX17" s="475"/>
      <c r="RMY17" s="476"/>
      <c r="RMZ17" s="476"/>
      <c r="RNA17" s="476"/>
      <c r="RNB17" s="476"/>
      <c r="RNC17" s="476"/>
      <c r="RND17" s="476"/>
      <c r="RNE17" s="476"/>
      <c r="RNF17" s="476"/>
      <c r="RNG17" s="476"/>
      <c r="RNH17" s="476"/>
      <c r="RNI17" s="476"/>
      <c r="RNJ17" s="476"/>
      <c r="RNK17" s="477"/>
      <c r="RNL17" s="477"/>
      <c r="RNM17" s="463"/>
      <c r="RNN17" s="475"/>
      <c r="RNO17" s="476"/>
      <c r="RNP17" s="476"/>
      <c r="RNQ17" s="476"/>
      <c r="RNR17" s="476"/>
      <c r="RNS17" s="476"/>
      <c r="RNT17" s="476"/>
      <c r="RNU17" s="476"/>
      <c r="RNV17" s="476"/>
      <c r="RNW17" s="476"/>
      <c r="RNX17" s="476"/>
      <c r="RNY17" s="476"/>
      <c r="RNZ17" s="476"/>
      <c r="ROA17" s="477"/>
      <c r="ROB17" s="477"/>
      <c r="ROC17" s="463"/>
      <c r="ROD17" s="475"/>
      <c r="ROE17" s="476"/>
      <c r="ROF17" s="476"/>
      <c r="ROG17" s="476"/>
      <c r="ROH17" s="476"/>
      <c r="ROI17" s="476"/>
      <c r="ROJ17" s="476"/>
      <c r="ROK17" s="476"/>
      <c r="ROL17" s="476"/>
      <c r="ROM17" s="476"/>
      <c r="RON17" s="476"/>
      <c r="ROO17" s="476"/>
      <c r="ROP17" s="476"/>
      <c r="ROQ17" s="477"/>
      <c r="ROR17" s="477"/>
      <c r="ROS17" s="463"/>
      <c r="ROT17" s="475"/>
      <c r="ROU17" s="476"/>
      <c r="ROV17" s="476"/>
      <c r="ROW17" s="476"/>
      <c r="ROX17" s="476"/>
      <c r="ROY17" s="476"/>
      <c r="ROZ17" s="476"/>
      <c r="RPA17" s="476"/>
      <c r="RPB17" s="476"/>
      <c r="RPC17" s="476"/>
      <c r="RPD17" s="476"/>
      <c r="RPE17" s="476"/>
      <c r="RPF17" s="476"/>
      <c r="RPG17" s="477"/>
      <c r="RPH17" s="477"/>
      <c r="RPI17" s="463"/>
      <c r="RPJ17" s="475"/>
      <c r="RPK17" s="476"/>
      <c r="RPL17" s="476"/>
      <c r="RPM17" s="476"/>
      <c r="RPN17" s="476"/>
      <c r="RPO17" s="476"/>
      <c r="RPP17" s="476"/>
      <c r="RPQ17" s="476"/>
      <c r="RPR17" s="476"/>
      <c r="RPS17" s="476"/>
      <c r="RPT17" s="476"/>
      <c r="RPU17" s="476"/>
      <c r="RPV17" s="476"/>
      <c r="RPW17" s="477"/>
      <c r="RPX17" s="477"/>
      <c r="RPY17" s="463"/>
      <c r="RPZ17" s="475"/>
      <c r="RQA17" s="476"/>
      <c r="RQB17" s="476"/>
      <c r="RQC17" s="476"/>
      <c r="RQD17" s="476"/>
      <c r="RQE17" s="476"/>
      <c r="RQF17" s="476"/>
      <c r="RQG17" s="476"/>
      <c r="RQH17" s="476"/>
      <c r="RQI17" s="476"/>
      <c r="RQJ17" s="476"/>
      <c r="RQK17" s="476"/>
      <c r="RQL17" s="476"/>
      <c r="RQM17" s="477"/>
      <c r="RQN17" s="477"/>
      <c r="RQO17" s="463"/>
      <c r="RQP17" s="475"/>
      <c r="RQQ17" s="476"/>
      <c r="RQR17" s="476"/>
      <c r="RQS17" s="476"/>
      <c r="RQT17" s="476"/>
      <c r="RQU17" s="476"/>
      <c r="RQV17" s="476"/>
      <c r="RQW17" s="476"/>
      <c r="RQX17" s="476"/>
      <c r="RQY17" s="476"/>
      <c r="RQZ17" s="476"/>
      <c r="RRA17" s="476"/>
      <c r="RRB17" s="476"/>
      <c r="RRC17" s="477"/>
      <c r="RRD17" s="477"/>
      <c r="RRE17" s="463"/>
      <c r="RRF17" s="475"/>
      <c r="RRG17" s="476"/>
      <c r="RRH17" s="476"/>
      <c r="RRI17" s="476"/>
      <c r="RRJ17" s="476"/>
      <c r="RRK17" s="476"/>
      <c r="RRL17" s="476"/>
      <c r="RRM17" s="476"/>
      <c r="RRN17" s="476"/>
      <c r="RRO17" s="476"/>
      <c r="RRP17" s="476"/>
      <c r="RRQ17" s="476"/>
      <c r="RRR17" s="476"/>
      <c r="RRS17" s="477"/>
      <c r="RRT17" s="477"/>
      <c r="RRU17" s="463"/>
      <c r="RRV17" s="475"/>
      <c r="RRW17" s="476"/>
      <c r="RRX17" s="476"/>
      <c r="RRY17" s="476"/>
      <c r="RRZ17" s="476"/>
      <c r="RSA17" s="476"/>
      <c r="RSB17" s="476"/>
      <c r="RSC17" s="476"/>
      <c r="RSD17" s="476"/>
      <c r="RSE17" s="476"/>
      <c r="RSF17" s="476"/>
      <c r="RSG17" s="476"/>
      <c r="RSH17" s="476"/>
      <c r="RSI17" s="477"/>
      <c r="RSJ17" s="477"/>
      <c r="RSK17" s="463"/>
      <c r="RSL17" s="475"/>
      <c r="RSM17" s="476"/>
      <c r="RSN17" s="476"/>
      <c r="RSO17" s="476"/>
      <c r="RSP17" s="476"/>
      <c r="RSQ17" s="476"/>
      <c r="RSR17" s="476"/>
      <c r="RSS17" s="476"/>
      <c r="RST17" s="476"/>
      <c r="RSU17" s="476"/>
      <c r="RSV17" s="476"/>
      <c r="RSW17" s="476"/>
      <c r="RSX17" s="476"/>
      <c r="RSY17" s="477"/>
      <c r="RSZ17" s="477"/>
      <c r="RTA17" s="463"/>
      <c r="RTB17" s="475"/>
      <c r="RTC17" s="476"/>
      <c r="RTD17" s="476"/>
      <c r="RTE17" s="476"/>
      <c r="RTF17" s="476"/>
      <c r="RTG17" s="476"/>
      <c r="RTH17" s="476"/>
      <c r="RTI17" s="476"/>
      <c r="RTJ17" s="476"/>
      <c r="RTK17" s="476"/>
      <c r="RTL17" s="476"/>
      <c r="RTM17" s="476"/>
      <c r="RTN17" s="476"/>
      <c r="RTO17" s="477"/>
      <c r="RTP17" s="477"/>
      <c r="RTQ17" s="463"/>
      <c r="RTR17" s="475"/>
      <c r="RTS17" s="476"/>
      <c r="RTT17" s="476"/>
      <c r="RTU17" s="476"/>
      <c r="RTV17" s="476"/>
      <c r="RTW17" s="476"/>
      <c r="RTX17" s="476"/>
      <c r="RTY17" s="476"/>
      <c r="RTZ17" s="476"/>
      <c r="RUA17" s="476"/>
      <c r="RUB17" s="476"/>
      <c r="RUC17" s="476"/>
      <c r="RUD17" s="476"/>
      <c r="RUE17" s="477"/>
      <c r="RUF17" s="477"/>
      <c r="RUG17" s="463"/>
      <c r="RUH17" s="475"/>
      <c r="RUI17" s="476"/>
      <c r="RUJ17" s="476"/>
      <c r="RUK17" s="476"/>
      <c r="RUL17" s="476"/>
      <c r="RUM17" s="476"/>
      <c r="RUN17" s="476"/>
      <c r="RUO17" s="476"/>
      <c r="RUP17" s="476"/>
      <c r="RUQ17" s="476"/>
      <c r="RUR17" s="476"/>
      <c r="RUS17" s="476"/>
      <c r="RUT17" s="476"/>
      <c r="RUU17" s="477"/>
      <c r="RUV17" s="477"/>
      <c r="RUW17" s="463"/>
      <c r="RUX17" s="475"/>
      <c r="RUY17" s="476"/>
      <c r="RUZ17" s="476"/>
      <c r="RVA17" s="476"/>
      <c r="RVB17" s="476"/>
      <c r="RVC17" s="476"/>
      <c r="RVD17" s="476"/>
      <c r="RVE17" s="476"/>
      <c r="RVF17" s="476"/>
      <c r="RVG17" s="476"/>
      <c r="RVH17" s="476"/>
      <c r="RVI17" s="476"/>
      <c r="RVJ17" s="476"/>
      <c r="RVK17" s="477"/>
      <c r="RVL17" s="477"/>
      <c r="RVM17" s="463"/>
      <c r="RVN17" s="475"/>
      <c r="RVO17" s="476"/>
      <c r="RVP17" s="476"/>
      <c r="RVQ17" s="476"/>
      <c r="RVR17" s="476"/>
      <c r="RVS17" s="476"/>
      <c r="RVT17" s="476"/>
      <c r="RVU17" s="476"/>
      <c r="RVV17" s="476"/>
      <c r="RVW17" s="476"/>
      <c r="RVX17" s="476"/>
      <c r="RVY17" s="476"/>
      <c r="RVZ17" s="476"/>
      <c r="RWA17" s="477"/>
      <c r="RWB17" s="477"/>
      <c r="RWC17" s="463"/>
      <c r="RWD17" s="475"/>
      <c r="RWE17" s="476"/>
      <c r="RWF17" s="476"/>
      <c r="RWG17" s="476"/>
      <c r="RWH17" s="476"/>
      <c r="RWI17" s="476"/>
      <c r="RWJ17" s="476"/>
      <c r="RWK17" s="476"/>
      <c r="RWL17" s="476"/>
      <c r="RWM17" s="476"/>
      <c r="RWN17" s="476"/>
      <c r="RWO17" s="476"/>
      <c r="RWP17" s="476"/>
      <c r="RWQ17" s="477"/>
      <c r="RWR17" s="477"/>
      <c r="RWS17" s="463"/>
      <c r="RWT17" s="475"/>
      <c r="RWU17" s="476"/>
      <c r="RWV17" s="476"/>
      <c r="RWW17" s="476"/>
      <c r="RWX17" s="476"/>
      <c r="RWY17" s="476"/>
      <c r="RWZ17" s="476"/>
      <c r="RXA17" s="476"/>
      <c r="RXB17" s="476"/>
      <c r="RXC17" s="476"/>
      <c r="RXD17" s="476"/>
      <c r="RXE17" s="476"/>
      <c r="RXF17" s="476"/>
      <c r="RXG17" s="477"/>
      <c r="RXH17" s="477"/>
      <c r="RXI17" s="463"/>
      <c r="RXJ17" s="475"/>
      <c r="RXK17" s="476"/>
      <c r="RXL17" s="476"/>
      <c r="RXM17" s="476"/>
      <c r="RXN17" s="476"/>
      <c r="RXO17" s="476"/>
      <c r="RXP17" s="476"/>
      <c r="RXQ17" s="476"/>
      <c r="RXR17" s="476"/>
      <c r="RXS17" s="476"/>
      <c r="RXT17" s="476"/>
      <c r="RXU17" s="476"/>
      <c r="RXV17" s="476"/>
      <c r="RXW17" s="477"/>
      <c r="RXX17" s="477"/>
      <c r="RXY17" s="463"/>
      <c r="RXZ17" s="475"/>
      <c r="RYA17" s="476"/>
      <c r="RYB17" s="476"/>
      <c r="RYC17" s="476"/>
      <c r="RYD17" s="476"/>
      <c r="RYE17" s="476"/>
      <c r="RYF17" s="476"/>
      <c r="RYG17" s="476"/>
      <c r="RYH17" s="476"/>
      <c r="RYI17" s="476"/>
      <c r="RYJ17" s="476"/>
      <c r="RYK17" s="476"/>
      <c r="RYL17" s="476"/>
      <c r="RYM17" s="477"/>
      <c r="RYN17" s="477"/>
      <c r="RYO17" s="463"/>
      <c r="RYP17" s="475"/>
      <c r="RYQ17" s="476"/>
      <c r="RYR17" s="476"/>
      <c r="RYS17" s="476"/>
      <c r="RYT17" s="476"/>
      <c r="RYU17" s="476"/>
      <c r="RYV17" s="476"/>
      <c r="RYW17" s="476"/>
      <c r="RYX17" s="476"/>
      <c r="RYY17" s="476"/>
      <c r="RYZ17" s="476"/>
      <c r="RZA17" s="476"/>
      <c r="RZB17" s="476"/>
      <c r="RZC17" s="477"/>
      <c r="RZD17" s="477"/>
      <c r="RZE17" s="463"/>
      <c r="RZF17" s="475"/>
      <c r="RZG17" s="476"/>
      <c r="RZH17" s="476"/>
      <c r="RZI17" s="476"/>
      <c r="RZJ17" s="476"/>
      <c r="RZK17" s="476"/>
      <c r="RZL17" s="476"/>
      <c r="RZM17" s="476"/>
      <c r="RZN17" s="476"/>
      <c r="RZO17" s="476"/>
      <c r="RZP17" s="476"/>
      <c r="RZQ17" s="476"/>
      <c r="RZR17" s="476"/>
      <c r="RZS17" s="477"/>
      <c r="RZT17" s="477"/>
      <c r="RZU17" s="463"/>
      <c r="RZV17" s="475"/>
      <c r="RZW17" s="476"/>
      <c r="RZX17" s="476"/>
      <c r="RZY17" s="476"/>
      <c r="RZZ17" s="476"/>
      <c r="SAA17" s="476"/>
      <c r="SAB17" s="476"/>
      <c r="SAC17" s="476"/>
      <c r="SAD17" s="476"/>
      <c r="SAE17" s="476"/>
      <c r="SAF17" s="476"/>
      <c r="SAG17" s="476"/>
      <c r="SAH17" s="476"/>
      <c r="SAI17" s="477"/>
      <c r="SAJ17" s="477"/>
      <c r="SAK17" s="463"/>
      <c r="SAL17" s="475"/>
      <c r="SAM17" s="476"/>
      <c r="SAN17" s="476"/>
      <c r="SAO17" s="476"/>
      <c r="SAP17" s="476"/>
      <c r="SAQ17" s="476"/>
      <c r="SAR17" s="476"/>
      <c r="SAS17" s="476"/>
      <c r="SAT17" s="476"/>
      <c r="SAU17" s="476"/>
      <c r="SAV17" s="476"/>
      <c r="SAW17" s="476"/>
      <c r="SAX17" s="476"/>
      <c r="SAY17" s="477"/>
      <c r="SAZ17" s="477"/>
      <c r="SBA17" s="463"/>
      <c r="SBB17" s="475"/>
      <c r="SBC17" s="476"/>
      <c r="SBD17" s="476"/>
      <c r="SBE17" s="476"/>
      <c r="SBF17" s="476"/>
      <c r="SBG17" s="476"/>
      <c r="SBH17" s="476"/>
      <c r="SBI17" s="476"/>
      <c r="SBJ17" s="476"/>
      <c r="SBK17" s="476"/>
      <c r="SBL17" s="476"/>
      <c r="SBM17" s="476"/>
      <c r="SBN17" s="476"/>
      <c r="SBO17" s="477"/>
      <c r="SBP17" s="477"/>
      <c r="SBQ17" s="463"/>
      <c r="SBR17" s="475"/>
      <c r="SBS17" s="476"/>
      <c r="SBT17" s="476"/>
      <c r="SBU17" s="476"/>
      <c r="SBV17" s="476"/>
      <c r="SBW17" s="476"/>
      <c r="SBX17" s="476"/>
      <c r="SBY17" s="476"/>
      <c r="SBZ17" s="476"/>
      <c r="SCA17" s="476"/>
      <c r="SCB17" s="476"/>
      <c r="SCC17" s="476"/>
      <c r="SCD17" s="476"/>
      <c r="SCE17" s="477"/>
      <c r="SCF17" s="477"/>
      <c r="SCG17" s="463"/>
      <c r="SCH17" s="475"/>
      <c r="SCI17" s="476"/>
      <c r="SCJ17" s="476"/>
      <c r="SCK17" s="476"/>
      <c r="SCL17" s="476"/>
      <c r="SCM17" s="476"/>
      <c r="SCN17" s="476"/>
      <c r="SCO17" s="476"/>
      <c r="SCP17" s="476"/>
      <c r="SCQ17" s="476"/>
      <c r="SCR17" s="476"/>
      <c r="SCS17" s="476"/>
      <c r="SCT17" s="476"/>
      <c r="SCU17" s="477"/>
      <c r="SCV17" s="477"/>
      <c r="SCW17" s="463"/>
      <c r="SCX17" s="475"/>
      <c r="SCY17" s="476"/>
      <c r="SCZ17" s="476"/>
      <c r="SDA17" s="476"/>
      <c r="SDB17" s="476"/>
      <c r="SDC17" s="476"/>
      <c r="SDD17" s="476"/>
      <c r="SDE17" s="476"/>
      <c r="SDF17" s="476"/>
      <c r="SDG17" s="476"/>
      <c r="SDH17" s="476"/>
      <c r="SDI17" s="476"/>
      <c r="SDJ17" s="476"/>
      <c r="SDK17" s="477"/>
      <c r="SDL17" s="477"/>
      <c r="SDM17" s="463"/>
      <c r="SDN17" s="475"/>
      <c r="SDO17" s="476"/>
      <c r="SDP17" s="476"/>
      <c r="SDQ17" s="476"/>
      <c r="SDR17" s="476"/>
      <c r="SDS17" s="476"/>
      <c r="SDT17" s="476"/>
      <c r="SDU17" s="476"/>
      <c r="SDV17" s="476"/>
      <c r="SDW17" s="476"/>
      <c r="SDX17" s="476"/>
      <c r="SDY17" s="476"/>
      <c r="SDZ17" s="476"/>
      <c r="SEA17" s="477"/>
      <c r="SEB17" s="477"/>
      <c r="SEC17" s="463"/>
      <c r="SED17" s="475"/>
      <c r="SEE17" s="476"/>
      <c r="SEF17" s="476"/>
      <c r="SEG17" s="476"/>
      <c r="SEH17" s="476"/>
      <c r="SEI17" s="476"/>
      <c r="SEJ17" s="476"/>
      <c r="SEK17" s="476"/>
      <c r="SEL17" s="476"/>
      <c r="SEM17" s="476"/>
      <c r="SEN17" s="476"/>
      <c r="SEO17" s="476"/>
      <c r="SEP17" s="476"/>
      <c r="SEQ17" s="477"/>
      <c r="SER17" s="477"/>
      <c r="SES17" s="463"/>
      <c r="SET17" s="475"/>
      <c r="SEU17" s="476"/>
      <c r="SEV17" s="476"/>
      <c r="SEW17" s="476"/>
      <c r="SEX17" s="476"/>
      <c r="SEY17" s="476"/>
      <c r="SEZ17" s="476"/>
      <c r="SFA17" s="476"/>
      <c r="SFB17" s="476"/>
      <c r="SFC17" s="476"/>
      <c r="SFD17" s="476"/>
      <c r="SFE17" s="476"/>
      <c r="SFF17" s="476"/>
      <c r="SFG17" s="477"/>
      <c r="SFH17" s="477"/>
      <c r="SFI17" s="463"/>
      <c r="SFJ17" s="475"/>
      <c r="SFK17" s="476"/>
      <c r="SFL17" s="476"/>
      <c r="SFM17" s="476"/>
      <c r="SFN17" s="476"/>
      <c r="SFO17" s="476"/>
      <c r="SFP17" s="476"/>
      <c r="SFQ17" s="476"/>
      <c r="SFR17" s="476"/>
      <c r="SFS17" s="476"/>
      <c r="SFT17" s="476"/>
      <c r="SFU17" s="476"/>
      <c r="SFV17" s="476"/>
      <c r="SFW17" s="477"/>
      <c r="SFX17" s="477"/>
      <c r="SFY17" s="463"/>
      <c r="SFZ17" s="475"/>
      <c r="SGA17" s="476"/>
      <c r="SGB17" s="476"/>
      <c r="SGC17" s="476"/>
      <c r="SGD17" s="476"/>
      <c r="SGE17" s="476"/>
      <c r="SGF17" s="476"/>
      <c r="SGG17" s="476"/>
      <c r="SGH17" s="476"/>
      <c r="SGI17" s="476"/>
      <c r="SGJ17" s="476"/>
      <c r="SGK17" s="476"/>
      <c r="SGL17" s="476"/>
      <c r="SGM17" s="477"/>
      <c r="SGN17" s="477"/>
      <c r="SGO17" s="463"/>
      <c r="SGP17" s="475"/>
      <c r="SGQ17" s="476"/>
      <c r="SGR17" s="476"/>
      <c r="SGS17" s="476"/>
      <c r="SGT17" s="476"/>
      <c r="SGU17" s="476"/>
      <c r="SGV17" s="476"/>
      <c r="SGW17" s="476"/>
      <c r="SGX17" s="476"/>
      <c r="SGY17" s="476"/>
      <c r="SGZ17" s="476"/>
      <c r="SHA17" s="476"/>
      <c r="SHB17" s="476"/>
      <c r="SHC17" s="477"/>
      <c r="SHD17" s="477"/>
      <c r="SHE17" s="463"/>
      <c r="SHF17" s="475"/>
      <c r="SHG17" s="476"/>
      <c r="SHH17" s="476"/>
      <c r="SHI17" s="476"/>
      <c r="SHJ17" s="476"/>
      <c r="SHK17" s="476"/>
      <c r="SHL17" s="476"/>
      <c r="SHM17" s="476"/>
      <c r="SHN17" s="476"/>
      <c r="SHO17" s="476"/>
      <c r="SHP17" s="476"/>
      <c r="SHQ17" s="476"/>
      <c r="SHR17" s="476"/>
      <c r="SHS17" s="477"/>
      <c r="SHT17" s="477"/>
      <c r="SHU17" s="463"/>
      <c r="SHV17" s="475"/>
      <c r="SHW17" s="476"/>
      <c r="SHX17" s="476"/>
      <c r="SHY17" s="476"/>
      <c r="SHZ17" s="476"/>
      <c r="SIA17" s="476"/>
      <c r="SIB17" s="476"/>
      <c r="SIC17" s="476"/>
      <c r="SID17" s="476"/>
      <c r="SIE17" s="476"/>
      <c r="SIF17" s="476"/>
      <c r="SIG17" s="476"/>
      <c r="SIH17" s="476"/>
      <c r="SII17" s="477"/>
      <c r="SIJ17" s="477"/>
      <c r="SIK17" s="463"/>
      <c r="SIL17" s="475"/>
      <c r="SIM17" s="476"/>
      <c r="SIN17" s="476"/>
      <c r="SIO17" s="476"/>
      <c r="SIP17" s="476"/>
      <c r="SIQ17" s="476"/>
      <c r="SIR17" s="476"/>
      <c r="SIS17" s="476"/>
      <c r="SIT17" s="476"/>
      <c r="SIU17" s="476"/>
      <c r="SIV17" s="476"/>
      <c r="SIW17" s="476"/>
      <c r="SIX17" s="476"/>
      <c r="SIY17" s="477"/>
      <c r="SIZ17" s="477"/>
      <c r="SJA17" s="463"/>
      <c r="SJB17" s="475"/>
      <c r="SJC17" s="476"/>
      <c r="SJD17" s="476"/>
      <c r="SJE17" s="476"/>
      <c r="SJF17" s="476"/>
      <c r="SJG17" s="476"/>
      <c r="SJH17" s="476"/>
      <c r="SJI17" s="476"/>
      <c r="SJJ17" s="476"/>
      <c r="SJK17" s="476"/>
      <c r="SJL17" s="476"/>
      <c r="SJM17" s="476"/>
      <c r="SJN17" s="476"/>
      <c r="SJO17" s="477"/>
      <c r="SJP17" s="477"/>
      <c r="SJQ17" s="463"/>
      <c r="SJR17" s="475"/>
      <c r="SJS17" s="476"/>
      <c r="SJT17" s="476"/>
      <c r="SJU17" s="476"/>
      <c r="SJV17" s="476"/>
      <c r="SJW17" s="476"/>
      <c r="SJX17" s="476"/>
      <c r="SJY17" s="476"/>
      <c r="SJZ17" s="476"/>
      <c r="SKA17" s="476"/>
      <c r="SKB17" s="476"/>
      <c r="SKC17" s="476"/>
      <c r="SKD17" s="476"/>
      <c r="SKE17" s="477"/>
      <c r="SKF17" s="477"/>
      <c r="SKG17" s="463"/>
      <c r="SKH17" s="475"/>
      <c r="SKI17" s="476"/>
      <c r="SKJ17" s="476"/>
      <c r="SKK17" s="476"/>
      <c r="SKL17" s="476"/>
      <c r="SKM17" s="476"/>
      <c r="SKN17" s="476"/>
      <c r="SKO17" s="476"/>
      <c r="SKP17" s="476"/>
      <c r="SKQ17" s="476"/>
      <c r="SKR17" s="476"/>
      <c r="SKS17" s="476"/>
      <c r="SKT17" s="476"/>
      <c r="SKU17" s="477"/>
      <c r="SKV17" s="477"/>
      <c r="SKW17" s="463"/>
      <c r="SKX17" s="475"/>
      <c r="SKY17" s="476"/>
      <c r="SKZ17" s="476"/>
      <c r="SLA17" s="476"/>
      <c r="SLB17" s="476"/>
      <c r="SLC17" s="476"/>
      <c r="SLD17" s="476"/>
      <c r="SLE17" s="476"/>
      <c r="SLF17" s="476"/>
      <c r="SLG17" s="476"/>
      <c r="SLH17" s="476"/>
      <c r="SLI17" s="476"/>
      <c r="SLJ17" s="476"/>
      <c r="SLK17" s="477"/>
      <c r="SLL17" s="477"/>
      <c r="SLM17" s="463"/>
      <c r="SLN17" s="475"/>
      <c r="SLO17" s="476"/>
      <c r="SLP17" s="476"/>
      <c r="SLQ17" s="476"/>
      <c r="SLR17" s="476"/>
      <c r="SLS17" s="476"/>
      <c r="SLT17" s="476"/>
      <c r="SLU17" s="476"/>
      <c r="SLV17" s="476"/>
      <c r="SLW17" s="476"/>
      <c r="SLX17" s="476"/>
      <c r="SLY17" s="476"/>
      <c r="SLZ17" s="476"/>
      <c r="SMA17" s="477"/>
      <c r="SMB17" s="477"/>
      <c r="SMC17" s="463"/>
      <c r="SMD17" s="475"/>
      <c r="SME17" s="476"/>
      <c r="SMF17" s="476"/>
      <c r="SMG17" s="476"/>
      <c r="SMH17" s="476"/>
      <c r="SMI17" s="476"/>
      <c r="SMJ17" s="476"/>
      <c r="SMK17" s="476"/>
      <c r="SML17" s="476"/>
      <c r="SMM17" s="476"/>
      <c r="SMN17" s="476"/>
      <c r="SMO17" s="476"/>
      <c r="SMP17" s="476"/>
      <c r="SMQ17" s="477"/>
      <c r="SMR17" s="477"/>
      <c r="SMS17" s="463"/>
      <c r="SMT17" s="475"/>
      <c r="SMU17" s="476"/>
      <c r="SMV17" s="476"/>
      <c r="SMW17" s="476"/>
      <c r="SMX17" s="476"/>
      <c r="SMY17" s="476"/>
      <c r="SMZ17" s="476"/>
      <c r="SNA17" s="476"/>
      <c r="SNB17" s="476"/>
      <c r="SNC17" s="476"/>
      <c r="SND17" s="476"/>
      <c r="SNE17" s="476"/>
      <c r="SNF17" s="476"/>
      <c r="SNG17" s="477"/>
      <c r="SNH17" s="477"/>
      <c r="SNI17" s="463"/>
      <c r="SNJ17" s="475"/>
      <c r="SNK17" s="476"/>
      <c r="SNL17" s="476"/>
      <c r="SNM17" s="476"/>
      <c r="SNN17" s="476"/>
      <c r="SNO17" s="476"/>
      <c r="SNP17" s="476"/>
      <c r="SNQ17" s="476"/>
      <c r="SNR17" s="476"/>
      <c r="SNS17" s="476"/>
      <c r="SNT17" s="476"/>
      <c r="SNU17" s="476"/>
      <c r="SNV17" s="476"/>
      <c r="SNW17" s="477"/>
      <c r="SNX17" s="477"/>
      <c r="SNY17" s="463"/>
      <c r="SNZ17" s="475"/>
      <c r="SOA17" s="476"/>
      <c r="SOB17" s="476"/>
      <c r="SOC17" s="476"/>
      <c r="SOD17" s="476"/>
      <c r="SOE17" s="476"/>
      <c r="SOF17" s="476"/>
      <c r="SOG17" s="476"/>
      <c r="SOH17" s="476"/>
      <c r="SOI17" s="476"/>
      <c r="SOJ17" s="476"/>
      <c r="SOK17" s="476"/>
      <c r="SOL17" s="476"/>
      <c r="SOM17" s="477"/>
      <c r="SON17" s="477"/>
      <c r="SOO17" s="463"/>
      <c r="SOP17" s="475"/>
      <c r="SOQ17" s="476"/>
      <c r="SOR17" s="476"/>
      <c r="SOS17" s="476"/>
      <c r="SOT17" s="476"/>
      <c r="SOU17" s="476"/>
      <c r="SOV17" s="476"/>
      <c r="SOW17" s="476"/>
      <c r="SOX17" s="476"/>
      <c r="SOY17" s="476"/>
      <c r="SOZ17" s="476"/>
      <c r="SPA17" s="476"/>
      <c r="SPB17" s="476"/>
      <c r="SPC17" s="477"/>
      <c r="SPD17" s="477"/>
      <c r="SPE17" s="463"/>
      <c r="SPF17" s="475"/>
      <c r="SPG17" s="476"/>
      <c r="SPH17" s="476"/>
      <c r="SPI17" s="476"/>
      <c r="SPJ17" s="476"/>
      <c r="SPK17" s="476"/>
      <c r="SPL17" s="476"/>
      <c r="SPM17" s="476"/>
      <c r="SPN17" s="476"/>
      <c r="SPO17" s="476"/>
      <c r="SPP17" s="476"/>
      <c r="SPQ17" s="476"/>
      <c r="SPR17" s="476"/>
      <c r="SPS17" s="477"/>
      <c r="SPT17" s="477"/>
      <c r="SPU17" s="463"/>
      <c r="SPV17" s="475"/>
      <c r="SPW17" s="476"/>
      <c r="SPX17" s="476"/>
      <c r="SPY17" s="476"/>
      <c r="SPZ17" s="476"/>
      <c r="SQA17" s="476"/>
      <c r="SQB17" s="476"/>
      <c r="SQC17" s="476"/>
      <c r="SQD17" s="476"/>
      <c r="SQE17" s="476"/>
      <c r="SQF17" s="476"/>
      <c r="SQG17" s="476"/>
      <c r="SQH17" s="476"/>
      <c r="SQI17" s="477"/>
      <c r="SQJ17" s="477"/>
      <c r="SQK17" s="463"/>
      <c r="SQL17" s="475"/>
      <c r="SQM17" s="476"/>
      <c r="SQN17" s="476"/>
      <c r="SQO17" s="476"/>
      <c r="SQP17" s="476"/>
      <c r="SQQ17" s="476"/>
      <c r="SQR17" s="476"/>
      <c r="SQS17" s="476"/>
      <c r="SQT17" s="476"/>
      <c r="SQU17" s="476"/>
      <c r="SQV17" s="476"/>
      <c r="SQW17" s="476"/>
      <c r="SQX17" s="476"/>
      <c r="SQY17" s="477"/>
      <c r="SQZ17" s="477"/>
      <c r="SRA17" s="463"/>
      <c r="SRB17" s="475"/>
      <c r="SRC17" s="476"/>
      <c r="SRD17" s="476"/>
      <c r="SRE17" s="476"/>
      <c r="SRF17" s="476"/>
      <c r="SRG17" s="476"/>
      <c r="SRH17" s="476"/>
      <c r="SRI17" s="476"/>
      <c r="SRJ17" s="476"/>
      <c r="SRK17" s="476"/>
      <c r="SRL17" s="476"/>
      <c r="SRM17" s="476"/>
      <c r="SRN17" s="476"/>
      <c r="SRO17" s="477"/>
      <c r="SRP17" s="477"/>
      <c r="SRQ17" s="463"/>
      <c r="SRR17" s="475"/>
      <c r="SRS17" s="476"/>
      <c r="SRT17" s="476"/>
      <c r="SRU17" s="476"/>
      <c r="SRV17" s="476"/>
      <c r="SRW17" s="476"/>
      <c r="SRX17" s="476"/>
      <c r="SRY17" s="476"/>
      <c r="SRZ17" s="476"/>
      <c r="SSA17" s="476"/>
      <c r="SSB17" s="476"/>
      <c r="SSC17" s="476"/>
      <c r="SSD17" s="476"/>
      <c r="SSE17" s="477"/>
      <c r="SSF17" s="477"/>
      <c r="SSG17" s="463"/>
      <c r="SSH17" s="475"/>
      <c r="SSI17" s="476"/>
      <c r="SSJ17" s="476"/>
      <c r="SSK17" s="476"/>
      <c r="SSL17" s="476"/>
      <c r="SSM17" s="476"/>
      <c r="SSN17" s="476"/>
      <c r="SSO17" s="476"/>
      <c r="SSP17" s="476"/>
      <c r="SSQ17" s="476"/>
      <c r="SSR17" s="476"/>
      <c r="SSS17" s="476"/>
      <c r="SST17" s="476"/>
      <c r="SSU17" s="477"/>
      <c r="SSV17" s="477"/>
      <c r="SSW17" s="463"/>
      <c r="SSX17" s="475"/>
      <c r="SSY17" s="476"/>
      <c r="SSZ17" s="476"/>
      <c r="STA17" s="476"/>
      <c r="STB17" s="476"/>
      <c r="STC17" s="476"/>
      <c r="STD17" s="476"/>
      <c r="STE17" s="476"/>
      <c r="STF17" s="476"/>
      <c r="STG17" s="476"/>
      <c r="STH17" s="476"/>
      <c r="STI17" s="476"/>
      <c r="STJ17" s="476"/>
      <c r="STK17" s="477"/>
      <c r="STL17" s="477"/>
      <c r="STM17" s="463"/>
      <c r="STN17" s="475"/>
      <c r="STO17" s="476"/>
      <c r="STP17" s="476"/>
      <c r="STQ17" s="476"/>
      <c r="STR17" s="476"/>
      <c r="STS17" s="476"/>
      <c r="STT17" s="476"/>
      <c r="STU17" s="476"/>
      <c r="STV17" s="476"/>
      <c r="STW17" s="476"/>
      <c r="STX17" s="476"/>
      <c r="STY17" s="476"/>
      <c r="STZ17" s="476"/>
      <c r="SUA17" s="477"/>
      <c r="SUB17" s="477"/>
      <c r="SUC17" s="463"/>
      <c r="SUD17" s="475"/>
      <c r="SUE17" s="476"/>
      <c r="SUF17" s="476"/>
      <c r="SUG17" s="476"/>
      <c r="SUH17" s="476"/>
      <c r="SUI17" s="476"/>
      <c r="SUJ17" s="476"/>
      <c r="SUK17" s="476"/>
      <c r="SUL17" s="476"/>
      <c r="SUM17" s="476"/>
      <c r="SUN17" s="476"/>
      <c r="SUO17" s="476"/>
      <c r="SUP17" s="476"/>
      <c r="SUQ17" s="477"/>
      <c r="SUR17" s="477"/>
      <c r="SUS17" s="463"/>
      <c r="SUT17" s="475"/>
      <c r="SUU17" s="476"/>
      <c r="SUV17" s="476"/>
      <c r="SUW17" s="476"/>
      <c r="SUX17" s="476"/>
      <c r="SUY17" s="476"/>
      <c r="SUZ17" s="476"/>
      <c r="SVA17" s="476"/>
      <c r="SVB17" s="476"/>
      <c r="SVC17" s="476"/>
      <c r="SVD17" s="476"/>
      <c r="SVE17" s="476"/>
      <c r="SVF17" s="476"/>
      <c r="SVG17" s="477"/>
      <c r="SVH17" s="477"/>
      <c r="SVI17" s="463"/>
      <c r="SVJ17" s="475"/>
      <c r="SVK17" s="476"/>
      <c r="SVL17" s="476"/>
      <c r="SVM17" s="476"/>
      <c r="SVN17" s="476"/>
      <c r="SVO17" s="476"/>
      <c r="SVP17" s="476"/>
      <c r="SVQ17" s="476"/>
      <c r="SVR17" s="476"/>
      <c r="SVS17" s="476"/>
      <c r="SVT17" s="476"/>
      <c r="SVU17" s="476"/>
      <c r="SVV17" s="476"/>
      <c r="SVW17" s="477"/>
      <c r="SVX17" s="477"/>
      <c r="SVY17" s="463"/>
      <c r="SVZ17" s="475"/>
      <c r="SWA17" s="476"/>
      <c r="SWB17" s="476"/>
      <c r="SWC17" s="476"/>
      <c r="SWD17" s="476"/>
      <c r="SWE17" s="476"/>
      <c r="SWF17" s="476"/>
      <c r="SWG17" s="476"/>
      <c r="SWH17" s="476"/>
      <c r="SWI17" s="476"/>
      <c r="SWJ17" s="476"/>
      <c r="SWK17" s="476"/>
      <c r="SWL17" s="476"/>
      <c r="SWM17" s="477"/>
      <c r="SWN17" s="477"/>
      <c r="SWO17" s="463"/>
      <c r="SWP17" s="475"/>
      <c r="SWQ17" s="476"/>
      <c r="SWR17" s="476"/>
      <c r="SWS17" s="476"/>
      <c r="SWT17" s="476"/>
      <c r="SWU17" s="476"/>
      <c r="SWV17" s="476"/>
      <c r="SWW17" s="476"/>
      <c r="SWX17" s="476"/>
      <c r="SWY17" s="476"/>
      <c r="SWZ17" s="476"/>
      <c r="SXA17" s="476"/>
      <c r="SXB17" s="476"/>
      <c r="SXC17" s="477"/>
      <c r="SXD17" s="477"/>
      <c r="SXE17" s="463"/>
      <c r="SXF17" s="475"/>
      <c r="SXG17" s="476"/>
      <c r="SXH17" s="476"/>
      <c r="SXI17" s="476"/>
      <c r="SXJ17" s="476"/>
      <c r="SXK17" s="476"/>
      <c r="SXL17" s="476"/>
      <c r="SXM17" s="476"/>
      <c r="SXN17" s="476"/>
      <c r="SXO17" s="476"/>
      <c r="SXP17" s="476"/>
      <c r="SXQ17" s="476"/>
      <c r="SXR17" s="476"/>
      <c r="SXS17" s="477"/>
      <c r="SXT17" s="477"/>
      <c r="SXU17" s="463"/>
      <c r="SXV17" s="475"/>
      <c r="SXW17" s="476"/>
      <c r="SXX17" s="476"/>
      <c r="SXY17" s="476"/>
      <c r="SXZ17" s="476"/>
      <c r="SYA17" s="476"/>
      <c r="SYB17" s="476"/>
      <c r="SYC17" s="476"/>
      <c r="SYD17" s="476"/>
      <c r="SYE17" s="476"/>
      <c r="SYF17" s="476"/>
      <c r="SYG17" s="476"/>
      <c r="SYH17" s="476"/>
      <c r="SYI17" s="477"/>
      <c r="SYJ17" s="477"/>
      <c r="SYK17" s="463"/>
      <c r="SYL17" s="475"/>
      <c r="SYM17" s="476"/>
      <c r="SYN17" s="476"/>
      <c r="SYO17" s="476"/>
      <c r="SYP17" s="476"/>
      <c r="SYQ17" s="476"/>
      <c r="SYR17" s="476"/>
      <c r="SYS17" s="476"/>
      <c r="SYT17" s="476"/>
      <c r="SYU17" s="476"/>
      <c r="SYV17" s="476"/>
      <c r="SYW17" s="476"/>
      <c r="SYX17" s="476"/>
      <c r="SYY17" s="477"/>
      <c r="SYZ17" s="477"/>
      <c r="SZA17" s="463"/>
      <c r="SZB17" s="475"/>
      <c r="SZC17" s="476"/>
      <c r="SZD17" s="476"/>
      <c r="SZE17" s="476"/>
      <c r="SZF17" s="476"/>
      <c r="SZG17" s="476"/>
      <c r="SZH17" s="476"/>
      <c r="SZI17" s="476"/>
      <c r="SZJ17" s="476"/>
      <c r="SZK17" s="476"/>
      <c r="SZL17" s="476"/>
      <c r="SZM17" s="476"/>
      <c r="SZN17" s="476"/>
      <c r="SZO17" s="477"/>
      <c r="SZP17" s="477"/>
      <c r="SZQ17" s="463"/>
      <c r="SZR17" s="475"/>
      <c r="SZS17" s="476"/>
      <c r="SZT17" s="476"/>
      <c r="SZU17" s="476"/>
      <c r="SZV17" s="476"/>
      <c r="SZW17" s="476"/>
      <c r="SZX17" s="476"/>
      <c r="SZY17" s="476"/>
      <c r="SZZ17" s="476"/>
      <c r="TAA17" s="476"/>
      <c r="TAB17" s="476"/>
      <c r="TAC17" s="476"/>
      <c r="TAD17" s="476"/>
      <c r="TAE17" s="477"/>
      <c r="TAF17" s="477"/>
      <c r="TAG17" s="463"/>
      <c r="TAH17" s="475"/>
      <c r="TAI17" s="476"/>
      <c r="TAJ17" s="476"/>
      <c r="TAK17" s="476"/>
      <c r="TAL17" s="476"/>
      <c r="TAM17" s="476"/>
      <c r="TAN17" s="476"/>
      <c r="TAO17" s="476"/>
      <c r="TAP17" s="476"/>
      <c r="TAQ17" s="476"/>
      <c r="TAR17" s="476"/>
      <c r="TAS17" s="476"/>
      <c r="TAT17" s="476"/>
      <c r="TAU17" s="477"/>
      <c r="TAV17" s="477"/>
      <c r="TAW17" s="463"/>
      <c r="TAX17" s="475"/>
      <c r="TAY17" s="476"/>
      <c r="TAZ17" s="476"/>
      <c r="TBA17" s="476"/>
      <c r="TBB17" s="476"/>
      <c r="TBC17" s="476"/>
      <c r="TBD17" s="476"/>
      <c r="TBE17" s="476"/>
      <c r="TBF17" s="476"/>
      <c r="TBG17" s="476"/>
      <c r="TBH17" s="476"/>
      <c r="TBI17" s="476"/>
      <c r="TBJ17" s="476"/>
      <c r="TBK17" s="477"/>
      <c r="TBL17" s="477"/>
      <c r="TBM17" s="463"/>
      <c r="TBN17" s="475"/>
      <c r="TBO17" s="476"/>
      <c r="TBP17" s="476"/>
      <c r="TBQ17" s="476"/>
      <c r="TBR17" s="476"/>
      <c r="TBS17" s="476"/>
      <c r="TBT17" s="476"/>
      <c r="TBU17" s="476"/>
      <c r="TBV17" s="476"/>
      <c r="TBW17" s="476"/>
      <c r="TBX17" s="476"/>
      <c r="TBY17" s="476"/>
      <c r="TBZ17" s="476"/>
      <c r="TCA17" s="477"/>
      <c r="TCB17" s="477"/>
      <c r="TCC17" s="463"/>
      <c r="TCD17" s="475"/>
      <c r="TCE17" s="476"/>
      <c r="TCF17" s="476"/>
      <c r="TCG17" s="476"/>
      <c r="TCH17" s="476"/>
      <c r="TCI17" s="476"/>
      <c r="TCJ17" s="476"/>
      <c r="TCK17" s="476"/>
      <c r="TCL17" s="476"/>
      <c r="TCM17" s="476"/>
      <c r="TCN17" s="476"/>
      <c r="TCO17" s="476"/>
      <c r="TCP17" s="476"/>
      <c r="TCQ17" s="477"/>
      <c r="TCR17" s="477"/>
      <c r="TCS17" s="463"/>
      <c r="TCT17" s="475"/>
      <c r="TCU17" s="476"/>
      <c r="TCV17" s="476"/>
      <c r="TCW17" s="476"/>
      <c r="TCX17" s="476"/>
      <c r="TCY17" s="476"/>
      <c r="TCZ17" s="476"/>
      <c r="TDA17" s="476"/>
      <c r="TDB17" s="476"/>
      <c r="TDC17" s="476"/>
      <c r="TDD17" s="476"/>
      <c r="TDE17" s="476"/>
      <c r="TDF17" s="476"/>
      <c r="TDG17" s="477"/>
      <c r="TDH17" s="477"/>
      <c r="TDI17" s="463"/>
      <c r="TDJ17" s="475"/>
      <c r="TDK17" s="476"/>
      <c r="TDL17" s="476"/>
      <c r="TDM17" s="476"/>
      <c r="TDN17" s="476"/>
      <c r="TDO17" s="476"/>
      <c r="TDP17" s="476"/>
      <c r="TDQ17" s="476"/>
      <c r="TDR17" s="476"/>
      <c r="TDS17" s="476"/>
      <c r="TDT17" s="476"/>
      <c r="TDU17" s="476"/>
      <c r="TDV17" s="476"/>
      <c r="TDW17" s="477"/>
      <c r="TDX17" s="477"/>
      <c r="TDY17" s="463"/>
      <c r="TDZ17" s="475"/>
      <c r="TEA17" s="476"/>
      <c r="TEB17" s="476"/>
      <c r="TEC17" s="476"/>
      <c r="TED17" s="476"/>
      <c r="TEE17" s="476"/>
      <c r="TEF17" s="476"/>
      <c r="TEG17" s="476"/>
      <c r="TEH17" s="476"/>
      <c r="TEI17" s="476"/>
      <c r="TEJ17" s="476"/>
      <c r="TEK17" s="476"/>
      <c r="TEL17" s="476"/>
      <c r="TEM17" s="477"/>
      <c r="TEN17" s="477"/>
      <c r="TEO17" s="463"/>
      <c r="TEP17" s="475"/>
      <c r="TEQ17" s="476"/>
      <c r="TER17" s="476"/>
      <c r="TES17" s="476"/>
      <c r="TET17" s="476"/>
      <c r="TEU17" s="476"/>
      <c r="TEV17" s="476"/>
      <c r="TEW17" s="476"/>
      <c r="TEX17" s="476"/>
      <c r="TEY17" s="476"/>
      <c r="TEZ17" s="476"/>
      <c r="TFA17" s="476"/>
      <c r="TFB17" s="476"/>
      <c r="TFC17" s="477"/>
      <c r="TFD17" s="477"/>
      <c r="TFE17" s="463"/>
      <c r="TFF17" s="475"/>
      <c r="TFG17" s="476"/>
      <c r="TFH17" s="476"/>
      <c r="TFI17" s="476"/>
      <c r="TFJ17" s="476"/>
      <c r="TFK17" s="476"/>
      <c r="TFL17" s="476"/>
      <c r="TFM17" s="476"/>
      <c r="TFN17" s="476"/>
      <c r="TFO17" s="476"/>
      <c r="TFP17" s="476"/>
      <c r="TFQ17" s="476"/>
      <c r="TFR17" s="476"/>
      <c r="TFS17" s="477"/>
      <c r="TFT17" s="477"/>
      <c r="TFU17" s="463"/>
      <c r="TFV17" s="475"/>
      <c r="TFW17" s="476"/>
      <c r="TFX17" s="476"/>
      <c r="TFY17" s="476"/>
      <c r="TFZ17" s="476"/>
      <c r="TGA17" s="476"/>
      <c r="TGB17" s="476"/>
      <c r="TGC17" s="476"/>
      <c r="TGD17" s="476"/>
      <c r="TGE17" s="476"/>
      <c r="TGF17" s="476"/>
      <c r="TGG17" s="476"/>
      <c r="TGH17" s="476"/>
      <c r="TGI17" s="477"/>
      <c r="TGJ17" s="477"/>
      <c r="TGK17" s="463"/>
      <c r="TGL17" s="475"/>
      <c r="TGM17" s="476"/>
      <c r="TGN17" s="476"/>
      <c r="TGO17" s="476"/>
      <c r="TGP17" s="476"/>
      <c r="TGQ17" s="476"/>
      <c r="TGR17" s="476"/>
      <c r="TGS17" s="476"/>
      <c r="TGT17" s="476"/>
      <c r="TGU17" s="476"/>
      <c r="TGV17" s="476"/>
      <c r="TGW17" s="476"/>
      <c r="TGX17" s="476"/>
      <c r="TGY17" s="477"/>
      <c r="TGZ17" s="477"/>
      <c r="THA17" s="463"/>
      <c r="THB17" s="475"/>
      <c r="THC17" s="476"/>
      <c r="THD17" s="476"/>
      <c r="THE17" s="476"/>
      <c r="THF17" s="476"/>
      <c r="THG17" s="476"/>
      <c r="THH17" s="476"/>
      <c r="THI17" s="476"/>
      <c r="THJ17" s="476"/>
      <c r="THK17" s="476"/>
      <c r="THL17" s="476"/>
      <c r="THM17" s="476"/>
      <c r="THN17" s="476"/>
      <c r="THO17" s="477"/>
      <c r="THP17" s="477"/>
      <c r="THQ17" s="463"/>
      <c r="THR17" s="475"/>
      <c r="THS17" s="476"/>
      <c r="THT17" s="476"/>
      <c r="THU17" s="476"/>
      <c r="THV17" s="476"/>
      <c r="THW17" s="476"/>
      <c r="THX17" s="476"/>
      <c r="THY17" s="476"/>
      <c r="THZ17" s="476"/>
      <c r="TIA17" s="476"/>
      <c r="TIB17" s="476"/>
      <c r="TIC17" s="476"/>
      <c r="TID17" s="476"/>
      <c r="TIE17" s="477"/>
      <c r="TIF17" s="477"/>
      <c r="TIG17" s="463"/>
      <c r="TIH17" s="475"/>
      <c r="TII17" s="476"/>
      <c r="TIJ17" s="476"/>
      <c r="TIK17" s="476"/>
      <c r="TIL17" s="476"/>
      <c r="TIM17" s="476"/>
      <c r="TIN17" s="476"/>
      <c r="TIO17" s="476"/>
      <c r="TIP17" s="476"/>
      <c r="TIQ17" s="476"/>
      <c r="TIR17" s="476"/>
      <c r="TIS17" s="476"/>
      <c r="TIT17" s="476"/>
      <c r="TIU17" s="477"/>
      <c r="TIV17" s="477"/>
      <c r="TIW17" s="463"/>
      <c r="TIX17" s="475"/>
      <c r="TIY17" s="476"/>
      <c r="TIZ17" s="476"/>
      <c r="TJA17" s="476"/>
      <c r="TJB17" s="476"/>
      <c r="TJC17" s="476"/>
      <c r="TJD17" s="476"/>
      <c r="TJE17" s="476"/>
      <c r="TJF17" s="476"/>
      <c r="TJG17" s="476"/>
      <c r="TJH17" s="476"/>
      <c r="TJI17" s="476"/>
      <c r="TJJ17" s="476"/>
      <c r="TJK17" s="477"/>
      <c r="TJL17" s="477"/>
      <c r="TJM17" s="463"/>
      <c r="TJN17" s="475"/>
      <c r="TJO17" s="476"/>
      <c r="TJP17" s="476"/>
      <c r="TJQ17" s="476"/>
      <c r="TJR17" s="476"/>
      <c r="TJS17" s="476"/>
      <c r="TJT17" s="476"/>
      <c r="TJU17" s="476"/>
      <c r="TJV17" s="476"/>
      <c r="TJW17" s="476"/>
      <c r="TJX17" s="476"/>
      <c r="TJY17" s="476"/>
      <c r="TJZ17" s="476"/>
      <c r="TKA17" s="477"/>
      <c r="TKB17" s="477"/>
      <c r="TKC17" s="463"/>
      <c r="TKD17" s="475"/>
      <c r="TKE17" s="476"/>
      <c r="TKF17" s="476"/>
      <c r="TKG17" s="476"/>
      <c r="TKH17" s="476"/>
      <c r="TKI17" s="476"/>
      <c r="TKJ17" s="476"/>
      <c r="TKK17" s="476"/>
      <c r="TKL17" s="476"/>
      <c r="TKM17" s="476"/>
      <c r="TKN17" s="476"/>
      <c r="TKO17" s="476"/>
      <c r="TKP17" s="476"/>
      <c r="TKQ17" s="477"/>
      <c r="TKR17" s="477"/>
      <c r="TKS17" s="463"/>
      <c r="TKT17" s="475"/>
      <c r="TKU17" s="476"/>
      <c r="TKV17" s="476"/>
      <c r="TKW17" s="476"/>
      <c r="TKX17" s="476"/>
      <c r="TKY17" s="476"/>
      <c r="TKZ17" s="476"/>
      <c r="TLA17" s="476"/>
      <c r="TLB17" s="476"/>
      <c r="TLC17" s="476"/>
      <c r="TLD17" s="476"/>
      <c r="TLE17" s="476"/>
      <c r="TLF17" s="476"/>
      <c r="TLG17" s="477"/>
      <c r="TLH17" s="477"/>
      <c r="TLI17" s="463"/>
      <c r="TLJ17" s="475"/>
      <c r="TLK17" s="476"/>
      <c r="TLL17" s="476"/>
      <c r="TLM17" s="476"/>
      <c r="TLN17" s="476"/>
      <c r="TLO17" s="476"/>
      <c r="TLP17" s="476"/>
      <c r="TLQ17" s="476"/>
      <c r="TLR17" s="476"/>
      <c r="TLS17" s="476"/>
      <c r="TLT17" s="476"/>
      <c r="TLU17" s="476"/>
      <c r="TLV17" s="476"/>
      <c r="TLW17" s="477"/>
      <c r="TLX17" s="477"/>
      <c r="TLY17" s="463"/>
      <c r="TLZ17" s="475"/>
      <c r="TMA17" s="476"/>
      <c r="TMB17" s="476"/>
      <c r="TMC17" s="476"/>
      <c r="TMD17" s="476"/>
      <c r="TME17" s="476"/>
      <c r="TMF17" s="476"/>
      <c r="TMG17" s="476"/>
      <c r="TMH17" s="476"/>
      <c r="TMI17" s="476"/>
      <c r="TMJ17" s="476"/>
      <c r="TMK17" s="476"/>
      <c r="TML17" s="476"/>
      <c r="TMM17" s="477"/>
      <c r="TMN17" s="477"/>
      <c r="TMO17" s="463"/>
      <c r="TMP17" s="475"/>
      <c r="TMQ17" s="476"/>
      <c r="TMR17" s="476"/>
      <c r="TMS17" s="476"/>
      <c r="TMT17" s="476"/>
      <c r="TMU17" s="476"/>
      <c r="TMV17" s="476"/>
      <c r="TMW17" s="476"/>
      <c r="TMX17" s="476"/>
      <c r="TMY17" s="476"/>
      <c r="TMZ17" s="476"/>
      <c r="TNA17" s="476"/>
      <c r="TNB17" s="476"/>
      <c r="TNC17" s="477"/>
      <c r="TND17" s="477"/>
      <c r="TNE17" s="463"/>
      <c r="TNF17" s="475"/>
      <c r="TNG17" s="476"/>
      <c r="TNH17" s="476"/>
      <c r="TNI17" s="476"/>
      <c r="TNJ17" s="476"/>
      <c r="TNK17" s="476"/>
      <c r="TNL17" s="476"/>
      <c r="TNM17" s="476"/>
      <c r="TNN17" s="476"/>
      <c r="TNO17" s="476"/>
      <c r="TNP17" s="476"/>
      <c r="TNQ17" s="476"/>
      <c r="TNR17" s="476"/>
      <c r="TNS17" s="477"/>
      <c r="TNT17" s="477"/>
      <c r="TNU17" s="463"/>
      <c r="TNV17" s="475"/>
      <c r="TNW17" s="476"/>
      <c r="TNX17" s="476"/>
      <c r="TNY17" s="476"/>
      <c r="TNZ17" s="476"/>
      <c r="TOA17" s="476"/>
      <c r="TOB17" s="476"/>
      <c r="TOC17" s="476"/>
      <c r="TOD17" s="476"/>
      <c r="TOE17" s="476"/>
      <c r="TOF17" s="476"/>
      <c r="TOG17" s="476"/>
      <c r="TOH17" s="476"/>
      <c r="TOI17" s="477"/>
      <c r="TOJ17" s="477"/>
      <c r="TOK17" s="463"/>
      <c r="TOL17" s="475"/>
      <c r="TOM17" s="476"/>
      <c r="TON17" s="476"/>
      <c r="TOO17" s="476"/>
      <c r="TOP17" s="476"/>
      <c r="TOQ17" s="476"/>
      <c r="TOR17" s="476"/>
      <c r="TOS17" s="476"/>
      <c r="TOT17" s="476"/>
      <c r="TOU17" s="476"/>
      <c r="TOV17" s="476"/>
      <c r="TOW17" s="476"/>
      <c r="TOX17" s="476"/>
      <c r="TOY17" s="477"/>
      <c r="TOZ17" s="477"/>
      <c r="TPA17" s="463"/>
      <c r="TPB17" s="475"/>
      <c r="TPC17" s="476"/>
      <c r="TPD17" s="476"/>
      <c r="TPE17" s="476"/>
      <c r="TPF17" s="476"/>
      <c r="TPG17" s="476"/>
      <c r="TPH17" s="476"/>
      <c r="TPI17" s="476"/>
      <c r="TPJ17" s="476"/>
      <c r="TPK17" s="476"/>
      <c r="TPL17" s="476"/>
      <c r="TPM17" s="476"/>
      <c r="TPN17" s="476"/>
      <c r="TPO17" s="477"/>
      <c r="TPP17" s="477"/>
      <c r="TPQ17" s="463"/>
      <c r="TPR17" s="475"/>
      <c r="TPS17" s="476"/>
      <c r="TPT17" s="476"/>
      <c r="TPU17" s="476"/>
      <c r="TPV17" s="476"/>
      <c r="TPW17" s="476"/>
      <c r="TPX17" s="476"/>
      <c r="TPY17" s="476"/>
      <c r="TPZ17" s="476"/>
      <c r="TQA17" s="476"/>
      <c r="TQB17" s="476"/>
      <c r="TQC17" s="476"/>
      <c r="TQD17" s="476"/>
      <c r="TQE17" s="477"/>
      <c r="TQF17" s="477"/>
      <c r="TQG17" s="463"/>
      <c r="TQH17" s="475"/>
      <c r="TQI17" s="476"/>
      <c r="TQJ17" s="476"/>
      <c r="TQK17" s="476"/>
      <c r="TQL17" s="476"/>
      <c r="TQM17" s="476"/>
      <c r="TQN17" s="476"/>
      <c r="TQO17" s="476"/>
      <c r="TQP17" s="476"/>
      <c r="TQQ17" s="476"/>
      <c r="TQR17" s="476"/>
      <c r="TQS17" s="476"/>
      <c r="TQT17" s="476"/>
      <c r="TQU17" s="477"/>
      <c r="TQV17" s="477"/>
      <c r="TQW17" s="463"/>
      <c r="TQX17" s="475"/>
      <c r="TQY17" s="476"/>
      <c r="TQZ17" s="476"/>
      <c r="TRA17" s="476"/>
      <c r="TRB17" s="476"/>
      <c r="TRC17" s="476"/>
      <c r="TRD17" s="476"/>
      <c r="TRE17" s="476"/>
      <c r="TRF17" s="476"/>
      <c r="TRG17" s="476"/>
      <c r="TRH17" s="476"/>
      <c r="TRI17" s="476"/>
      <c r="TRJ17" s="476"/>
      <c r="TRK17" s="477"/>
      <c r="TRL17" s="477"/>
      <c r="TRM17" s="463"/>
      <c r="TRN17" s="475"/>
      <c r="TRO17" s="476"/>
      <c r="TRP17" s="476"/>
      <c r="TRQ17" s="476"/>
      <c r="TRR17" s="476"/>
      <c r="TRS17" s="476"/>
      <c r="TRT17" s="476"/>
      <c r="TRU17" s="476"/>
      <c r="TRV17" s="476"/>
      <c r="TRW17" s="476"/>
      <c r="TRX17" s="476"/>
      <c r="TRY17" s="476"/>
      <c r="TRZ17" s="476"/>
      <c r="TSA17" s="477"/>
      <c r="TSB17" s="477"/>
      <c r="TSC17" s="463"/>
      <c r="TSD17" s="475"/>
      <c r="TSE17" s="476"/>
      <c r="TSF17" s="476"/>
      <c r="TSG17" s="476"/>
      <c r="TSH17" s="476"/>
      <c r="TSI17" s="476"/>
      <c r="TSJ17" s="476"/>
      <c r="TSK17" s="476"/>
      <c r="TSL17" s="476"/>
      <c r="TSM17" s="476"/>
      <c r="TSN17" s="476"/>
      <c r="TSO17" s="476"/>
      <c r="TSP17" s="476"/>
      <c r="TSQ17" s="477"/>
      <c r="TSR17" s="477"/>
      <c r="TSS17" s="463"/>
      <c r="TST17" s="475"/>
      <c r="TSU17" s="476"/>
      <c r="TSV17" s="476"/>
      <c r="TSW17" s="476"/>
      <c r="TSX17" s="476"/>
      <c r="TSY17" s="476"/>
      <c r="TSZ17" s="476"/>
      <c r="TTA17" s="476"/>
      <c r="TTB17" s="476"/>
      <c r="TTC17" s="476"/>
      <c r="TTD17" s="476"/>
      <c r="TTE17" s="476"/>
      <c r="TTF17" s="476"/>
      <c r="TTG17" s="477"/>
      <c r="TTH17" s="477"/>
      <c r="TTI17" s="463"/>
      <c r="TTJ17" s="475"/>
      <c r="TTK17" s="476"/>
      <c r="TTL17" s="476"/>
      <c r="TTM17" s="476"/>
      <c r="TTN17" s="476"/>
      <c r="TTO17" s="476"/>
      <c r="TTP17" s="476"/>
      <c r="TTQ17" s="476"/>
      <c r="TTR17" s="476"/>
      <c r="TTS17" s="476"/>
      <c r="TTT17" s="476"/>
      <c r="TTU17" s="476"/>
      <c r="TTV17" s="476"/>
      <c r="TTW17" s="477"/>
      <c r="TTX17" s="477"/>
      <c r="TTY17" s="463"/>
      <c r="TTZ17" s="475"/>
      <c r="TUA17" s="476"/>
      <c r="TUB17" s="476"/>
      <c r="TUC17" s="476"/>
      <c r="TUD17" s="476"/>
      <c r="TUE17" s="476"/>
      <c r="TUF17" s="476"/>
      <c r="TUG17" s="476"/>
      <c r="TUH17" s="476"/>
      <c r="TUI17" s="476"/>
      <c r="TUJ17" s="476"/>
      <c r="TUK17" s="476"/>
      <c r="TUL17" s="476"/>
      <c r="TUM17" s="477"/>
      <c r="TUN17" s="477"/>
      <c r="TUO17" s="463"/>
      <c r="TUP17" s="475"/>
      <c r="TUQ17" s="476"/>
      <c r="TUR17" s="476"/>
      <c r="TUS17" s="476"/>
      <c r="TUT17" s="476"/>
      <c r="TUU17" s="476"/>
      <c r="TUV17" s="476"/>
      <c r="TUW17" s="476"/>
      <c r="TUX17" s="476"/>
      <c r="TUY17" s="476"/>
      <c r="TUZ17" s="476"/>
      <c r="TVA17" s="476"/>
      <c r="TVB17" s="476"/>
      <c r="TVC17" s="477"/>
      <c r="TVD17" s="477"/>
      <c r="TVE17" s="463"/>
      <c r="TVF17" s="475"/>
      <c r="TVG17" s="476"/>
      <c r="TVH17" s="476"/>
      <c r="TVI17" s="476"/>
      <c r="TVJ17" s="476"/>
      <c r="TVK17" s="476"/>
      <c r="TVL17" s="476"/>
      <c r="TVM17" s="476"/>
      <c r="TVN17" s="476"/>
      <c r="TVO17" s="476"/>
      <c r="TVP17" s="476"/>
      <c r="TVQ17" s="476"/>
      <c r="TVR17" s="476"/>
      <c r="TVS17" s="477"/>
      <c r="TVT17" s="477"/>
      <c r="TVU17" s="463"/>
      <c r="TVV17" s="475"/>
      <c r="TVW17" s="476"/>
      <c r="TVX17" s="476"/>
      <c r="TVY17" s="476"/>
      <c r="TVZ17" s="476"/>
      <c r="TWA17" s="476"/>
      <c r="TWB17" s="476"/>
      <c r="TWC17" s="476"/>
      <c r="TWD17" s="476"/>
      <c r="TWE17" s="476"/>
      <c r="TWF17" s="476"/>
      <c r="TWG17" s="476"/>
      <c r="TWH17" s="476"/>
      <c r="TWI17" s="477"/>
      <c r="TWJ17" s="477"/>
      <c r="TWK17" s="463"/>
      <c r="TWL17" s="475"/>
      <c r="TWM17" s="476"/>
      <c r="TWN17" s="476"/>
      <c r="TWO17" s="476"/>
      <c r="TWP17" s="476"/>
      <c r="TWQ17" s="476"/>
      <c r="TWR17" s="476"/>
      <c r="TWS17" s="476"/>
      <c r="TWT17" s="476"/>
      <c r="TWU17" s="476"/>
      <c r="TWV17" s="476"/>
      <c r="TWW17" s="476"/>
      <c r="TWX17" s="476"/>
      <c r="TWY17" s="477"/>
      <c r="TWZ17" s="477"/>
      <c r="TXA17" s="463"/>
      <c r="TXB17" s="475"/>
      <c r="TXC17" s="476"/>
      <c r="TXD17" s="476"/>
      <c r="TXE17" s="476"/>
      <c r="TXF17" s="476"/>
      <c r="TXG17" s="476"/>
      <c r="TXH17" s="476"/>
      <c r="TXI17" s="476"/>
      <c r="TXJ17" s="476"/>
      <c r="TXK17" s="476"/>
      <c r="TXL17" s="476"/>
      <c r="TXM17" s="476"/>
      <c r="TXN17" s="476"/>
      <c r="TXO17" s="477"/>
      <c r="TXP17" s="477"/>
      <c r="TXQ17" s="463"/>
      <c r="TXR17" s="475"/>
      <c r="TXS17" s="476"/>
      <c r="TXT17" s="476"/>
      <c r="TXU17" s="476"/>
      <c r="TXV17" s="476"/>
      <c r="TXW17" s="476"/>
      <c r="TXX17" s="476"/>
      <c r="TXY17" s="476"/>
      <c r="TXZ17" s="476"/>
      <c r="TYA17" s="476"/>
      <c r="TYB17" s="476"/>
      <c r="TYC17" s="476"/>
      <c r="TYD17" s="476"/>
      <c r="TYE17" s="477"/>
      <c r="TYF17" s="477"/>
      <c r="TYG17" s="463"/>
      <c r="TYH17" s="475"/>
      <c r="TYI17" s="476"/>
      <c r="TYJ17" s="476"/>
      <c r="TYK17" s="476"/>
      <c r="TYL17" s="476"/>
      <c r="TYM17" s="476"/>
      <c r="TYN17" s="476"/>
      <c r="TYO17" s="476"/>
      <c r="TYP17" s="476"/>
      <c r="TYQ17" s="476"/>
      <c r="TYR17" s="476"/>
      <c r="TYS17" s="476"/>
      <c r="TYT17" s="476"/>
      <c r="TYU17" s="477"/>
      <c r="TYV17" s="477"/>
      <c r="TYW17" s="463"/>
      <c r="TYX17" s="475"/>
      <c r="TYY17" s="476"/>
      <c r="TYZ17" s="476"/>
      <c r="TZA17" s="476"/>
      <c r="TZB17" s="476"/>
      <c r="TZC17" s="476"/>
      <c r="TZD17" s="476"/>
      <c r="TZE17" s="476"/>
      <c r="TZF17" s="476"/>
      <c r="TZG17" s="476"/>
      <c r="TZH17" s="476"/>
      <c r="TZI17" s="476"/>
      <c r="TZJ17" s="476"/>
      <c r="TZK17" s="477"/>
      <c r="TZL17" s="477"/>
      <c r="TZM17" s="463"/>
      <c r="TZN17" s="475"/>
      <c r="TZO17" s="476"/>
      <c r="TZP17" s="476"/>
      <c r="TZQ17" s="476"/>
      <c r="TZR17" s="476"/>
      <c r="TZS17" s="476"/>
      <c r="TZT17" s="476"/>
      <c r="TZU17" s="476"/>
      <c r="TZV17" s="476"/>
      <c r="TZW17" s="476"/>
      <c r="TZX17" s="476"/>
      <c r="TZY17" s="476"/>
      <c r="TZZ17" s="476"/>
      <c r="UAA17" s="477"/>
      <c r="UAB17" s="477"/>
      <c r="UAC17" s="463"/>
      <c r="UAD17" s="475"/>
      <c r="UAE17" s="476"/>
      <c r="UAF17" s="476"/>
      <c r="UAG17" s="476"/>
      <c r="UAH17" s="476"/>
      <c r="UAI17" s="476"/>
      <c r="UAJ17" s="476"/>
      <c r="UAK17" s="476"/>
      <c r="UAL17" s="476"/>
      <c r="UAM17" s="476"/>
      <c r="UAN17" s="476"/>
      <c r="UAO17" s="476"/>
      <c r="UAP17" s="476"/>
      <c r="UAQ17" s="477"/>
      <c r="UAR17" s="477"/>
      <c r="UAS17" s="463"/>
      <c r="UAT17" s="475"/>
      <c r="UAU17" s="476"/>
      <c r="UAV17" s="476"/>
      <c r="UAW17" s="476"/>
      <c r="UAX17" s="476"/>
      <c r="UAY17" s="476"/>
      <c r="UAZ17" s="476"/>
      <c r="UBA17" s="476"/>
      <c r="UBB17" s="476"/>
      <c r="UBC17" s="476"/>
      <c r="UBD17" s="476"/>
      <c r="UBE17" s="476"/>
      <c r="UBF17" s="476"/>
      <c r="UBG17" s="477"/>
      <c r="UBH17" s="477"/>
      <c r="UBI17" s="463"/>
      <c r="UBJ17" s="475"/>
      <c r="UBK17" s="476"/>
      <c r="UBL17" s="476"/>
      <c r="UBM17" s="476"/>
      <c r="UBN17" s="476"/>
      <c r="UBO17" s="476"/>
      <c r="UBP17" s="476"/>
      <c r="UBQ17" s="476"/>
      <c r="UBR17" s="476"/>
      <c r="UBS17" s="476"/>
      <c r="UBT17" s="476"/>
      <c r="UBU17" s="476"/>
      <c r="UBV17" s="476"/>
      <c r="UBW17" s="477"/>
      <c r="UBX17" s="477"/>
      <c r="UBY17" s="463"/>
      <c r="UBZ17" s="475"/>
      <c r="UCA17" s="476"/>
      <c r="UCB17" s="476"/>
      <c r="UCC17" s="476"/>
      <c r="UCD17" s="476"/>
      <c r="UCE17" s="476"/>
      <c r="UCF17" s="476"/>
      <c r="UCG17" s="476"/>
      <c r="UCH17" s="476"/>
      <c r="UCI17" s="476"/>
      <c r="UCJ17" s="476"/>
      <c r="UCK17" s="476"/>
      <c r="UCL17" s="476"/>
      <c r="UCM17" s="477"/>
      <c r="UCN17" s="477"/>
      <c r="UCO17" s="463"/>
      <c r="UCP17" s="475"/>
      <c r="UCQ17" s="476"/>
      <c r="UCR17" s="476"/>
      <c r="UCS17" s="476"/>
      <c r="UCT17" s="476"/>
      <c r="UCU17" s="476"/>
      <c r="UCV17" s="476"/>
      <c r="UCW17" s="476"/>
      <c r="UCX17" s="476"/>
      <c r="UCY17" s="476"/>
      <c r="UCZ17" s="476"/>
      <c r="UDA17" s="476"/>
      <c r="UDB17" s="476"/>
      <c r="UDC17" s="477"/>
      <c r="UDD17" s="477"/>
      <c r="UDE17" s="463"/>
      <c r="UDF17" s="475"/>
      <c r="UDG17" s="476"/>
      <c r="UDH17" s="476"/>
      <c r="UDI17" s="476"/>
      <c r="UDJ17" s="476"/>
      <c r="UDK17" s="476"/>
      <c r="UDL17" s="476"/>
      <c r="UDM17" s="476"/>
      <c r="UDN17" s="476"/>
      <c r="UDO17" s="476"/>
      <c r="UDP17" s="476"/>
      <c r="UDQ17" s="476"/>
      <c r="UDR17" s="476"/>
      <c r="UDS17" s="477"/>
      <c r="UDT17" s="477"/>
      <c r="UDU17" s="463"/>
      <c r="UDV17" s="475"/>
      <c r="UDW17" s="476"/>
      <c r="UDX17" s="476"/>
      <c r="UDY17" s="476"/>
      <c r="UDZ17" s="476"/>
      <c r="UEA17" s="476"/>
      <c r="UEB17" s="476"/>
      <c r="UEC17" s="476"/>
      <c r="UED17" s="476"/>
      <c r="UEE17" s="476"/>
      <c r="UEF17" s="476"/>
      <c r="UEG17" s="476"/>
      <c r="UEH17" s="476"/>
      <c r="UEI17" s="477"/>
      <c r="UEJ17" s="477"/>
      <c r="UEK17" s="463"/>
      <c r="UEL17" s="475"/>
      <c r="UEM17" s="476"/>
      <c r="UEN17" s="476"/>
      <c r="UEO17" s="476"/>
      <c r="UEP17" s="476"/>
      <c r="UEQ17" s="476"/>
      <c r="UER17" s="476"/>
      <c r="UES17" s="476"/>
      <c r="UET17" s="476"/>
      <c r="UEU17" s="476"/>
      <c r="UEV17" s="476"/>
      <c r="UEW17" s="476"/>
      <c r="UEX17" s="476"/>
      <c r="UEY17" s="477"/>
      <c r="UEZ17" s="477"/>
      <c r="UFA17" s="463"/>
      <c r="UFB17" s="475"/>
      <c r="UFC17" s="476"/>
      <c r="UFD17" s="476"/>
      <c r="UFE17" s="476"/>
      <c r="UFF17" s="476"/>
      <c r="UFG17" s="476"/>
      <c r="UFH17" s="476"/>
      <c r="UFI17" s="476"/>
      <c r="UFJ17" s="476"/>
      <c r="UFK17" s="476"/>
      <c r="UFL17" s="476"/>
      <c r="UFM17" s="476"/>
      <c r="UFN17" s="476"/>
      <c r="UFO17" s="477"/>
      <c r="UFP17" s="477"/>
      <c r="UFQ17" s="463"/>
      <c r="UFR17" s="475"/>
      <c r="UFS17" s="476"/>
      <c r="UFT17" s="476"/>
      <c r="UFU17" s="476"/>
      <c r="UFV17" s="476"/>
      <c r="UFW17" s="476"/>
      <c r="UFX17" s="476"/>
      <c r="UFY17" s="476"/>
      <c r="UFZ17" s="476"/>
      <c r="UGA17" s="476"/>
      <c r="UGB17" s="476"/>
      <c r="UGC17" s="476"/>
      <c r="UGD17" s="476"/>
      <c r="UGE17" s="477"/>
      <c r="UGF17" s="477"/>
      <c r="UGG17" s="463"/>
      <c r="UGH17" s="475"/>
      <c r="UGI17" s="476"/>
      <c r="UGJ17" s="476"/>
      <c r="UGK17" s="476"/>
      <c r="UGL17" s="476"/>
      <c r="UGM17" s="476"/>
      <c r="UGN17" s="476"/>
      <c r="UGO17" s="476"/>
      <c r="UGP17" s="476"/>
      <c r="UGQ17" s="476"/>
      <c r="UGR17" s="476"/>
      <c r="UGS17" s="476"/>
      <c r="UGT17" s="476"/>
      <c r="UGU17" s="477"/>
      <c r="UGV17" s="477"/>
      <c r="UGW17" s="463"/>
      <c r="UGX17" s="475"/>
      <c r="UGY17" s="476"/>
      <c r="UGZ17" s="476"/>
      <c r="UHA17" s="476"/>
      <c r="UHB17" s="476"/>
      <c r="UHC17" s="476"/>
      <c r="UHD17" s="476"/>
      <c r="UHE17" s="476"/>
      <c r="UHF17" s="476"/>
      <c r="UHG17" s="476"/>
      <c r="UHH17" s="476"/>
      <c r="UHI17" s="476"/>
      <c r="UHJ17" s="476"/>
      <c r="UHK17" s="477"/>
      <c r="UHL17" s="477"/>
      <c r="UHM17" s="463"/>
      <c r="UHN17" s="475"/>
      <c r="UHO17" s="476"/>
      <c r="UHP17" s="476"/>
      <c r="UHQ17" s="476"/>
      <c r="UHR17" s="476"/>
      <c r="UHS17" s="476"/>
      <c r="UHT17" s="476"/>
      <c r="UHU17" s="476"/>
      <c r="UHV17" s="476"/>
      <c r="UHW17" s="476"/>
      <c r="UHX17" s="476"/>
      <c r="UHY17" s="476"/>
      <c r="UHZ17" s="476"/>
      <c r="UIA17" s="477"/>
      <c r="UIB17" s="477"/>
      <c r="UIC17" s="463"/>
      <c r="UID17" s="475"/>
      <c r="UIE17" s="476"/>
      <c r="UIF17" s="476"/>
      <c r="UIG17" s="476"/>
      <c r="UIH17" s="476"/>
      <c r="UII17" s="476"/>
      <c r="UIJ17" s="476"/>
      <c r="UIK17" s="476"/>
      <c r="UIL17" s="476"/>
      <c r="UIM17" s="476"/>
      <c r="UIN17" s="476"/>
      <c r="UIO17" s="476"/>
      <c r="UIP17" s="476"/>
      <c r="UIQ17" s="477"/>
      <c r="UIR17" s="477"/>
      <c r="UIS17" s="463"/>
      <c r="UIT17" s="475"/>
      <c r="UIU17" s="476"/>
      <c r="UIV17" s="476"/>
      <c r="UIW17" s="476"/>
      <c r="UIX17" s="476"/>
      <c r="UIY17" s="476"/>
      <c r="UIZ17" s="476"/>
      <c r="UJA17" s="476"/>
      <c r="UJB17" s="476"/>
      <c r="UJC17" s="476"/>
      <c r="UJD17" s="476"/>
      <c r="UJE17" s="476"/>
      <c r="UJF17" s="476"/>
      <c r="UJG17" s="477"/>
      <c r="UJH17" s="477"/>
      <c r="UJI17" s="463"/>
      <c r="UJJ17" s="475"/>
      <c r="UJK17" s="476"/>
      <c r="UJL17" s="476"/>
      <c r="UJM17" s="476"/>
      <c r="UJN17" s="476"/>
      <c r="UJO17" s="476"/>
      <c r="UJP17" s="476"/>
      <c r="UJQ17" s="476"/>
      <c r="UJR17" s="476"/>
      <c r="UJS17" s="476"/>
      <c r="UJT17" s="476"/>
      <c r="UJU17" s="476"/>
      <c r="UJV17" s="476"/>
      <c r="UJW17" s="477"/>
      <c r="UJX17" s="477"/>
      <c r="UJY17" s="463"/>
      <c r="UJZ17" s="475"/>
      <c r="UKA17" s="476"/>
      <c r="UKB17" s="476"/>
      <c r="UKC17" s="476"/>
      <c r="UKD17" s="476"/>
      <c r="UKE17" s="476"/>
      <c r="UKF17" s="476"/>
      <c r="UKG17" s="476"/>
      <c r="UKH17" s="476"/>
      <c r="UKI17" s="476"/>
      <c r="UKJ17" s="476"/>
      <c r="UKK17" s="476"/>
      <c r="UKL17" s="476"/>
      <c r="UKM17" s="477"/>
      <c r="UKN17" s="477"/>
      <c r="UKO17" s="463"/>
      <c r="UKP17" s="475"/>
      <c r="UKQ17" s="476"/>
      <c r="UKR17" s="476"/>
      <c r="UKS17" s="476"/>
      <c r="UKT17" s="476"/>
      <c r="UKU17" s="476"/>
      <c r="UKV17" s="476"/>
      <c r="UKW17" s="476"/>
      <c r="UKX17" s="476"/>
      <c r="UKY17" s="476"/>
      <c r="UKZ17" s="476"/>
      <c r="ULA17" s="476"/>
      <c r="ULB17" s="476"/>
      <c r="ULC17" s="477"/>
      <c r="ULD17" s="477"/>
      <c r="ULE17" s="463"/>
      <c r="ULF17" s="475"/>
      <c r="ULG17" s="476"/>
      <c r="ULH17" s="476"/>
      <c r="ULI17" s="476"/>
      <c r="ULJ17" s="476"/>
      <c r="ULK17" s="476"/>
      <c r="ULL17" s="476"/>
      <c r="ULM17" s="476"/>
      <c r="ULN17" s="476"/>
      <c r="ULO17" s="476"/>
      <c r="ULP17" s="476"/>
      <c r="ULQ17" s="476"/>
      <c r="ULR17" s="476"/>
      <c r="ULS17" s="477"/>
      <c r="ULT17" s="477"/>
      <c r="ULU17" s="463"/>
      <c r="ULV17" s="475"/>
      <c r="ULW17" s="476"/>
      <c r="ULX17" s="476"/>
      <c r="ULY17" s="476"/>
      <c r="ULZ17" s="476"/>
      <c r="UMA17" s="476"/>
      <c r="UMB17" s="476"/>
      <c r="UMC17" s="476"/>
      <c r="UMD17" s="476"/>
      <c r="UME17" s="476"/>
      <c r="UMF17" s="476"/>
      <c r="UMG17" s="476"/>
      <c r="UMH17" s="476"/>
      <c r="UMI17" s="477"/>
      <c r="UMJ17" s="477"/>
      <c r="UMK17" s="463"/>
      <c r="UML17" s="475"/>
      <c r="UMM17" s="476"/>
      <c r="UMN17" s="476"/>
      <c r="UMO17" s="476"/>
      <c r="UMP17" s="476"/>
      <c r="UMQ17" s="476"/>
      <c r="UMR17" s="476"/>
      <c r="UMS17" s="476"/>
      <c r="UMT17" s="476"/>
      <c r="UMU17" s="476"/>
      <c r="UMV17" s="476"/>
      <c r="UMW17" s="476"/>
      <c r="UMX17" s="476"/>
      <c r="UMY17" s="477"/>
      <c r="UMZ17" s="477"/>
      <c r="UNA17" s="463"/>
      <c r="UNB17" s="475"/>
      <c r="UNC17" s="476"/>
      <c r="UND17" s="476"/>
      <c r="UNE17" s="476"/>
      <c r="UNF17" s="476"/>
      <c r="UNG17" s="476"/>
      <c r="UNH17" s="476"/>
      <c r="UNI17" s="476"/>
      <c r="UNJ17" s="476"/>
      <c r="UNK17" s="476"/>
      <c r="UNL17" s="476"/>
      <c r="UNM17" s="476"/>
      <c r="UNN17" s="476"/>
      <c r="UNO17" s="477"/>
      <c r="UNP17" s="477"/>
      <c r="UNQ17" s="463"/>
      <c r="UNR17" s="475"/>
      <c r="UNS17" s="476"/>
      <c r="UNT17" s="476"/>
      <c r="UNU17" s="476"/>
      <c r="UNV17" s="476"/>
      <c r="UNW17" s="476"/>
      <c r="UNX17" s="476"/>
      <c r="UNY17" s="476"/>
      <c r="UNZ17" s="476"/>
      <c r="UOA17" s="476"/>
      <c r="UOB17" s="476"/>
      <c r="UOC17" s="476"/>
      <c r="UOD17" s="476"/>
      <c r="UOE17" s="477"/>
      <c r="UOF17" s="477"/>
      <c r="UOG17" s="463"/>
      <c r="UOH17" s="475"/>
      <c r="UOI17" s="476"/>
      <c r="UOJ17" s="476"/>
      <c r="UOK17" s="476"/>
      <c r="UOL17" s="476"/>
      <c r="UOM17" s="476"/>
      <c r="UON17" s="476"/>
      <c r="UOO17" s="476"/>
      <c r="UOP17" s="476"/>
      <c r="UOQ17" s="476"/>
      <c r="UOR17" s="476"/>
      <c r="UOS17" s="476"/>
      <c r="UOT17" s="476"/>
      <c r="UOU17" s="477"/>
      <c r="UOV17" s="477"/>
      <c r="UOW17" s="463"/>
      <c r="UOX17" s="475"/>
      <c r="UOY17" s="476"/>
      <c r="UOZ17" s="476"/>
      <c r="UPA17" s="476"/>
      <c r="UPB17" s="476"/>
      <c r="UPC17" s="476"/>
      <c r="UPD17" s="476"/>
      <c r="UPE17" s="476"/>
      <c r="UPF17" s="476"/>
      <c r="UPG17" s="476"/>
      <c r="UPH17" s="476"/>
      <c r="UPI17" s="476"/>
      <c r="UPJ17" s="476"/>
      <c r="UPK17" s="477"/>
      <c r="UPL17" s="477"/>
      <c r="UPM17" s="463"/>
      <c r="UPN17" s="475"/>
      <c r="UPO17" s="476"/>
      <c r="UPP17" s="476"/>
      <c r="UPQ17" s="476"/>
      <c r="UPR17" s="476"/>
      <c r="UPS17" s="476"/>
      <c r="UPT17" s="476"/>
      <c r="UPU17" s="476"/>
      <c r="UPV17" s="476"/>
      <c r="UPW17" s="476"/>
      <c r="UPX17" s="476"/>
      <c r="UPY17" s="476"/>
      <c r="UPZ17" s="476"/>
      <c r="UQA17" s="477"/>
      <c r="UQB17" s="477"/>
      <c r="UQC17" s="463"/>
      <c r="UQD17" s="475"/>
      <c r="UQE17" s="476"/>
      <c r="UQF17" s="476"/>
      <c r="UQG17" s="476"/>
      <c r="UQH17" s="476"/>
      <c r="UQI17" s="476"/>
      <c r="UQJ17" s="476"/>
      <c r="UQK17" s="476"/>
      <c r="UQL17" s="476"/>
      <c r="UQM17" s="476"/>
      <c r="UQN17" s="476"/>
      <c r="UQO17" s="476"/>
      <c r="UQP17" s="476"/>
      <c r="UQQ17" s="477"/>
      <c r="UQR17" s="477"/>
      <c r="UQS17" s="463"/>
      <c r="UQT17" s="475"/>
      <c r="UQU17" s="476"/>
      <c r="UQV17" s="476"/>
      <c r="UQW17" s="476"/>
      <c r="UQX17" s="476"/>
      <c r="UQY17" s="476"/>
      <c r="UQZ17" s="476"/>
      <c r="URA17" s="476"/>
      <c r="URB17" s="476"/>
      <c r="URC17" s="476"/>
      <c r="URD17" s="476"/>
      <c r="URE17" s="476"/>
      <c r="URF17" s="476"/>
      <c r="URG17" s="477"/>
      <c r="URH17" s="477"/>
      <c r="URI17" s="463"/>
      <c r="URJ17" s="475"/>
      <c r="URK17" s="476"/>
      <c r="URL17" s="476"/>
      <c r="URM17" s="476"/>
      <c r="URN17" s="476"/>
      <c r="URO17" s="476"/>
      <c r="URP17" s="476"/>
      <c r="URQ17" s="476"/>
      <c r="URR17" s="476"/>
      <c r="URS17" s="476"/>
      <c r="URT17" s="476"/>
      <c r="URU17" s="476"/>
      <c r="URV17" s="476"/>
      <c r="URW17" s="477"/>
      <c r="URX17" s="477"/>
      <c r="URY17" s="463"/>
      <c r="URZ17" s="475"/>
      <c r="USA17" s="476"/>
      <c r="USB17" s="476"/>
      <c r="USC17" s="476"/>
      <c r="USD17" s="476"/>
      <c r="USE17" s="476"/>
      <c r="USF17" s="476"/>
      <c r="USG17" s="476"/>
      <c r="USH17" s="476"/>
      <c r="USI17" s="476"/>
      <c r="USJ17" s="476"/>
      <c r="USK17" s="476"/>
      <c r="USL17" s="476"/>
      <c r="USM17" s="477"/>
      <c r="USN17" s="477"/>
      <c r="USO17" s="463"/>
      <c r="USP17" s="475"/>
      <c r="USQ17" s="476"/>
      <c r="USR17" s="476"/>
      <c r="USS17" s="476"/>
      <c r="UST17" s="476"/>
      <c r="USU17" s="476"/>
      <c r="USV17" s="476"/>
      <c r="USW17" s="476"/>
      <c r="USX17" s="476"/>
      <c r="USY17" s="476"/>
      <c r="USZ17" s="476"/>
      <c r="UTA17" s="476"/>
      <c r="UTB17" s="476"/>
      <c r="UTC17" s="477"/>
      <c r="UTD17" s="477"/>
      <c r="UTE17" s="463"/>
      <c r="UTF17" s="475"/>
      <c r="UTG17" s="476"/>
      <c r="UTH17" s="476"/>
      <c r="UTI17" s="476"/>
      <c r="UTJ17" s="476"/>
      <c r="UTK17" s="476"/>
      <c r="UTL17" s="476"/>
      <c r="UTM17" s="476"/>
      <c r="UTN17" s="476"/>
      <c r="UTO17" s="476"/>
      <c r="UTP17" s="476"/>
      <c r="UTQ17" s="476"/>
      <c r="UTR17" s="476"/>
      <c r="UTS17" s="477"/>
      <c r="UTT17" s="477"/>
      <c r="UTU17" s="463"/>
      <c r="UTV17" s="475"/>
      <c r="UTW17" s="476"/>
      <c r="UTX17" s="476"/>
      <c r="UTY17" s="476"/>
      <c r="UTZ17" s="476"/>
      <c r="UUA17" s="476"/>
      <c r="UUB17" s="476"/>
      <c r="UUC17" s="476"/>
      <c r="UUD17" s="476"/>
      <c r="UUE17" s="476"/>
      <c r="UUF17" s="476"/>
      <c r="UUG17" s="476"/>
      <c r="UUH17" s="476"/>
      <c r="UUI17" s="477"/>
      <c r="UUJ17" s="477"/>
      <c r="UUK17" s="463"/>
      <c r="UUL17" s="475"/>
      <c r="UUM17" s="476"/>
      <c r="UUN17" s="476"/>
      <c r="UUO17" s="476"/>
      <c r="UUP17" s="476"/>
      <c r="UUQ17" s="476"/>
      <c r="UUR17" s="476"/>
      <c r="UUS17" s="476"/>
      <c r="UUT17" s="476"/>
      <c r="UUU17" s="476"/>
      <c r="UUV17" s="476"/>
      <c r="UUW17" s="476"/>
      <c r="UUX17" s="476"/>
      <c r="UUY17" s="477"/>
      <c r="UUZ17" s="477"/>
      <c r="UVA17" s="463"/>
      <c r="UVB17" s="475"/>
      <c r="UVC17" s="476"/>
      <c r="UVD17" s="476"/>
      <c r="UVE17" s="476"/>
      <c r="UVF17" s="476"/>
      <c r="UVG17" s="476"/>
      <c r="UVH17" s="476"/>
      <c r="UVI17" s="476"/>
      <c r="UVJ17" s="476"/>
      <c r="UVK17" s="476"/>
      <c r="UVL17" s="476"/>
      <c r="UVM17" s="476"/>
      <c r="UVN17" s="476"/>
      <c r="UVO17" s="477"/>
      <c r="UVP17" s="477"/>
      <c r="UVQ17" s="463"/>
      <c r="UVR17" s="475"/>
      <c r="UVS17" s="476"/>
      <c r="UVT17" s="476"/>
      <c r="UVU17" s="476"/>
      <c r="UVV17" s="476"/>
      <c r="UVW17" s="476"/>
      <c r="UVX17" s="476"/>
      <c r="UVY17" s="476"/>
      <c r="UVZ17" s="476"/>
      <c r="UWA17" s="476"/>
      <c r="UWB17" s="476"/>
      <c r="UWC17" s="476"/>
      <c r="UWD17" s="476"/>
      <c r="UWE17" s="477"/>
      <c r="UWF17" s="477"/>
      <c r="UWG17" s="463"/>
      <c r="UWH17" s="475"/>
      <c r="UWI17" s="476"/>
      <c r="UWJ17" s="476"/>
      <c r="UWK17" s="476"/>
      <c r="UWL17" s="476"/>
      <c r="UWM17" s="476"/>
      <c r="UWN17" s="476"/>
      <c r="UWO17" s="476"/>
      <c r="UWP17" s="476"/>
      <c r="UWQ17" s="476"/>
      <c r="UWR17" s="476"/>
      <c r="UWS17" s="476"/>
      <c r="UWT17" s="476"/>
      <c r="UWU17" s="477"/>
      <c r="UWV17" s="477"/>
      <c r="UWW17" s="463"/>
      <c r="UWX17" s="475"/>
      <c r="UWY17" s="476"/>
      <c r="UWZ17" s="476"/>
      <c r="UXA17" s="476"/>
      <c r="UXB17" s="476"/>
      <c r="UXC17" s="476"/>
      <c r="UXD17" s="476"/>
      <c r="UXE17" s="476"/>
      <c r="UXF17" s="476"/>
      <c r="UXG17" s="476"/>
      <c r="UXH17" s="476"/>
      <c r="UXI17" s="476"/>
      <c r="UXJ17" s="476"/>
      <c r="UXK17" s="477"/>
      <c r="UXL17" s="477"/>
      <c r="UXM17" s="463"/>
      <c r="UXN17" s="475"/>
      <c r="UXO17" s="476"/>
      <c r="UXP17" s="476"/>
      <c r="UXQ17" s="476"/>
      <c r="UXR17" s="476"/>
      <c r="UXS17" s="476"/>
      <c r="UXT17" s="476"/>
      <c r="UXU17" s="476"/>
      <c r="UXV17" s="476"/>
      <c r="UXW17" s="476"/>
      <c r="UXX17" s="476"/>
      <c r="UXY17" s="476"/>
      <c r="UXZ17" s="476"/>
      <c r="UYA17" s="477"/>
      <c r="UYB17" s="477"/>
      <c r="UYC17" s="463"/>
      <c r="UYD17" s="475"/>
      <c r="UYE17" s="476"/>
      <c r="UYF17" s="476"/>
      <c r="UYG17" s="476"/>
      <c r="UYH17" s="476"/>
      <c r="UYI17" s="476"/>
      <c r="UYJ17" s="476"/>
      <c r="UYK17" s="476"/>
      <c r="UYL17" s="476"/>
      <c r="UYM17" s="476"/>
      <c r="UYN17" s="476"/>
      <c r="UYO17" s="476"/>
      <c r="UYP17" s="476"/>
      <c r="UYQ17" s="477"/>
      <c r="UYR17" s="477"/>
      <c r="UYS17" s="463"/>
      <c r="UYT17" s="475"/>
      <c r="UYU17" s="476"/>
      <c r="UYV17" s="476"/>
      <c r="UYW17" s="476"/>
      <c r="UYX17" s="476"/>
      <c r="UYY17" s="476"/>
      <c r="UYZ17" s="476"/>
      <c r="UZA17" s="476"/>
      <c r="UZB17" s="476"/>
      <c r="UZC17" s="476"/>
      <c r="UZD17" s="476"/>
      <c r="UZE17" s="476"/>
      <c r="UZF17" s="476"/>
      <c r="UZG17" s="477"/>
      <c r="UZH17" s="477"/>
      <c r="UZI17" s="463"/>
      <c r="UZJ17" s="475"/>
      <c r="UZK17" s="476"/>
      <c r="UZL17" s="476"/>
      <c r="UZM17" s="476"/>
      <c r="UZN17" s="476"/>
      <c r="UZO17" s="476"/>
      <c r="UZP17" s="476"/>
      <c r="UZQ17" s="476"/>
      <c r="UZR17" s="476"/>
      <c r="UZS17" s="476"/>
      <c r="UZT17" s="476"/>
      <c r="UZU17" s="476"/>
      <c r="UZV17" s="476"/>
      <c r="UZW17" s="477"/>
      <c r="UZX17" s="477"/>
      <c r="UZY17" s="463"/>
      <c r="UZZ17" s="475"/>
      <c r="VAA17" s="476"/>
      <c r="VAB17" s="476"/>
      <c r="VAC17" s="476"/>
      <c r="VAD17" s="476"/>
      <c r="VAE17" s="476"/>
      <c r="VAF17" s="476"/>
      <c r="VAG17" s="476"/>
      <c r="VAH17" s="476"/>
      <c r="VAI17" s="476"/>
      <c r="VAJ17" s="476"/>
      <c r="VAK17" s="476"/>
      <c r="VAL17" s="476"/>
      <c r="VAM17" s="477"/>
      <c r="VAN17" s="477"/>
      <c r="VAO17" s="463"/>
      <c r="VAP17" s="475"/>
      <c r="VAQ17" s="476"/>
      <c r="VAR17" s="476"/>
      <c r="VAS17" s="476"/>
      <c r="VAT17" s="476"/>
      <c r="VAU17" s="476"/>
      <c r="VAV17" s="476"/>
      <c r="VAW17" s="476"/>
      <c r="VAX17" s="476"/>
      <c r="VAY17" s="476"/>
      <c r="VAZ17" s="476"/>
      <c r="VBA17" s="476"/>
      <c r="VBB17" s="476"/>
      <c r="VBC17" s="477"/>
      <c r="VBD17" s="477"/>
      <c r="VBE17" s="463"/>
      <c r="VBF17" s="475"/>
      <c r="VBG17" s="476"/>
      <c r="VBH17" s="476"/>
      <c r="VBI17" s="476"/>
      <c r="VBJ17" s="476"/>
      <c r="VBK17" s="476"/>
      <c r="VBL17" s="476"/>
      <c r="VBM17" s="476"/>
      <c r="VBN17" s="476"/>
      <c r="VBO17" s="476"/>
      <c r="VBP17" s="476"/>
      <c r="VBQ17" s="476"/>
      <c r="VBR17" s="476"/>
      <c r="VBS17" s="477"/>
      <c r="VBT17" s="477"/>
      <c r="VBU17" s="463"/>
      <c r="VBV17" s="475"/>
      <c r="VBW17" s="476"/>
      <c r="VBX17" s="476"/>
      <c r="VBY17" s="476"/>
      <c r="VBZ17" s="476"/>
      <c r="VCA17" s="476"/>
      <c r="VCB17" s="476"/>
      <c r="VCC17" s="476"/>
      <c r="VCD17" s="476"/>
      <c r="VCE17" s="476"/>
      <c r="VCF17" s="476"/>
      <c r="VCG17" s="476"/>
      <c r="VCH17" s="476"/>
      <c r="VCI17" s="477"/>
      <c r="VCJ17" s="477"/>
      <c r="VCK17" s="463"/>
      <c r="VCL17" s="475"/>
      <c r="VCM17" s="476"/>
      <c r="VCN17" s="476"/>
      <c r="VCO17" s="476"/>
      <c r="VCP17" s="476"/>
      <c r="VCQ17" s="476"/>
      <c r="VCR17" s="476"/>
      <c r="VCS17" s="476"/>
      <c r="VCT17" s="476"/>
      <c r="VCU17" s="476"/>
      <c r="VCV17" s="476"/>
      <c r="VCW17" s="476"/>
      <c r="VCX17" s="476"/>
      <c r="VCY17" s="477"/>
      <c r="VCZ17" s="477"/>
      <c r="VDA17" s="463"/>
      <c r="VDB17" s="475"/>
      <c r="VDC17" s="476"/>
      <c r="VDD17" s="476"/>
      <c r="VDE17" s="476"/>
      <c r="VDF17" s="476"/>
      <c r="VDG17" s="476"/>
      <c r="VDH17" s="476"/>
      <c r="VDI17" s="476"/>
      <c r="VDJ17" s="476"/>
      <c r="VDK17" s="476"/>
      <c r="VDL17" s="476"/>
      <c r="VDM17" s="476"/>
      <c r="VDN17" s="476"/>
      <c r="VDO17" s="477"/>
      <c r="VDP17" s="477"/>
      <c r="VDQ17" s="463"/>
      <c r="VDR17" s="475"/>
      <c r="VDS17" s="476"/>
      <c r="VDT17" s="476"/>
      <c r="VDU17" s="476"/>
      <c r="VDV17" s="476"/>
      <c r="VDW17" s="476"/>
      <c r="VDX17" s="476"/>
      <c r="VDY17" s="476"/>
      <c r="VDZ17" s="476"/>
      <c r="VEA17" s="476"/>
      <c r="VEB17" s="476"/>
      <c r="VEC17" s="476"/>
      <c r="VED17" s="476"/>
      <c r="VEE17" s="477"/>
      <c r="VEF17" s="477"/>
      <c r="VEG17" s="463"/>
      <c r="VEH17" s="475"/>
      <c r="VEI17" s="476"/>
      <c r="VEJ17" s="476"/>
      <c r="VEK17" s="476"/>
      <c r="VEL17" s="476"/>
      <c r="VEM17" s="476"/>
      <c r="VEN17" s="476"/>
      <c r="VEO17" s="476"/>
      <c r="VEP17" s="476"/>
      <c r="VEQ17" s="476"/>
      <c r="VER17" s="476"/>
      <c r="VES17" s="476"/>
      <c r="VET17" s="476"/>
      <c r="VEU17" s="477"/>
      <c r="VEV17" s="477"/>
      <c r="VEW17" s="463"/>
      <c r="VEX17" s="475"/>
      <c r="VEY17" s="476"/>
      <c r="VEZ17" s="476"/>
      <c r="VFA17" s="476"/>
      <c r="VFB17" s="476"/>
      <c r="VFC17" s="476"/>
      <c r="VFD17" s="476"/>
      <c r="VFE17" s="476"/>
      <c r="VFF17" s="476"/>
      <c r="VFG17" s="476"/>
      <c r="VFH17" s="476"/>
      <c r="VFI17" s="476"/>
      <c r="VFJ17" s="476"/>
      <c r="VFK17" s="477"/>
      <c r="VFL17" s="477"/>
      <c r="VFM17" s="463"/>
      <c r="VFN17" s="475"/>
      <c r="VFO17" s="476"/>
      <c r="VFP17" s="476"/>
      <c r="VFQ17" s="476"/>
      <c r="VFR17" s="476"/>
      <c r="VFS17" s="476"/>
      <c r="VFT17" s="476"/>
      <c r="VFU17" s="476"/>
      <c r="VFV17" s="476"/>
      <c r="VFW17" s="476"/>
      <c r="VFX17" s="476"/>
      <c r="VFY17" s="476"/>
      <c r="VFZ17" s="476"/>
      <c r="VGA17" s="477"/>
      <c r="VGB17" s="477"/>
      <c r="VGC17" s="463"/>
      <c r="VGD17" s="475"/>
      <c r="VGE17" s="476"/>
      <c r="VGF17" s="476"/>
      <c r="VGG17" s="476"/>
      <c r="VGH17" s="476"/>
      <c r="VGI17" s="476"/>
      <c r="VGJ17" s="476"/>
      <c r="VGK17" s="476"/>
      <c r="VGL17" s="476"/>
      <c r="VGM17" s="476"/>
      <c r="VGN17" s="476"/>
      <c r="VGO17" s="476"/>
      <c r="VGP17" s="476"/>
      <c r="VGQ17" s="477"/>
      <c r="VGR17" s="477"/>
      <c r="VGS17" s="463"/>
      <c r="VGT17" s="475"/>
      <c r="VGU17" s="476"/>
      <c r="VGV17" s="476"/>
      <c r="VGW17" s="476"/>
      <c r="VGX17" s="476"/>
      <c r="VGY17" s="476"/>
      <c r="VGZ17" s="476"/>
      <c r="VHA17" s="476"/>
      <c r="VHB17" s="476"/>
      <c r="VHC17" s="476"/>
      <c r="VHD17" s="476"/>
      <c r="VHE17" s="476"/>
      <c r="VHF17" s="476"/>
      <c r="VHG17" s="477"/>
      <c r="VHH17" s="477"/>
      <c r="VHI17" s="463"/>
      <c r="VHJ17" s="475"/>
      <c r="VHK17" s="476"/>
      <c r="VHL17" s="476"/>
      <c r="VHM17" s="476"/>
      <c r="VHN17" s="476"/>
      <c r="VHO17" s="476"/>
      <c r="VHP17" s="476"/>
      <c r="VHQ17" s="476"/>
      <c r="VHR17" s="476"/>
      <c r="VHS17" s="476"/>
      <c r="VHT17" s="476"/>
      <c r="VHU17" s="476"/>
      <c r="VHV17" s="476"/>
      <c r="VHW17" s="477"/>
      <c r="VHX17" s="477"/>
      <c r="VHY17" s="463"/>
      <c r="VHZ17" s="475"/>
      <c r="VIA17" s="476"/>
      <c r="VIB17" s="476"/>
      <c r="VIC17" s="476"/>
      <c r="VID17" s="476"/>
      <c r="VIE17" s="476"/>
      <c r="VIF17" s="476"/>
      <c r="VIG17" s="476"/>
      <c r="VIH17" s="476"/>
      <c r="VII17" s="476"/>
      <c r="VIJ17" s="476"/>
      <c r="VIK17" s="476"/>
      <c r="VIL17" s="476"/>
      <c r="VIM17" s="477"/>
      <c r="VIN17" s="477"/>
      <c r="VIO17" s="463"/>
      <c r="VIP17" s="475"/>
      <c r="VIQ17" s="476"/>
      <c r="VIR17" s="476"/>
      <c r="VIS17" s="476"/>
      <c r="VIT17" s="476"/>
      <c r="VIU17" s="476"/>
      <c r="VIV17" s="476"/>
      <c r="VIW17" s="476"/>
      <c r="VIX17" s="476"/>
      <c r="VIY17" s="476"/>
      <c r="VIZ17" s="476"/>
      <c r="VJA17" s="476"/>
      <c r="VJB17" s="476"/>
      <c r="VJC17" s="477"/>
      <c r="VJD17" s="477"/>
      <c r="VJE17" s="463"/>
      <c r="VJF17" s="475"/>
      <c r="VJG17" s="476"/>
      <c r="VJH17" s="476"/>
      <c r="VJI17" s="476"/>
      <c r="VJJ17" s="476"/>
      <c r="VJK17" s="476"/>
      <c r="VJL17" s="476"/>
      <c r="VJM17" s="476"/>
      <c r="VJN17" s="476"/>
      <c r="VJO17" s="476"/>
      <c r="VJP17" s="476"/>
      <c r="VJQ17" s="476"/>
      <c r="VJR17" s="476"/>
      <c r="VJS17" s="477"/>
      <c r="VJT17" s="477"/>
      <c r="VJU17" s="463"/>
      <c r="VJV17" s="475"/>
      <c r="VJW17" s="476"/>
      <c r="VJX17" s="476"/>
      <c r="VJY17" s="476"/>
      <c r="VJZ17" s="476"/>
      <c r="VKA17" s="476"/>
      <c r="VKB17" s="476"/>
      <c r="VKC17" s="476"/>
      <c r="VKD17" s="476"/>
      <c r="VKE17" s="476"/>
      <c r="VKF17" s="476"/>
      <c r="VKG17" s="476"/>
      <c r="VKH17" s="476"/>
      <c r="VKI17" s="477"/>
      <c r="VKJ17" s="477"/>
      <c r="VKK17" s="463"/>
      <c r="VKL17" s="475"/>
      <c r="VKM17" s="476"/>
      <c r="VKN17" s="476"/>
      <c r="VKO17" s="476"/>
      <c r="VKP17" s="476"/>
      <c r="VKQ17" s="476"/>
      <c r="VKR17" s="476"/>
      <c r="VKS17" s="476"/>
      <c r="VKT17" s="476"/>
      <c r="VKU17" s="476"/>
      <c r="VKV17" s="476"/>
      <c r="VKW17" s="476"/>
      <c r="VKX17" s="476"/>
      <c r="VKY17" s="477"/>
      <c r="VKZ17" s="477"/>
      <c r="VLA17" s="463"/>
      <c r="VLB17" s="475"/>
      <c r="VLC17" s="476"/>
      <c r="VLD17" s="476"/>
      <c r="VLE17" s="476"/>
      <c r="VLF17" s="476"/>
      <c r="VLG17" s="476"/>
      <c r="VLH17" s="476"/>
      <c r="VLI17" s="476"/>
      <c r="VLJ17" s="476"/>
      <c r="VLK17" s="476"/>
      <c r="VLL17" s="476"/>
      <c r="VLM17" s="476"/>
      <c r="VLN17" s="476"/>
      <c r="VLO17" s="477"/>
      <c r="VLP17" s="477"/>
      <c r="VLQ17" s="463"/>
      <c r="VLR17" s="475"/>
      <c r="VLS17" s="476"/>
      <c r="VLT17" s="476"/>
      <c r="VLU17" s="476"/>
      <c r="VLV17" s="476"/>
      <c r="VLW17" s="476"/>
      <c r="VLX17" s="476"/>
      <c r="VLY17" s="476"/>
      <c r="VLZ17" s="476"/>
      <c r="VMA17" s="476"/>
      <c r="VMB17" s="476"/>
      <c r="VMC17" s="476"/>
      <c r="VMD17" s="476"/>
      <c r="VME17" s="477"/>
      <c r="VMF17" s="477"/>
      <c r="VMG17" s="463"/>
      <c r="VMH17" s="475"/>
      <c r="VMI17" s="476"/>
      <c r="VMJ17" s="476"/>
      <c r="VMK17" s="476"/>
      <c r="VML17" s="476"/>
      <c r="VMM17" s="476"/>
      <c r="VMN17" s="476"/>
      <c r="VMO17" s="476"/>
      <c r="VMP17" s="476"/>
      <c r="VMQ17" s="476"/>
      <c r="VMR17" s="476"/>
      <c r="VMS17" s="476"/>
      <c r="VMT17" s="476"/>
      <c r="VMU17" s="477"/>
      <c r="VMV17" s="477"/>
      <c r="VMW17" s="463"/>
      <c r="VMX17" s="475"/>
      <c r="VMY17" s="476"/>
      <c r="VMZ17" s="476"/>
      <c r="VNA17" s="476"/>
      <c r="VNB17" s="476"/>
      <c r="VNC17" s="476"/>
      <c r="VND17" s="476"/>
      <c r="VNE17" s="476"/>
      <c r="VNF17" s="476"/>
      <c r="VNG17" s="476"/>
      <c r="VNH17" s="476"/>
      <c r="VNI17" s="476"/>
      <c r="VNJ17" s="476"/>
      <c r="VNK17" s="477"/>
      <c r="VNL17" s="477"/>
      <c r="VNM17" s="463"/>
      <c r="VNN17" s="475"/>
      <c r="VNO17" s="476"/>
      <c r="VNP17" s="476"/>
      <c r="VNQ17" s="476"/>
      <c r="VNR17" s="476"/>
      <c r="VNS17" s="476"/>
      <c r="VNT17" s="476"/>
      <c r="VNU17" s="476"/>
      <c r="VNV17" s="476"/>
      <c r="VNW17" s="476"/>
      <c r="VNX17" s="476"/>
      <c r="VNY17" s="476"/>
      <c r="VNZ17" s="476"/>
      <c r="VOA17" s="477"/>
      <c r="VOB17" s="477"/>
      <c r="VOC17" s="463"/>
      <c r="VOD17" s="475"/>
      <c r="VOE17" s="476"/>
      <c r="VOF17" s="476"/>
      <c r="VOG17" s="476"/>
      <c r="VOH17" s="476"/>
      <c r="VOI17" s="476"/>
      <c r="VOJ17" s="476"/>
      <c r="VOK17" s="476"/>
      <c r="VOL17" s="476"/>
      <c r="VOM17" s="476"/>
      <c r="VON17" s="476"/>
      <c r="VOO17" s="476"/>
      <c r="VOP17" s="476"/>
      <c r="VOQ17" s="477"/>
      <c r="VOR17" s="477"/>
      <c r="VOS17" s="463"/>
      <c r="VOT17" s="475"/>
      <c r="VOU17" s="476"/>
      <c r="VOV17" s="476"/>
      <c r="VOW17" s="476"/>
      <c r="VOX17" s="476"/>
      <c r="VOY17" s="476"/>
      <c r="VOZ17" s="476"/>
      <c r="VPA17" s="476"/>
      <c r="VPB17" s="476"/>
      <c r="VPC17" s="476"/>
      <c r="VPD17" s="476"/>
      <c r="VPE17" s="476"/>
      <c r="VPF17" s="476"/>
      <c r="VPG17" s="477"/>
      <c r="VPH17" s="477"/>
      <c r="VPI17" s="463"/>
      <c r="VPJ17" s="475"/>
      <c r="VPK17" s="476"/>
      <c r="VPL17" s="476"/>
      <c r="VPM17" s="476"/>
      <c r="VPN17" s="476"/>
      <c r="VPO17" s="476"/>
      <c r="VPP17" s="476"/>
      <c r="VPQ17" s="476"/>
      <c r="VPR17" s="476"/>
      <c r="VPS17" s="476"/>
      <c r="VPT17" s="476"/>
      <c r="VPU17" s="476"/>
      <c r="VPV17" s="476"/>
      <c r="VPW17" s="477"/>
      <c r="VPX17" s="477"/>
      <c r="VPY17" s="463"/>
      <c r="VPZ17" s="475"/>
      <c r="VQA17" s="476"/>
      <c r="VQB17" s="476"/>
      <c r="VQC17" s="476"/>
      <c r="VQD17" s="476"/>
      <c r="VQE17" s="476"/>
      <c r="VQF17" s="476"/>
      <c r="VQG17" s="476"/>
      <c r="VQH17" s="476"/>
      <c r="VQI17" s="476"/>
      <c r="VQJ17" s="476"/>
      <c r="VQK17" s="476"/>
      <c r="VQL17" s="476"/>
      <c r="VQM17" s="477"/>
      <c r="VQN17" s="477"/>
      <c r="VQO17" s="463"/>
      <c r="VQP17" s="475"/>
      <c r="VQQ17" s="476"/>
      <c r="VQR17" s="476"/>
      <c r="VQS17" s="476"/>
      <c r="VQT17" s="476"/>
      <c r="VQU17" s="476"/>
      <c r="VQV17" s="476"/>
      <c r="VQW17" s="476"/>
      <c r="VQX17" s="476"/>
      <c r="VQY17" s="476"/>
      <c r="VQZ17" s="476"/>
      <c r="VRA17" s="476"/>
      <c r="VRB17" s="476"/>
      <c r="VRC17" s="477"/>
      <c r="VRD17" s="477"/>
      <c r="VRE17" s="463"/>
      <c r="VRF17" s="475"/>
      <c r="VRG17" s="476"/>
      <c r="VRH17" s="476"/>
      <c r="VRI17" s="476"/>
      <c r="VRJ17" s="476"/>
      <c r="VRK17" s="476"/>
      <c r="VRL17" s="476"/>
      <c r="VRM17" s="476"/>
      <c r="VRN17" s="476"/>
      <c r="VRO17" s="476"/>
      <c r="VRP17" s="476"/>
      <c r="VRQ17" s="476"/>
      <c r="VRR17" s="476"/>
      <c r="VRS17" s="477"/>
      <c r="VRT17" s="477"/>
      <c r="VRU17" s="463"/>
      <c r="VRV17" s="475"/>
      <c r="VRW17" s="476"/>
      <c r="VRX17" s="476"/>
      <c r="VRY17" s="476"/>
      <c r="VRZ17" s="476"/>
      <c r="VSA17" s="476"/>
      <c r="VSB17" s="476"/>
      <c r="VSC17" s="476"/>
      <c r="VSD17" s="476"/>
      <c r="VSE17" s="476"/>
      <c r="VSF17" s="476"/>
      <c r="VSG17" s="476"/>
      <c r="VSH17" s="476"/>
      <c r="VSI17" s="477"/>
      <c r="VSJ17" s="477"/>
      <c r="VSK17" s="463"/>
      <c r="VSL17" s="475"/>
      <c r="VSM17" s="476"/>
      <c r="VSN17" s="476"/>
      <c r="VSO17" s="476"/>
      <c r="VSP17" s="476"/>
      <c r="VSQ17" s="476"/>
      <c r="VSR17" s="476"/>
      <c r="VSS17" s="476"/>
      <c r="VST17" s="476"/>
      <c r="VSU17" s="476"/>
      <c r="VSV17" s="476"/>
      <c r="VSW17" s="476"/>
      <c r="VSX17" s="476"/>
      <c r="VSY17" s="477"/>
      <c r="VSZ17" s="477"/>
      <c r="VTA17" s="463"/>
      <c r="VTB17" s="475"/>
      <c r="VTC17" s="476"/>
      <c r="VTD17" s="476"/>
      <c r="VTE17" s="476"/>
      <c r="VTF17" s="476"/>
      <c r="VTG17" s="476"/>
      <c r="VTH17" s="476"/>
      <c r="VTI17" s="476"/>
      <c r="VTJ17" s="476"/>
      <c r="VTK17" s="476"/>
      <c r="VTL17" s="476"/>
      <c r="VTM17" s="476"/>
      <c r="VTN17" s="476"/>
      <c r="VTO17" s="477"/>
      <c r="VTP17" s="477"/>
      <c r="VTQ17" s="463"/>
      <c r="VTR17" s="475"/>
      <c r="VTS17" s="476"/>
      <c r="VTT17" s="476"/>
      <c r="VTU17" s="476"/>
      <c r="VTV17" s="476"/>
      <c r="VTW17" s="476"/>
      <c r="VTX17" s="476"/>
      <c r="VTY17" s="476"/>
      <c r="VTZ17" s="476"/>
      <c r="VUA17" s="476"/>
      <c r="VUB17" s="476"/>
      <c r="VUC17" s="476"/>
      <c r="VUD17" s="476"/>
      <c r="VUE17" s="477"/>
      <c r="VUF17" s="477"/>
      <c r="VUG17" s="463"/>
      <c r="VUH17" s="475"/>
      <c r="VUI17" s="476"/>
      <c r="VUJ17" s="476"/>
      <c r="VUK17" s="476"/>
      <c r="VUL17" s="476"/>
      <c r="VUM17" s="476"/>
      <c r="VUN17" s="476"/>
      <c r="VUO17" s="476"/>
      <c r="VUP17" s="476"/>
      <c r="VUQ17" s="476"/>
      <c r="VUR17" s="476"/>
      <c r="VUS17" s="476"/>
      <c r="VUT17" s="476"/>
      <c r="VUU17" s="477"/>
      <c r="VUV17" s="477"/>
      <c r="VUW17" s="463"/>
      <c r="VUX17" s="475"/>
      <c r="VUY17" s="476"/>
      <c r="VUZ17" s="476"/>
      <c r="VVA17" s="476"/>
      <c r="VVB17" s="476"/>
      <c r="VVC17" s="476"/>
      <c r="VVD17" s="476"/>
      <c r="VVE17" s="476"/>
      <c r="VVF17" s="476"/>
      <c r="VVG17" s="476"/>
      <c r="VVH17" s="476"/>
      <c r="VVI17" s="476"/>
      <c r="VVJ17" s="476"/>
      <c r="VVK17" s="477"/>
      <c r="VVL17" s="477"/>
      <c r="VVM17" s="463"/>
      <c r="VVN17" s="475"/>
      <c r="VVO17" s="476"/>
      <c r="VVP17" s="476"/>
      <c r="VVQ17" s="476"/>
      <c r="VVR17" s="476"/>
      <c r="VVS17" s="476"/>
      <c r="VVT17" s="476"/>
      <c r="VVU17" s="476"/>
      <c r="VVV17" s="476"/>
      <c r="VVW17" s="476"/>
      <c r="VVX17" s="476"/>
      <c r="VVY17" s="476"/>
      <c r="VVZ17" s="476"/>
      <c r="VWA17" s="477"/>
      <c r="VWB17" s="477"/>
      <c r="VWC17" s="463"/>
      <c r="VWD17" s="475"/>
      <c r="VWE17" s="476"/>
      <c r="VWF17" s="476"/>
      <c r="VWG17" s="476"/>
      <c r="VWH17" s="476"/>
      <c r="VWI17" s="476"/>
      <c r="VWJ17" s="476"/>
      <c r="VWK17" s="476"/>
      <c r="VWL17" s="476"/>
      <c r="VWM17" s="476"/>
      <c r="VWN17" s="476"/>
      <c r="VWO17" s="476"/>
      <c r="VWP17" s="476"/>
      <c r="VWQ17" s="477"/>
      <c r="VWR17" s="477"/>
      <c r="VWS17" s="463"/>
      <c r="VWT17" s="475"/>
      <c r="VWU17" s="476"/>
      <c r="VWV17" s="476"/>
      <c r="VWW17" s="476"/>
      <c r="VWX17" s="476"/>
      <c r="VWY17" s="476"/>
      <c r="VWZ17" s="476"/>
      <c r="VXA17" s="476"/>
      <c r="VXB17" s="476"/>
      <c r="VXC17" s="476"/>
      <c r="VXD17" s="476"/>
      <c r="VXE17" s="476"/>
      <c r="VXF17" s="476"/>
      <c r="VXG17" s="477"/>
      <c r="VXH17" s="477"/>
      <c r="VXI17" s="463"/>
      <c r="VXJ17" s="475"/>
      <c r="VXK17" s="476"/>
      <c r="VXL17" s="476"/>
      <c r="VXM17" s="476"/>
      <c r="VXN17" s="476"/>
      <c r="VXO17" s="476"/>
      <c r="VXP17" s="476"/>
      <c r="VXQ17" s="476"/>
      <c r="VXR17" s="476"/>
      <c r="VXS17" s="476"/>
      <c r="VXT17" s="476"/>
      <c r="VXU17" s="476"/>
      <c r="VXV17" s="476"/>
      <c r="VXW17" s="477"/>
      <c r="VXX17" s="477"/>
      <c r="VXY17" s="463"/>
      <c r="VXZ17" s="475"/>
      <c r="VYA17" s="476"/>
      <c r="VYB17" s="476"/>
      <c r="VYC17" s="476"/>
      <c r="VYD17" s="476"/>
      <c r="VYE17" s="476"/>
      <c r="VYF17" s="476"/>
      <c r="VYG17" s="476"/>
      <c r="VYH17" s="476"/>
      <c r="VYI17" s="476"/>
      <c r="VYJ17" s="476"/>
      <c r="VYK17" s="476"/>
      <c r="VYL17" s="476"/>
      <c r="VYM17" s="477"/>
      <c r="VYN17" s="477"/>
      <c r="VYO17" s="463"/>
      <c r="VYP17" s="475"/>
      <c r="VYQ17" s="476"/>
      <c r="VYR17" s="476"/>
      <c r="VYS17" s="476"/>
      <c r="VYT17" s="476"/>
      <c r="VYU17" s="476"/>
      <c r="VYV17" s="476"/>
      <c r="VYW17" s="476"/>
      <c r="VYX17" s="476"/>
      <c r="VYY17" s="476"/>
      <c r="VYZ17" s="476"/>
      <c r="VZA17" s="476"/>
      <c r="VZB17" s="476"/>
      <c r="VZC17" s="477"/>
      <c r="VZD17" s="477"/>
      <c r="VZE17" s="463"/>
      <c r="VZF17" s="475"/>
      <c r="VZG17" s="476"/>
      <c r="VZH17" s="476"/>
      <c r="VZI17" s="476"/>
      <c r="VZJ17" s="476"/>
      <c r="VZK17" s="476"/>
      <c r="VZL17" s="476"/>
      <c r="VZM17" s="476"/>
      <c r="VZN17" s="476"/>
      <c r="VZO17" s="476"/>
      <c r="VZP17" s="476"/>
      <c r="VZQ17" s="476"/>
      <c r="VZR17" s="476"/>
      <c r="VZS17" s="477"/>
      <c r="VZT17" s="477"/>
      <c r="VZU17" s="463"/>
      <c r="VZV17" s="475"/>
      <c r="VZW17" s="476"/>
      <c r="VZX17" s="476"/>
      <c r="VZY17" s="476"/>
      <c r="VZZ17" s="476"/>
      <c r="WAA17" s="476"/>
      <c r="WAB17" s="476"/>
      <c r="WAC17" s="476"/>
      <c r="WAD17" s="476"/>
      <c r="WAE17" s="476"/>
      <c r="WAF17" s="476"/>
      <c r="WAG17" s="476"/>
      <c r="WAH17" s="476"/>
      <c r="WAI17" s="477"/>
      <c r="WAJ17" s="477"/>
      <c r="WAK17" s="463"/>
      <c r="WAL17" s="475"/>
      <c r="WAM17" s="476"/>
      <c r="WAN17" s="476"/>
      <c r="WAO17" s="476"/>
      <c r="WAP17" s="476"/>
      <c r="WAQ17" s="476"/>
      <c r="WAR17" s="476"/>
      <c r="WAS17" s="476"/>
      <c r="WAT17" s="476"/>
      <c r="WAU17" s="476"/>
      <c r="WAV17" s="476"/>
      <c r="WAW17" s="476"/>
      <c r="WAX17" s="476"/>
      <c r="WAY17" s="477"/>
      <c r="WAZ17" s="477"/>
      <c r="WBA17" s="463"/>
      <c r="WBB17" s="475"/>
      <c r="WBC17" s="476"/>
      <c r="WBD17" s="476"/>
      <c r="WBE17" s="476"/>
      <c r="WBF17" s="476"/>
      <c r="WBG17" s="476"/>
      <c r="WBH17" s="476"/>
      <c r="WBI17" s="476"/>
      <c r="WBJ17" s="476"/>
      <c r="WBK17" s="476"/>
      <c r="WBL17" s="476"/>
      <c r="WBM17" s="476"/>
      <c r="WBN17" s="476"/>
      <c r="WBO17" s="477"/>
      <c r="WBP17" s="477"/>
      <c r="WBQ17" s="463"/>
      <c r="WBR17" s="475"/>
      <c r="WBS17" s="476"/>
      <c r="WBT17" s="476"/>
      <c r="WBU17" s="476"/>
      <c r="WBV17" s="476"/>
      <c r="WBW17" s="476"/>
      <c r="WBX17" s="476"/>
      <c r="WBY17" s="476"/>
      <c r="WBZ17" s="476"/>
      <c r="WCA17" s="476"/>
      <c r="WCB17" s="476"/>
      <c r="WCC17" s="476"/>
      <c r="WCD17" s="476"/>
      <c r="WCE17" s="477"/>
      <c r="WCF17" s="477"/>
      <c r="WCG17" s="463"/>
      <c r="WCH17" s="475"/>
      <c r="WCI17" s="476"/>
      <c r="WCJ17" s="476"/>
      <c r="WCK17" s="476"/>
      <c r="WCL17" s="476"/>
      <c r="WCM17" s="476"/>
      <c r="WCN17" s="476"/>
      <c r="WCO17" s="476"/>
      <c r="WCP17" s="476"/>
      <c r="WCQ17" s="476"/>
      <c r="WCR17" s="476"/>
      <c r="WCS17" s="476"/>
      <c r="WCT17" s="476"/>
      <c r="WCU17" s="477"/>
      <c r="WCV17" s="477"/>
      <c r="WCW17" s="463"/>
      <c r="WCX17" s="475"/>
      <c r="WCY17" s="476"/>
      <c r="WCZ17" s="476"/>
      <c r="WDA17" s="476"/>
      <c r="WDB17" s="476"/>
      <c r="WDC17" s="476"/>
      <c r="WDD17" s="476"/>
      <c r="WDE17" s="476"/>
      <c r="WDF17" s="476"/>
      <c r="WDG17" s="476"/>
      <c r="WDH17" s="476"/>
      <c r="WDI17" s="476"/>
      <c r="WDJ17" s="476"/>
      <c r="WDK17" s="477"/>
      <c r="WDL17" s="477"/>
      <c r="WDM17" s="463"/>
      <c r="WDN17" s="475"/>
      <c r="WDO17" s="476"/>
      <c r="WDP17" s="476"/>
      <c r="WDQ17" s="476"/>
      <c r="WDR17" s="476"/>
      <c r="WDS17" s="476"/>
      <c r="WDT17" s="476"/>
      <c r="WDU17" s="476"/>
      <c r="WDV17" s="476"/>
      <c r="WDW17" s="476"/>
      <c r="WDX17" s="476"/>
      <c r="WDY17" s="476"/>
      <c r="WDZ17" s="476"/>
      <c r="WEA17" s="477"/>
      <c r="WEB17" s="477"/>
      <c r="WEC17" s="463"/>
      <c r="WED17" s="475"/>
      <c r="WEE17" s="476"/>
      <c r="WEF17" s="476"/>
      <c r="WEG17" s="476"/>
      <c r="WEH17" s="476"/>
      <c r="WEI17" s="476"/>
      <c r="WEJ17" s="476"/>
      <c r="WEK17" s="476"/>
      <c r="WEL17" s="476"/>
      <c r="WEM17" s="476"/>
      <c r="WEN17" s="476"/>
      <c r="WEO17" s="476"/>
      <c r="WEP17" s="476"/>
      <c r="WEQ17" s="477"/>
      <c r="WER17" s="477"/>
      <c r="WES17" s="463"/>
      <c r="WET17" s="475"/>
      <c r="WEU17" s="476"/>
      <c r="WEV17" s="476"/>
      <c r="WEW17" s="476"/>
      <c r="WEX17" s="476"/>
      <c r="WEY17" s="476"/>
      <c r="WEZ17" s="476"/>
      <c r="WFA17" s="476"/>
      <c r="WFB17" s="476"/>
      <c r="WFC17" s="476"/>
      <c r="WFD17" s="476"/>
      <c r="WFE17" s="476"/>
      <c r="WFF17" s="476"/>
      <c r="WFG17" s="477"/>
      <c r="WFH17" s="477"/>
      <c r="WFI17" s="463"/>
      <c r="WFJ17" s="475"/>
      <c r="WFK17" s="476"/>
      <c r="WFL17" s="476"/>
      <c r="WFM17" s="476"/>
      <c r="WFN17" s="476"/>
      <c r="WFO17" s="476"/>
      <c r="WFP17" s="476"/>
      <c r="WFQ17" s="476"/>
      <c r="WFR17" s="476"/>
      <c r="WFS17" s="476"/>
      <c r="WFT17" s="476"/>
      <c r="WFU17" s="476"/>
      <c r="WFV17" s="476"/>
      <c r="WFW17" s="477"/>
      <c r="WFX17" s="477"/>
      <c r="WFY17" s="463"/>
      <c r="WFZ17" s="475"/>
      <c r="WGA17" s="476"/>
      <c r="WGB17" s="476"/>
      <c r="WGC17" s="476"/>
      <c r="WGD17" s="476"/>
      <c r="WGE17" s="476"/>
      <c r="WGF17" s="476"/>
      <c r="WGG17" s="476"/>
      <c r="WGH17" s="476"/>
      <c r="WGI17" s="476"/>
      <c r="WGJ17" s="476"/>
      <c r="WGK17" s="476"/>
      <c r="WGL17" s="476"/>
      <c r="WGM17" s="477"/>
      <c r="WGN17" s="477"/>
      <c r="WGO17" s="463"/>
      <c r="WGP17" s="475"/>
      <c r="WGQ17" s="476"/>
      <c r="WGR17" s="476"/>
      <c r="WGS17" s="476"/>
      <c r="WGT17" s="476"/>
      <c r="WGU17" s="476"/>
      <c r="WGV17" s="476"/>
      <c r="WGW17" s="476"/>
      <c r="WGX17" s="476"/>
      <c r="WGY17" s="476"/>
      <c r="WGZ17" s="476"/>
      <c r="WHA17" s="476"/>
      <c r="WHB17" s="476"/>
      <c r="WHC17" s="477"/>
      <c r="WHD17" s="477"/>
      <c r="WHE17" s="463"/>
      <c r="WHF17" s="475"/>
      <c r="WHG17" s="476"/>
      <c r="WHH17" s="476"/>
      <c r="WHI17" s="476"/>
      <c r="WHJ17" s="476"/>
      <c r="WHK17" s="476"/>
      <c r="WHL17" s="476"/>
      <c r="WHM17" s="476"/>
      <c r="WHN17" s="476"/>
      <c r="WHO17" s="476"/>
      <c r="WHP17" s="476"/>
      <c r="WHQ17" s="476"/>
      <c r="WHR17" s="476"/>
      <c r="WHS17" s="477"/>
      <c r="WHT17" s="477"/>
      <c r="WHU17" s="463"/>
      <c r="WHV17" s="475"/>
      <c r="WHW17" s="476"/>
      <c r="WHX17" s="476"/>
      <c r="WHY17" s="476"/>
      <c r="WHZ17" s="476"/>
      <c r="WIA17" s="476"/>
      <c r="WIB17" s="476"/>
      <c r="WIC17" s="476"/>
      <c r="WID17" s="476"/>
      <c r="WIE17" s="476"/>
      <c r="WIF17" s="476"/>
      <c r="WIG17" s="476"/>
      <c r="WIH17" s="476"/>
      <c r="WII17" s="477"/>
      <c r="WIJ17" s="477"/>
      <c r="WIK17" s="463"/>
      <c r="WIL17" s="475"/>
      <c r="WIM17" s="476"/>
      <c r="WIN17" s="476"/>
      <c r="WIO17" s="476"/>
      <c r="WIP17" s="476"/>
      <c r="WIQ17" s="476"/>
      <c r="WIR17" s="476"/>
      <c r="WIS17" s="476"/>
      <c r="WIT17" s="476"/>
      <c r="WIU17" s="476"/>
      <c r="WIV17" s="476"/>
      <c r="WIW17" s="476"/>
      <c r="WIX17" s="476"/>
      <c r="WIY17" s="477"/>
      <c r="WIZ17" s="477"/>
      <c r="WJA17" s="463"/>
      <c r="WJB17" s="475"/>
      <c r="WJC17" s="476"/>
      <c r="WJD17" s="476"/>
      <c r="WJE17" s="476"/>
      <c r="WJF17" s="476"/>
      <c r="WJG17" s="476"/>
      <c r="WJH17" s="476"/>
      <c r="WJI17" s="476"/>
      <c r="WJJ17" s="476"/>
      <c r="WJK17" s="476"/>
      <c r="WJL17" s="476"/>
      <c r="WJM17" s="476"/>
      <c r="WJN17" s="476"/>
      <c r="WJO17" s="477"/>
      <c r="WJP17" s="477"/>
      <c r="WJQ17" s="463"/>
      <c r="WJR17" s="475"/>
      <c r="WJS17" s="476"/>
      <c r="WJT17" s="476"/>
      <c r="WJU17" s="476"/>
      <c r="WJV17" s="476"/>
      <c r="WJW17" s="476"/>
      <c r="WJX17" s="476"/>
      <c r="WJY17" s="476"/>
      <c r="WJZ17" s="476"/>
      <c r="WKA17" s="476"/>
      <c r="WKB17" s="476"/>
      <c r="WKC17" s="476"/>
      <c r="WKD17" s="476"/>
      <c r="WKE17" s="477"/>
      <c r="WKF17" s="477"/>
      <c r="WKG17" s="463"/>
      <c r="WKH17" s="475"/>
      <c r="WKI17" s="476"/>
      <c r="WKJ17" s="476"/>
      <c r="WKK17" s="476"/>
      <c r="WKL17" s="476"/>
      <c r="WKM17" s="476"/>
      <c r="WKN17" s="476"/>
      <c r="WKO17" s="476"/>
      <c r="WKP17" s="476"/>
      <c r="WKQ17" s="476"/>
      <c r="WKR17" s="476"/>
      <c r="WKS17" s="476"/>
      <c r="WKT17" s="476"/>
      <c r="WKU17" s="477"/>
      <c r="WKV17" s="477"/>
      <c r="WKW17" s="463"/>
      <c r="WKX17" s="475"/>
      <c r="WKY17" s="476"/>
      <c r="WKZ17" s="476"/>
      <c r="WLA17" s="476"/>
      <c r="WLB17" s="476"/>
      <c r="WLC17" s="476"/>
      <c r="WLD17" s="476"/>
      <c r="WLE17" s="476"/>
      <c r="WLF17" s="476"/>
      <c r="WLG17" s="476"/>
      <c r="WLH17" s="476"/>
      <c r="WLI17" s="476"/>
      <c r="WLJ17" s="476"/>
      <c r="WLK17" s="477"/>
      <c r="WLL17" s="477"/>
      <c r="WLM17" s="463"/>
      <c r="WLN17" s="475"/>
      <c r="WLO17" s="476"/>
      <c r="WLP17" s="476"/>
      <c r="WLQ17" s="476"/>
      <c r="WLR17" s="476"/>
      <c r="WLS17" s="476"/>
      <c r="WLT17" s="476"/>
      <c r="WLU17" s="476"/>
      <c r="WLV17" s="476"/>
      <c r="WLW17" s="476"/>
      <c r="WLX17" s="476"/>
      <c r="WLY17" s="476"/>
      <c r="WLZ17" s="476"/>
      <c r="WMA17" s="477"/>
      <c r="WMB17" s="477"/>
      <c r="WMC17" s="463"/>
      <c r="WMD17" s="475"/>
      <c r="WME17" s="476"/>
      <c r="WMF17" s="476"/>
      <c r="WMG17" s="476"/>
      <c r="WMH17" s="476"/>
      <c r="WMI17" s="476"/>
      <c r="WMJ17" s="476"/>
      <c r="WMK17" s="476"/>
      <c r="WML17" s="476"/>
      <c r="WMM17" s="476"/>
      <c r="WMN17" s="476"/>
      <c r="WMO17" s="476"/>
      <c r="WMP17" s="476"/>
      <c r="WMQ17" s="477"/>
      <c r="WMR17" s="477"/>
      <c r="WMS17" s="463"/>
      <c r="WMT17" s="475"/>
      <c r="WMU17" s="476"/>
      <c r="WMV17" s="476"/>
      <c r="WMW17" s="476"/>
      <c r="WMX17" s="476"/>
      <c r="WMY17" s="476"/>
      <c r="WMZ17" s="476"/>
      <c r="WNA17" s="476"/>
      <c r="WNB17" s="476"/>
      <c r="WNC17" s="476"/>
      <c r="WND17" s="476"/>
      <c r="WNE17" s="476"/>
      <c r="WNF17" s="476"/>
      <c r="WNG17" s="477"/>
      <c r="WNH17" s="477"/>
      <c r="WNI17" s="463"/>
      <c r="WNJ17" s="475"/>
      <c r="WNK17" s="476"/>
      <c r="WNL17" s="476"/>
      <c r="WNM17" s="476"/>
      <c r="WNN17" s="476"/>
      <c r="WNO17" s="476"/>
      <c r="WNP17" s="476"/>
      <c r="WNQ17" s="476"/>
      <c r="WNR17" s="476"/>
      <c r="WNS17" s="476"/>
      <c r="WNT17" s="476"/>
      <c r="WNU17" s="476"/>
      <c r="WNV17" s="476"/>
      <c r="WNW17" s="477"/>
      <c r="WNX17" s="477"/>
      <c r="WNY17" s="463"/>
      <c r="WNZ17" s="475"/>
      <c r="WOA17" s="476"/>
      <c r="WOB17" s="476"/>
      <c r="WOC17" s="476"/>
      <c r="WOD17" s="476"/>
      <c r="WOE17" s="476"/>
      <c r="WOF17" s="476"/>
      <c r="WOG17" s="476"/>
      <c r="WOH17" s="476"/>
      <c r="WOI17" s="476"/>
      <c r="WOJ17" s="476"/>
      <c r="WOK17" s="476"/>
      <c r="WOL17" s="476"/>
      <c r="WOM17" s="477"/>
      <c r="WON17" s="477"/>
      <c r="WOO17" s="463"/>
      <c r="WOP17" s="475"/>
      <c r="WOQ17" s="476"/>
      <c r="WOR17" s="476"/>
      <c r="WOS17" s="476"/>
      <c r="WOT17" s="476"/>
      <c r="WOU17" s="476"/>
      <c r="WOV17" s="476"/>
      <c r="WOW17" s="476"/>
      <c r="WOX17" s="476"/>
      <c r="WOY17" s="476"/>
      <c r="WOZ17" s="476"/>
      <c r="WPA17" s="476"/>
      <c r="WPB17" s="476"/>
      <c r="WPC17" s="477"/>
      <c r="WPD17" s="477"/>
      <c r="WPE17" s="463"/>
      <c r="WPF17" s="475"/>
      <c r="WPG17" s="476"/>
      <c r="WPH17" s="476"/>
      <c r="WPI17" s="476"/>
      <c r="WPJ17" s="476"/>
      <c r="WPK17" s="476"/>
      <c r="WPL17" s="476"/>
      <c r="WPM17" s="476"/>
      <c r="WPN17" s="476"/>
      <c r="WPO17" s="476"/>
      <c r="WPP17" s="476"/>
      <c r="WPQ17" s="476"/>
      <c r="WPR17" s="476"/>
      <c r="WPS17" s="477"/>
      <c r="WPT17" s="477"/>
      <c r="WPU17" s="463"/>
      <c r="WPV17" s="475"/>
      <c r="WPW17" s="476"/>
      <c r="WPX17" s="476"/>
      <c r="WPY17" s="476"/>
      <c r="WPZ17" s="476"/>
      <c r="WQA17" s="476"/>
      <c r="WQB17" s="476"/>
      <c r="WQC17" s="476"/>
      <c r="WQD17" s="476"/>
      <c r="WQE17" s="476"/>
      <c r="WQF17" s="476"/>
      <c r="WQG17" s="476"/>
      <c r="WQH17" s="476"/>
      <c r="WQI17" s="477"/>
      <c r="WQJ17" s="477"/>
      <c r="WQK17" s="463"/>
      <c r="WQL17" s="475"/>
      <c r="WQM17" s="476"/>
      <c r="WQN17" s="476"/>
      <c r="WQO17" s="476"/>
      <c r="WQP17" s="476"/>
      <c r="WQQ17" s="476"/>
      <c r="WQR17" s="476"/>
      <c r="WQS17" s="476"/>
      <c r="WQT17" s="476"/>
      <c r="WQU17" s="476"/>
      <c r="WQV17" s="476"/>
      <c r="WQW17" s="476"/>
      <c r="WQX17" s="476"/>
      <c r="WQY17" s="477"/>
      <c r="WQZ17" s="477"/>
      <c r="WRA17" s="463"/>
      <c r="WRB17" s="475"/>
      <c r="WRC17" s="476"/>
      <c r="WRD17" s="476"/>
      <c r="WRE17" s="476"/>
      <c r="WRF17" s="476"/>
      <c r="WRG17" s="476"/>
      <c r="WRH17" s="476"/>
      <c r="WRI17" s="476"/>
      <c r="WRJ17" s="476"/>
      <c r="WRK17" s="476"/>
      <c r="WRL17" s="476"/>
      <c r="WRM17" s="476"/>
      <c r="WRN17" s="476"/>
      <c r="WRO17" s="477"/>
      <c r="WRP17" s="477"/>
      <c r="WRQ17" s="463"/>
      <c r="WRR17" s="475"/>
      <c r="WRS17" s="476"/>
      <c r="WRT17" s="476"/>
      <c r="WRU17" s="476"/>
      <c r="WRV17" s="476"/>
      <c r="WRW17" s="476"/>
      <c r="WRX17" s="476"/>
      <c r="WRY17" s="476"/>
      <c r="WRZ17" s="476"/>
      <c r="WSA17" s="476"/>
      <c r="WSB17" s="476"/>
      <c r="WSC17" s="476"/>
      <c r="WSD17" s="476"/>
      <c r="WSE17" s="477"/>
      <c r="WSF17" s="477"/>
      <c r="WSG17" s="463"/>
      <c r="WSH17" s="475"/>
      <c r="WSI17" s="476"/>
      <c r="WSJ17" s="476"/>
      <c r="WSK17" s="476"/>
      <c r="WSL17" s="476"/>
      <c r="WSM17" s="476"/>
      <c r="WSN17" s="476"/>
      <c r="WSO17" s="476"/>
      <c r="WSP17" s="476"/>
      <c r="WSQ17" s="476"/>
      <c r="WSR17" s="476"/>
      <c r="WSS17" s="476"/>
      <c r="WST17" s="476"/>
      <c r="WSU17" s="477"/>
      <c r="WSV17" s="477"/>
      <c r="WSW17" s="463"/>
      <c r="WSX17" s="475"/>
      <c r="WSY17" s="476"/>
      <c r="WSZ17" s="476"/>
      <c r="WTA17" s="476"/>
      <c r="WTB17" s="476"/>
      <c r="WTC17" s="476"/>
      <c r="WTD17" s="476"/>
      <c r="WTE17" s="476"/>
      <c r="WTF17" s="476"/>
      <c r="WTG17" s="476"/>
      <c r="WTH17" s="476"/>
      <c r="WTI17" s="476"/>
      <c r="WTJ17" s="476"/>
      <c r="WTK17" s="477"/>
      <c r="WTL17" s="477"/>
      <c r="WTM17" s="463"/>
      <c r="WTN17" s="475"/>
      <c r="WTO17" s="476"/>
      <c r="WTP17" s="476"/>
      <c r="WTQ17" s="476"/>
      <c r="WTR17" s="476"/>
      <c r="WTS17" s="476"/>
      <c r="WTT17" s="476"/>
      <c r="WTU17" s="476"/>
      <c r="WTV17" s="476"/>
      <c r="WTW17" s="476"/>
      <c r="WTX17" s="476"/>
      <c r="WTY17" s="476"/>
      <c r="WTZ17" s="476"/>
      <c r="WUA17" s="477"/>
      <c r="WUB17" s="477"/>
      <c r="WUC17" s="463"/>
      <c r="WUD17" s="475"/>
      <c r="WUE17" s="476"/>
      <c r="WUF17" s="476"/>
      <c r="WUG17" s="476"/>
      <c r="WUH17" s="476"/>
      <c r="WUI17" s="476"/>
      <c r="WUJ17" s="476"/>
      <c r="WUK17" s="476"/>
      <c r="WUL17" s="476"/>
      <c r="WUM17" s="476"/>
      <c r="WUN17" s="476"/>
      <c r="WUO17" s="476"/>
      <c r="WUP17" s="476"/>
      <c r="WUQ17" s="477"/>
      <c r="WUR17" s="477"/>
      <c r="WUS17" s="463"/>
      <c r="WUT17" s="475"/>
      <c r="WUU17" s="476"/>
      <c r="WUV17" s="476"/>
      <c r="WUW17" s="476"/>
      <c r="WUX17" s="476"/>
      <c r="WUY17" s="476"/>
      <c r="WUZ17" s="476"/>
      <c r="WVA17" s="476"/>
      <c r="WVB17" s="476"/>
      <c r="WVC17" s="476"/>
      <c r="WVD17" s="476"/>
      <c r="WVE17" s="476"/>
      <c r="WVF17" s="476"/>
      <c r="WVG17" s="477"/>
      <c r="WVH17" s="477"/>
      <c r="WVI17" s="463"/>
      <c r="WVJ17" s="475"/>
      <c r="WVK17" s="476"/>
      <c r="WVL17" s="476"/>
      <c r="WVM17" s="476"/>
      <c r="WVN17" s="476"/>
      <c r="WVO17" s="476"/>
      <c r="WVP17" s="476"/>
      <c r="WVQ17" s="476"/>
      <c r="WVR17" s="476"/>
      <c r="WVS17" s="476"/>
      <c r="WVT17" s="476"/>
      <c r="WVU17" s="476"/>
      <c r="WVV17" s="476"/>
      <c r="WVW17" s="477"/>
      <c r="WVX17" s="477"/>
      <c r="WVY17" s="463"/>
      <c r="WVZ17" s="475"/>
      <c r="WWA17" s="476"/>
      <c r="WWB17" s="476"/>
      <c r="WWC17" s="476"/>
      <c r="WWD17" s="476"/>
      <c r="WWE17" s="476"/>
      <c r="WWF17" s="476"/>
      <c r="WWG17" s="476"/>
      <c r="WWH17" s="476"/>
      <c r="WWI17" s="476"/>
      <c r="WWJ17" s="476"/>
      <c r="WWK17" s="476"/>
      <c r="WWL17" s="476"/>
      <c r="WWM17" s="477"/>
      <c r="WWN17" s="477"/>
      <c r="WWO17" s="463"/>
      <c r="WWP17" s="475"/>
      <c r="WWQ17" s="476"/>
      <c r="WWR17" s="476"/>
      <c r="WWS17" s="476"/>
      <c r="WWT17" s="476"/>
      <c r="WWU17" s="476"/>
      <c r="WWV17" s="476"/>
      <c r="WWW17" s="476"/>
      <c r="WWX17" s="476"/>
      <c r="WWY17" s="476"/>
      <c r="WWZ17" s="476"/>
      <c r="WXA17" s="476"/>
      <c r="WXB17" s="476"/>
      <c r="WXC17" s="477"/>
      <c r="WXD17" s="477"/>
      <c r="WXE17" s="463"/>
      <c r="WXF17" s="475"/>
      <c r="WXG17" s="476"/>
      <c r="WXH17" s="476"/>
      <c r="WXI17" s="476"/>
      <c r="WXJ17" s="476"/>
      <c r="WXK17" s="476"/>
      <c r="WXL17" s="476"/>
      <c r="WXM17" s="476"/>
      <c r="WXN17" s="476"/>
      <c r="WXO17" s="476"/>
      <c r="WXP17" s="476"/>
      <c r="WXQ17" s="476"/>
      <c r="WXR17" s="476"/>
      <c r="WXS17" s="477"/>
      <c r="WXT17" s="477"/>
      <c r="WXU17" s="463"/>
      <c r="WXV17" s="475"/>
      <c r="WXW17" s="476"/>
      <c r="WXX17" s="476"/>
      <c r="WXY17" s="476"/>
      <c r="WXZ17" s="476"/>
      <c r="WYA17" s="476"/>
      <c r="WYB17" s="476"/>
      <c r="WYC17" s="476"/>
      <c r="WYD17" s="476"/>
      <c r="WYE17" s="476"/>
      <c r="WYF17" s="476"/>
      <c r="WYG17" s="476"/>
      <c r="WYH17" s="476"/>
      <c r="WYI17" s="477"/>
      <c r="WYJ17" s="477"/>
      <c r="WYK17" s="463"/>
      <c r="WYL17" s="475"/>
      <c r="WYM17" s="476"/>
      <c r="WYN17" s="476"/>
      <c r="WYO17" s="476"/>
      <c r="WYP17" s="476"/>
      <c r="WYQ17" s="476"/>
      <c r="WYR17" s="476"/>
      <c r="WYS17" s="476"/>
      <c r="WYT17" s="476"/>
      <c r="WYU17" s="476"/>
      <c r="WYV17" s="476"/>
      <c r="WYW17" s="476"/>
      <c r="WYX17" s="476"/>
      <c r="WYY17" s="477"/>
      <c r="WYZ17" s="477"/>
      <c r="WZA17" s="463"/>
      <c r="WZB17" s="475"/>
      <c r="WZC17" s="476"/>
      <c r="WZD17" s="476"/>
      <c r="WZE17" s="476"/>
      <c r="WZF17" s="476"/>
      <c r="WZG17" s="476"/>
      <c r="WZH17" s="476"/>
      <c r="WZI17" s="476"/>
      <c r="WZJ17" s="476"/>
      <c r="WZK17" s="476"/>
      <c r="WZL17" s="476"/>
      <c r="WZM17" s="476"/>
      <c r="WZN17" s="476"/>
      <c r="WZO17" s="477"/>
      <c r="WZP17" s="477"/>
      <c r="WZQ17" s="463"/>
      <c r="WZR17" s="475"/>
      <c r="WZS17" s="476"/>
      <c r="WZT17" s="476"/>
      <c r="WZU17" s="476"/>
      <c r="WZV17" s="476"/>
      <c r="WZW17" s="476"/>
      <c r="WZX17" s="476"/>
      <c r="WZY17" s="476"/>
      <c r="WZZ17" s="476"/>
      <c r="XAA17" s="476"/>
      <c r="XAB17" s="476"/>
      <c r="XAC17" s="476"/>
      <c r="XAD17" s="476"/>
      <c r="XAE17" s="477"/>
      <c r="XAF17" s="477"/>
      <c r="XAG17" s="463"/>
      <c r="XAH17" s="475"/>
      <c r="XAI17" s="476"/>
      <c r="XAJ17" s="476"/>
      <c r="XAK17" s="476"/>
      <c r="XAL17" s="476"/>
      <c r="XAM17" s="476"/>
      <c r="XAN17" s="476"/>
      <c r="XAO17" s="476"/>
      <c r="XAP17" s="476"/>
      <c r="XAQ17" s="476"/>
      <c r="XAR17" s="476"/>
      <c r="XAS17" s="476"/>
      <c r="XAT17" s="476"/>
      <c r="XAU17" s="477"/>
      <c r="XAV17" s="477"/>
      <c r="XAW17" s="463"/>
      <c r="XAX17" s="475"/>
      <c r="XAY17" s="476"/>
      <c r="XAZ17" s="476"/>
      <c r="XBA17" s="476"/>
      <c r="XBB17" s="476"/>
      <c r="XBC17" s="476"/>
      <c r="XBD17" s="476"/>
      <c r="XBE17" s="476"/>
      <c r="XBF17" s="476"/>
      <c r="XBG17" s="476"/>
      <c r="XBH17" s="476"/>
      <c r="XBI17" s="476"/>
      <c r="XBJ17" s="476"/>
      <c r="XBK17" s="477"/>
      <c r="XBL17" s="477"/>
      <c r="XBM17" s="463"/>
      <c r="XBN17" s="475"/>
      <c r="XBO17" s="476"/>
      <c r="XBP17" s="476"/>
      <c r="XBQ17" s="476"/>
      <c r="XBR17" s="476"/>
      <c r="XBS17" s="476"/>
      <c r="XBT17" s="476"/>
      <c r="XBU17" s="476"/>
      <c r="XBV17" s="476"/>
      <c r="XBW17" s="476"/>
      <c r="XBX17" s="476"/>
      <c r="XBY17" s="476"/>
      <c r="XBZ17" s="476"/>
      <c r="XCA17" s="477"/>
      <c r="XCB17" s="477"/>
      <c r="XCC17" s="463"/>
      <c r="XCD17" s="475"/>
      <c r="XCE17" s="476"/>
      <c r="XCF17" s="476"/>
      <c r="XCG17" s="476"/>
      <c r="XCH17" s="476"/>
      <c r="XCI17" s="476"/>
      <c r="XCJ17" s="476"/>
      <c r="XCK17" s="476"/>
      <c r="XCL17" s="476"/>
      <c r="XCM17" s="476"/>
      <c r="XCN17" s="476"/>
      <c r="XCO17" s="476"/>
      <c r="XCP17" s="476"/>
      <c r="XCQ17" s="477"/>
      <c r="XCR17" s="477"/>
      <c r="XCS17" s="463"/>
      <c r="XCT17" s="475"/>
      <c r="XCU17" s="476"/>
      <c r="XCV17" s="476"/>
      <c r="XCW17" s="476"/>
      <c r="XCX17" s="476"/>
      <c r="XCY17" s="476"/>
      <c r="XCZ17" s="476"/>
      <c r="XDA17" s="476"/>
      <c r="XDB17" s="476"/>
      <c r="XDC17" s="476"/>
      <c r="XDD17" s="476"/>
      <c r="XDE17" s="476"/>
      <c r="XDF17" s="476"/>
      <c r="XDG17" s="477"/>
      <c r="XDH17" s="477"/>
      <c r="XDI17" s="463"/>
      <c r="XDJ17" s="475"/>
      <c r="XDK17" s="476"/>
      <c r="XDL17" s="476"/>
      <c r="XDM17" s="476"/>
      <c r="XDN17" s="476"/>
      <c r="XDO17" s="476"/>
      <c r="XDP17" s="476"/>
      <c r="XDQ17" s="476"/>
      <c r="XDR17" s="476"/>
      <c r="XDS17" s="476"/>
      <c r="XDT17" s="476"/>
      <c r="XDU17" s="476"/>
      <c r="XDV17" s="476"/>
      <c r="XDW17" s="477"/>
      <c r="XDX17" s="477"/>
      <c r="XDY17" s="463"/>
      <c r="XDZ17" s="475"/>
      <c r="XEA17" s="476"/>
      <c r="XEB17" s="476"/>
      <c r="XEC17" s="476"/>
      <c r="XED17" s="476"/>
      <c r="XEE17" s="476"/>
      <c r="XEF17" s="476"/>
      <c r="XEG17" s="476"/>
      <c r="XEH17" s="476"/>
      <c r="XEI17" s="476"/>
      <c r="XEJ17" s="476"/>
      <c r="XEK17" s="476"/>
      <c r="XEL17" s="476"/>
      <c r="XEM17" s="477"/>
      <c r="XEN17" s="477"/>
      <c r="XEO17" s="463"/>
      <c r="XEP17" s="475"/>
      <c r="XEQ17" s="476"/>
    </row>
    <row r="18" spans="1:16371" ht="17.25" thickBot="1" x14ac:dyDescent="0.3">
      <c r="A18" s="463"/>
      <c r="B18" s="438"/>
      <c r="C18" s="438"/>
      <c r="D18" s="438"/>
      <c r="E18" s="438"/>
      <c r="F18" s="726"/>
      <c r="G18" s="726"/>
      <c r="H18" s="726"/>
      <c r="I18" s="726"/>
      <c r="J18" s="438"/>
      <c r="K18" s="438"/>
      <c r="L18" s="438"/>
      <c r="M18" s="438"/>
      <c r="N18" s="438">
        <f>((N21-100)*N8)/1000</f>
        <v>48.611799999999896</v>
      </c>
      <c r="O18" s="537"/>
      <c r="Q18" s="428"/>
      <c r="R18" s="801"/>
      <c r="S18" s="538"/>
      <c r="T18" s="538"/>
      <c r="U18" s="538"/>
      <c r="V18" s="538"/>
      <c r="W18" s="538"/>
    </row>
    <row r="19" spans="1:16371" ht="17.25" thickBot="1" x14ac:dyDescent="0.3">
      <c r="A19" s="463"/>
      <c r="B19" s="870" t="s">
        <v>434</v>
      </c>
      <c r="C19" s="871"/>
      <c r="D19" s="871"/>
      <c r="E19" s="871"/>
      <c r="F19" s="871"/>
      <c r="G19" s="871"/>
      <c r="H19" s="871"/>
      <c r="I19" s="871"/>
      <c r="J19" s="871"/>
      <c r="K19" s="871"/>
      <c r="L19" s="871"/>
      <c r="M19" s="871"/>
      <c r="N19" s="872"/>
      <c r="Q19" s="428"/>
      <c r="R19" s="295"/>
    </row>
    <row r="20" spans="1:16371" ht="33.75" thickBot="1" x14ac:dyDescent="0.3">
      <c r="A20" s="464" t="s">
        <v>380</v>
      </c>
      <c r="B20" s="464" t="s">
        <v>354</v>
      </c>
      <c r="C20" s="465">
        <f t="shared" ref="C20:N20" si="16">C$7</f>
        <v>43952</v>
      </c>
      <c r="D20" s="465">
        <f t="shared" si="16"/>
        <v>43983</v>
      </c>
      <c r="E20" s="465">
        <f t="shared" si="16"/>
        <v>44013</v>
      </c>
      <c r="F20" s="465">
        <f t="shared" si="16"/>
        <v>44044</v>
      </c>
      <c r="G20" s="465">
        <f t="shared" si="16"/>
        <v>44075</v>
      </c>
      <c r="H20" s="465">
        <f t="shared" si="16"/>
        <v>44105</v>
      </c>
      <c r="I20" s="465">
        <f t="shared" si="16"/>
        <v>44136</v>
      </c>
      <c r="J20" s="465">
        <f t="shared" si="16"/>
        <v>44166</v>
      </c>
      <c r="K20" s="465">
        <f t="shared" si="16"/>
        <v>44197</v>
      </c>
      <c r="L20" s="465">
        <f t="shared" si="16"/>
        <v>44228</v>
      </c>
      <c r="M20" s="465">
        <f t="shared" si="16"/>
        <v>44256</v>
      </c>
      <c r="N20" s="465">
        <f t="shared" si="16"/>
        <v>44287</v>
      </c>
      <c r="O20" s="716" t="s">
        <v>525</v>
      </c>
      <c r="P20" s="715" t="str">
        <f>"Año " &amp; YEAR(N20)</f>
        <v>Año 2021</v>
      </c>
      <c r="Q20" s="465" t="str">
        <f>"Año " &amp; YEAR(N20)-1</f>
        <v>Año 2020</v>
      </c>
      <c r="R20" s="295"/>
    </row>
    <row r="21" spans="1:16371" x14ac:dyDescent="0.25">
      <c r="A21" s="482" t="s">
        <v>184</v>
      </c>
      <c r="B21" s="483" t="s">
        <v>551</v>
      </c>
      <c r="C21" s="484">
        <f>INVENTARIOS!C29/'INDICADORES PRODUCCION'!C8*1000</f>
        <v>100.09394966819202</v>
      </c>
      <c r="D21" s="484">
        <f>INVENTARIOS!D29/'INDICADORES PRODUCCION'!D8*1000</f>
        <v>100.10690593678078</v>
      </c>
      <c r="E21" s="484">
        <f>INVENTARIOS!E29/'INDICADORES PRODUCCION'!E8*1000</f>
        <v>102.4724141961721</v>
      </c>
      <c r="F21" s="484">
        <f>INVENTARIOS!F29/'INDICADORES PRODUCCION'!F8*1000</f>
        <v>96.932063460149891</v>
      </c>
      <c r="G21" s="484">
        <f>INVENTARIOS!G29/'INDICADORES PRODUCCION'!G8*1000</f>
        <v>98.304820668840676</v>
      </c>
      <c r="H21" s="484">
        <f>INVENTARIOS!H29/'INDICADORES PRODUCCION'!H8*1000</f>
        <v>99.879195503049289</v>
      </c>
      <c r="I21" s="484">
        <f>INVENTARIOS!I29/'INDICADORES PRODUCCION'!I8*1000</f>
        <v>101.42297540155003</v>
      </c>
      <c r="J21" s="484">
        <f>INVENTARIOS!J29/'INDICADORES PRODUCCION'!J8*1000</f>
        <v>103.27681206005519</v>
      </c>
      <c r="K21" s="484">
        <f>INVENTARIOS!K29/'INDICADORES PRODUCCION'!K8*1000</f>
        <v>101.61224749380214</v>
      </c>
      <c r="L21" s="484">
        <f>INVENTARIOS!L29/'INDICADORES PRODUCCION'!L8*1000</f>
        <v>102.82438264871703</v>
      </c>
      <c r="M21" s="484">
        <f>INVENTARIOS!M29/'INDICADORES PRODUCCION'!M8*1000</f>
        <v>102.8653286006049</v>
      </c>
      <c r="N21" s="719">
        <f>INVENTARIOS!N29/'INDICADORES PRODUCCION'!N8*1000</f>
        <v>105.81410479975389</v>
      </c>
      <c r="O21" s="483">
        <f>IFERROR(SUM(INVENTARIOS!C29:N29)/SUM(INVENTARIOS!C$69:N$69)*1000,"-")</f>
        <v>101.45541640525407</v>
      </c>
      <c r="P21" s="483">
        <f>IFERROR(SUMIFS(INVENTARIOS!C29:N29,'INDICADORES PRODUCCION'!C$7:N$7,"&gt;="&amp;DATE(YEAR('INDICADORES PRODUCCION'!N$7),1,1),'INDICADORES PRODUCCION'!C$7:N$7,"&lt;="&amp;DATE(YEAR('INDICADORES PRODUCCION'!N$7),12,31))/SUMIFS(INVENTARIOS!C69:N69,'INDICADORES PRODUCCION'!C$7:N$7,"&gt;="&amp;DATE(YEAR('INDICADORES PRODUCCION'!N$7),1,1),'INDICADORES PRODUCCION'!C$7:N$7,"&lt;="&amp;DATE(YEAR('INDICADORES PRODUCCION'!N$7),12,31))*1000,"-")</f>
        <v>103.3183197944184</v>
      </c>
      <c r="Q21" s="709">
        <v>100.08</v>
      </c>
      <c r="R21" s="438"/>
      <c r="S21" s="438"/>
      <c r="T21" s="438"/>
      <c r="U21" s="438"/>
      <c r="V21" s="438"/>
      <c r="W21" s="438"/>
      <c r="X21" s="438"/>
      <c r="Y21" s="438"/>
      <c r="Z21" s="438"/>
      <c r="AA21" s="438"/>
      <c r="AB21" s="438"/>
      <c r="AC21" s="438"/>
      <c r="AE21" s="428">
        <f t="shared" ref="AE21:AO21" si="17">S21-C21</f>
        <v>-100.09394966819202</v>
      </c>
      <c r="AF21" s="428">
        <f t="shared" si="17"/>
        <v>-100.10690593678078</v>
      </c>
      <c r="AG21" s="428">
        <f t="shared" si="17"/>
        <v>-102.4724141961721</v>
      </c>
      <c r="AH21" s="428">
        <f t="shared" si="17"/>
        <v>-96.932063460149891</v>
      </c>
      <c r="AI21" s="428">
        <f t="shared" si="17"/>
        <v>-98.304820668840676</v>
      </c>
      <c r="AJ21" s="428">
        <f t="shared" si="17"/>
        <v>-99.879195503049289</v>
      </c>
      <c r="AK21" s="428">
        <f t="shared" si="17"/>
        <v>-101.42297540155003</v>
      </c>
      <c r="AL21" s="428">
        <f t="shared" si="17"/>
        <v>-103.27681206005519</v>
      </c>
      <c r="AM21" s="428">
        <f t="shared" si="17"/>
        <v>-101.61224749380214</v>
      </c>
      <c r="AN21" s="428">
        <f t="shared" si="17"/>
        <v>-102.82438264871703</v>
      </c>
      <c r="AO21" s="428">
        <f t="shared" si="17"/>
        <v>-102.8653286006049</v>
      </c>
      <c r="AP21" s="428"/>
      <c r="AQ21" s="428"/>
      <c r="AR21" s="428"/>
      <c r="AS21" s="428"/>
      <c r="AT21" s="428"/>
      <c r="AU21" s="428"/>
      <c r="AV21" s="428"/>
      <c r="AW21" s="428"/>
      <c r="AX21" s="428"/>
      <c r="AY21" s="428"/>
      <c r="AZ21" s="428"/>
      <c r="BA21" s="428"/>
      <c r="BB21" s="428"/>
      <c r="BC21" s="428"/>
      <c r="BD21" s="428"/>
      <c r="BE21" s="428"/>
      <c r="BF21" s="428"/>
      <c r="BG21" s="428"/>
    </row>
    <row r="22" spans="1:16371" x14ac:dyDescent="0.25">
      <c r="A22" s="485" t="s">
        <v>348</v>
      </c>
      <c r="B22" s="486" t="s">
        <v>519</v>
      </c>
      <c r="C22" s="487">
        <f>INVENTARIOS!C35/'INDICADORES PRODUCCION'!C8*1000</f>
        <v>19.297905613107087</v>
      </c>
      <c r="D22" s="487">
        <f>INVENTARIOS!D35/'INDICADORES PRODUCCION'!D8*1000</f>
        <v>20.514735746264126</v>
      </c>
      <c r="E22" s="487">
        <f>INVENTARIOS!E35/'INDICADORES PRODUCCION'!E8*1000</f>
        <v>20.516747583311886</v>
      </c>
      <c r="F22" s="487">
        <f>INVENTARIOS!F35/'INDICADORES PRODUCCION'!F8*1000</f>
        <v>21.581731435105741</v>
      </c>
      <c r="G22" s="487">
        <f>INVENTARIOS!G35/'INDICADORES PRODUCCION'!G8*1000</f>
        <v>20.241297305990884</v>
      </c>
      <c r="H22" s="487">
        <f>INVENTARIOS!H35/'INDICADORES PRODUCCION'!H8*1000</f>
        <v>19.577135638299048</v>
      </c>
      <c r="I22" s="487">
        <f>INVENTARIOS!I35/'INDICADORES PRODUCCION'!I8*1000</f>
        <v>17.857393575199371</v>
      </c>
      <c r="J22" s="487">
        <f>INVENTARIOS!J35/'INDICADORES PRODUCCION'!J8*1000</f>
        <v>18.517233924153174</v>
      </c>
      <c r="K22" s="487">
        <f>INVENTARIOS!K35/'INDICADORES PRODUCCION'!K8*1000</f>
        <v>18.958365865754349</v>
      </c>
      <c r="L22" s="487">
        <f>INVENTARIOS!L35/'INDICADORES PRODUCCION'!L8*1000</f>
        <v>18.529357893705996</v>
      </c>
      <c r="M22" s="487">
        <f>INVENTARIOS!M35/'INDICADORES PRODUCCION'!M8*1000</f>
        <v>21.744002104305672</v>
      </c>
      <c r="N22" s="706">
        <f>(INVENTARIOS!N35)/'INDICADORES PRODUCCION'!N8*1000</f>
        <v>21.453981886403227</v>
      </c>
      <c r="O22" s="486">
        <f>IFERROR(SUM(INVENTARIOS!C35:N35)/SUM(INVENTARIOS!C$69:N$69)*1000,"-")</f>
        <v>19.889232080914564</v>
      </c>
      <c r="P22" s="486">
        <f>IFERROR(SUMIFS(INVENTARIOS!C35:N35,'INDICADORES PRODUCCION'!C$7:N$7,"&gt;="&amp;DATE(YEAR('INDICADORES PRODUCCION'!N$7),1,1),'INDICADORES PRODUCCION'!C$7:N$7,"&lt;="&amp;DATE(YEAR('INDICADORES PRODUCCION'!N$7),12,31))/SUMIFS(INVENTARIOS!C69:N69,'INDICADORES PRODUCCION'!C$7:N$7,"&gt;="&amp;DATE(YEAR('INDICADORES PRODUCCION'!N$7),1,1),'INDICADORES PRODUCCION'!C$7:N$7,"&lt;="&amp;DATE(YEAR('INDICADORES PRODUCCION'!N$7),12,31))*1000,"-")</f>
        <v>20.241321022781623</v>
      </c>
      <c r="Q22" s="710">
        <v>20.745999999999999</v>
      </c>
      <c r="R22" s="438"/>
      <c r="S22" s="438"/>
      <c r="T22" s="438"/>
      <c r="U22" s="438"/>
      <c r="V22" s="438"/>
      <c r="W22" s="438"/>
      <c r="X22" s="438"/>
      <c r="Y22" s="438"/>
      <c r="Z22" s="438"/>
      <c r="AA22" s="438"/>
      <c r="AB22" s="438"/>
      <c r="AC22" s="438"/>
      <c r="AE22" s="428">
        <f t="shared" ref="AE22:AE36" si="18">S22-C22</f>
        <v>-19.297905613107087</v>
      </c>
      <c r="AF22" s="428">
        <f t="shared" ref="AF22:AF36" si="19">T22-D22</f>
        <v>-20.514735746264126</v>
      </c>
      <c r="AG22" s="428">
        <f t="shared" ref="AG22:AG36" si="20">U22-E22</f>
        <v>-20.516747583311886</v>
      </c>
      <c r="AH22" s="428">
        <f t="shared" ref="AH22:AH36" si="21">V22-F22</f>
        <v>-21.581731435105741</v>
      </c>
      <c r="AI22" s="428">
        <f t="shared" ref="AI22:AI36" si="22">W22-G22</f>
        <v>-20.241297305990884</v>
      </c>
      <c r="AJ22" s="428">
        <f t="shared" ref="AJ22:AJ36" si="23">X22-H22</f>
        <v>-19.577135638299048</v>
      </c>
      <c r="AK22" s="428">
        <f t="shared" ref="AK22:AK36" si="24">Y22-I22</f>
        <v>-17.857393575199371</v>
      </c>
      <c r="AL22" s="428">
        <f t="shared" ref="AL22:AL36" si="25">Z22-J22</f>
        <v>-18.517233924153174</v>
      </c>
      <c r="AM22" s="428">
        <f t="shared" ref="AM22:AM36" si="26">AA22-K22</f>
        <v>-18.958365865754349</v>
      </c>
      <c r="AN22" s="428">
        <f t="shared" ref="AN22:AN36" si="27">AB22-L22</f>
        <v>-18.529357893705996</v>
      </c>
      <c r="AO22" s="428">
        <f t="shared" ref="AO22:AO36" si="28">AC22-M22</f>
        <v>-21.744002104305672</v>
      </c>
      <c r="AP22" s="428"/>
      <c r="AQ22" s="428"/>
      <c r="AR22" s="428"/>
      <c r="AS22" s="428"/>
      <c r="AT22" s="428"/>
      <c r="AU22" s="428"/>
      <c r="AV22" s="428"/>
      <c r="AW22" s="428"/>
      <c r="AX22" s="428"/>
      <c r="AY22" s="428"/>
      <c r="AZ22" s="428"/>
      <c r="BA22" s="428"/>
      <c r="BB22" s="428"/>
      <c r="BC22" s="428"/>
      <c r="BD22" s="428"/>
      <c r="BE22" s="428"/>
      <c r="BF22" s="428"/>
      <c r="BG22" s="428"/>
    </row>
    <row r="23" spans="1:16371" x14ac:dyDescent="0.25">
      <c r="A23" s="485" t="s">
        <v>458</v>
      </c>
      <c r="B23" s="515">
        <v>0.15</v>
      </c>
      <c r="C23" s="516">
        <f>IF(C22&lt;=25,(25-C22)/25,0)</f>
        <v>0.22808377547571651</v>
      </c>
      <c r="D23" s="516">
        <f t="shared" ref="D23:N23" si="29">IF(D22&lt;=25,(25-D22)/25,0)</f>
        <v>0.17941057014943496</v>
      </c>
      <c r="E23" s="516">
        <f t="shared" si="29"/>
        <v>0.17933009666752453</v>
      </c>
      <c r="F23" s="516">
        <f t="shared" si="29"/>
        <v>0.13673074259577034</v>
      </c>
      <c r="G23" s="516">
        <f t="shared" si="29"/>
        <v>0.19034810776036465</v>
      </c>
      <c r="H23" s="516">
        <f t="shared" si="29"/>
        <v>0.21691457446803811</v>
      </c>
      <c r="I23" s="516">
        <f t="shared" si="29"/>
        <v>0.28570425699202517</v>
      </c>
      <c r="J23" s="516">
        <f t="shared" si="29"/>
        <v>0.25931064303387302</v>
      </c>
      <c r="K23" s="516">
        <f t="shared" si="29"/>
        <v>0.24166536536982605</v>
      </c>
      <c r="L23" s="516">
        <f t="shared" si="29"/>
        <v>0.25882568425176017</v>
      </c>
      <c r="M23" s="516">
        <f t="shared" si="29"/>
        <v>0.13023991582777314</v>
      </c>
      <c r="N23" s="707">
        <f t="shared" si="29"/>
        <v>0.14184072454387092</v>
      </c>
      <c r="O23" s="720">
        <f>IF(O22&lt;=25,(25-O22)/25,0)</f>
        <v>0.20443071676341745</v>
      </c>
      <c r="P23" s="720">
        <f>IF(P22&lt;=25,(25-P22)/25,0)</f>
        <v>0.19034715908873509</v>
      </c>
      <c r="Q23" s="711">
        <v>0.17013</v>
      </c>
      <c r="R23" s="438"/>
      <c r="S23" s="438"/>
      <c r="T23" s="438"/>
      <c r="U23" s="438"/>
      <c r="V23" s="438"/>
      <c r="W23" s="438"/>
      <c r="X23" s="438"/>
      <c r="Y23" s="438"/>
      <c r="Z23" s="438"/>
      <c r="AA23" s="438"/>
      <c r="AB23" s="438"/>
      <c r="AC23" s="438"/>
      <c r="AE23" s="428">
        <f t="shared" si="18"/>
        <v>-0.22808377547571651</v>
      </c>
      <c r="AF23" s="428">
        <f t="shared" si="19"/>
        <v>-0.17941057014943496</v>
      </c>
      <c r="AG23" s="428">
        <f t="shared" si="20"/>
        <v>-0.17933009666752453</v>
      </c>
      <c r="AH23" s="428">
        <f t="shared" si="21"/>
        <v>-0.13673074259577034</v>
      </c>
      <c r="AI23" s="428">
        <f t="shared" si="22"/>
        <v>-0.19034810776036465</v>
      </c>
      <c r="AJ23" s="428">
        <f t="shared" si="23"/>
        <v>-0.21691457446803811</v>
      </c>
      <c r="AK23" s="428">
        <f t="shared" si="24"/>
        <v>-0.28570425699202517</v>
      </c>
      <c r="AL23" s="428">
        <f t="shared" si="25"/>
        <v>-0.25931064303387302</v>
      </c>
      <c r="AM23" s="428">
        <f t="shared" si="26"/>
        <v>-0.24166536536982605</v>
      </c>
      <c r="AN23" s="428">
        <f t="shared" si="27"/>
        <v>-0.25882568425176017</v>
      </c>
      <c r="AO23" s="428">
        <f t="shared" si="28"/>
        <v>-0.13023991582777314</v>
      </c>
      <c r="AP23" s="428"/>
      <c r="AQ23" s="428"/>
      <c r="AR23" s="428"/>
      <c r="AS23" s="428"/>
      <c r="AT23" s="428"/>
      <c r="AU23" s="428"/>
      <c r="AV23" s="428"/>
      <c r="AW23" s="428"/>
      <c r="AX23" s="428"/>
      <c r="AY23" s="428"/>
      <c r="AZ23" s="428"/>
      <c r="BA23" s="428"/>
      <c r="BB23" s="428"/>
      <c r="BC23" s="428"/>
      <c r="BD23" s="428"/>
      <c r="BE23" s="428"/>
      <c r="BF23" s="428"/>
      <c r="BG23" s="428"/>
    </row>
    <row r="24" spans="1:16371" x14ac:dyDescent="0.25">
      <c r="A24" s="485" t="s">
        <v>346</v>
      </c>
      <c r="B24" s="486" t="s">
        <v>63</v>
      </c>
      <c r="C24" s="488">
        <f>C25/('REFINACION ACEITE DE PALMA'!F7/100)</f>
        <v>983.77181198579422</v>
      </c>
      <c r="D24" s="488">
        <f>D25/('REFINACION ACEITE DE PALMA'!F8/100)</f>
        <v>992.08833717491791</v>
      </c>
      <c r="E24" s="488">
        <f>E25/('REFINACION ACEITE DE PALMA'!F9/100)</f>
        <v>982.08167829679485</v>
      </c>
      <c r="F24" s="488">
        <f>F25/('REFINACION ACEITE DE PALMA'!F10/100)</f>
        <v>975.51627157500388</v>
      </c>
      <c r="G24" s="488">
        <f>G25/('REFINACION ACEITE DE PALMA'!F11/100)</f>
        <v>974.58631631586434</v>
      </c>
      <c r="H24" s="488">
        <f>H25/('REFINACION ACEITE DE PALMA'!F12/100)</f>
        <v>986.12200843481389</v>
      </c>
      <c r="I24" s="488">
        <f>I25/('REFINACION ACEITE DE PALMA'!F13/100)</f>
        <v>977.13274062931725</v>
      </c>
      <c r="J24" s="488">
        <f>J25/('REFINACION ACEITE DE PALMA'!F14/100)</f>
        <v>1034.1460686037124</v>
      </c>
      <c r="K24" s="488">
        <f>K25/('REFINACION ACEITE DE PALMA'!F15/100)</f>
        <v>988.86950254185535</v>
      </c>
      <c r="L24" s="488">
        <f>L25/('REFINACION ACEITE DE PALMA'!F16/100)</f>
        <v>984.66761216210944</v>
      </c>
      <c r="M24" s="488">
        <f>M25/('REFINACION ACEITE DE PALMA'!F17/100)</f>
        <v>996.13698703269881</v>
      </c>
      <c r="N24" s="708">
        <f>N25/('REFINACION ACEITE DE PALMA'!F18/100)</f>
        <v>1031.5597357096947</v>
      </c>
      <c r="O24" s="486">
        <f>O25/('REFINACION ACEITE DE PALMA'!F19/100)</f>
        <v>989.1103132275374</v>
      </c>
      <c r="P24" s="486"/>
      <c r="Q24" s="710"/>
      <c r="R24" s="438"/>
      <c r="S24" s="438"/>
      <c r="T24" s="438"/>
      <c r="U24" s="438"/>
      <c r="V24" s="438"/>
      <c r="W24" s="438"/>
      <c r="X24" s="438"/>
      <c r="Y24" s="438"/>
      <c r="Z24" s="438"/>
      <c r="AA24" s="438"/>
      <c r="AB24" s="438"/>
      <c r="AC24" s="438"/>
      <c r="AE24" s="815">
        <f>S24-C24</f>
        <v>-983.77181198579422</v>
      </c>
      <c r="AF24" s="815">
        <f t="shared" si="19"/>
        <v>-992.08833717491791</v>
      </c>
      <c r="AG24" s="815">
        <f t="shared" si="20"/>
        <v>-982.08167829679485</v>
      </c>
      <c r="AH24" s="815">
        <f t="shared" si="21"/>
        <v>-975.51627157500388</v>
      </c>
      <c r="AI24" s="815">
        <f t="shared" si="22"/>
        <v>-974.58631631586434</v>
      </c>
      <c r="AJ24" s="815">
        <f t="shared" si="23"/>
        <v>-986.12200843481389</v>
      </c>
      <c r="AK24" s="815">
        <f t="shared" si="24"/>
        <v>-977.13274062931725</v>
      </c>
      <c r="AL24" s="815">
        <f t="shared" si="25"/>
        <v>-1034.1460686037124</v>
      </c>
      <c r="AM24" s="815">
        <f t="shared" si="26"/>
        <v>-988.86950254185535</v>
      </c>
      <c r="AN24" s="815">
        <f t="shared" si="27"/>
        <v>-984.66761216210944</v>
      </c>
      <c r="AO24" s="815">
        <f t="shared" si="28"/>
        <v>-996.13698703269881</v>
      </c>
      <c r="AP24" s="428"/>
      <c r="AQ24" s="428"/>
      <c r="AR24" s="428"/>
      <c r="AS24" s="428"/>
      <c r="AT24" s="428"/>
      <c r="AU24" s="428"/>
      <c r="AV24" s="428"/>
      <c r="AW24" s="428"/>
      <c r="AX24" s="428"/>
      <c r="AY24" s="428"/>
      <c r="AZ24" s="428"/>
      <c r="BA24" s="428"/>
      <c r="BB24" s="428"/>
      <c r="BC24" s="428"/>
      <c r="BD24" s="428"/>
      <c r="BE24" s="428"/>
      <c r="BF24" s="428"/>
      <c r="BG24" s="428"/>
    </row>
    <row r="25" spans="1:16371" x14ac:dyDescent="0.25">
      <c r="A25" s="485" t="s">
        <v>347</v>
      </c>
      <c r="B25" s="486" t="s">
        <v>520</v>
      </c>
      <c r="C25" s="487">
        <f>INVENTARIOS!C17/'INDICADORES PRODUCCION'!C8*1000</f>
        <v>914.66976121628943</v>
      </c>
      <c r="D25" s="487">
        <f>INVENTARIOS!D17/'INDICADORES PRODUCCION'!D8*1000</f>
        <v>925.56004238890421</v>
      </c>
      <c r="E25" s="487">
        <f>INVENTARIOS!E17/'INDICADORES PRODUCCION'!E8*1000</f>
        <v>897.8782555230481</v>
      </c>
      <c r="F25" s="487">
        <f>INVENTARIOS!F17/'INDICADORES PRODUCCION'!F8*1000</f>
        <v>913.635376309089</v>
      </c>
      <c r="G25" s="487">
        <f>INVENTARIOS!G17/'INDICADORES PRODUCCION'!G8*1000</f>
        <v>924.47375893891513</v>
      </c>
      <c r="H25" s="487">
        <f>INVENTARIOS!H17/'INDICADORES PRODUCCION'!H8*1000</f>
        <v>938.79305124400344</v>
      </c>
      <c r="I25" s="487">
        <f>INVENTARIOS!I17/'INDICADORES PRODUCCION'!I8*1000</f>
        <v>911.59910107548012</v>
      </c>
      <c r="J25" s="487">
        <f>INVENTARIOS!J17/'INDICADORES PRODUCCION'!J8*1000</f>
        <v>957.5630555292305</v>
      </c>
      <c r="K25" s="487">
        <f>INVENTARIOS!K17/'INDICADORES PRODUCCION'!K8*1000</f>
        <v>936.37700735179669</v>
      </c>
      <c r="L25" s="487">
        <f>INVENTARIOS!L17/'INDICADORES PRODUCCION'!L8*1000</f>
        <v>936.01542958403741</v>
      </c>
      <c r="M25" s="697">
        <f>INVENTARIOS!M17/'INDICADORES PRODUCCION'!M8*1000</f>
        <v>944.30227155780585</v>
      </c>
      <c r="N25" s="727">
        <f>INVENTARIOS!N17/'INDICADORES PRODUCCION'!N8*1000</f>
        <v>970.27847825119727</v>
      </c>
      <c r="O25" s="486">
        <f>IFERROR(SUM(INVENTARIOS!C17:N17)/SUM(INVENTARIOS!C$69:N$69)*1000,"-")</f>
        <v>930.98841230098719</v>
      </c>
      <c r="P25" s="486">
        <f>IFERROR(SUMIFS(INVENTARIOS!C17:N17,'INDICADORES PRODUCCION'!C$7:N$7,"&gt;="&amp;DATE(YEAR('INDICADORES PRODUCCION'!N$7),1,1),'INDICADORES PRODUCCION'!C$7:N$7,"&lt;="&amp;DATE(YEAR('INDICADORES PRODUCCION'!N$7),12,31))/SUMIFS(INVENTARIOS!C69:N69,'INDICADORES PRODUCCION'!C$7:N$7,"&gt;="&amp;DATE(YEAR('INDICADORES PRODUCCION'!N$7),1,1),'INDICADORES PRODUCCION'!C$7:N$7,"&lt;="&amp;DATE(YEAR('INDICADORES PRODUCCION'!N$7),12,31))*1000,"-")</f>
        <v>947.30528315073161</v>
      </c>
      <c r="Q25" s="710">
        <v>931.66700000000003</v>
      </c>
      <c r="R25" s="438"/>
      <c r="S25" s="438"/>
      <c r="T25" s="438"/>
      <c r="U25" s="438"/>
      <c r="V25" s="438"/>
      <c r="W25" s="438"/>
      <c r="X25" s="438"/>
      <c r="Y25" s="438"/>
      <c r="Z25" s="438"/>
      <c r="AA25" s="438"/>
      <c r="AB25" s="438"/>
      <c r="AC25" s="438"/>
      <c r="AE25" s="428">
        <f t="shared" si="18"/>
        <v>-914.66976121628943</v>
      </c>
      <c r="AF25" s="428">
        <f t="shared" si="19"/>
        <v>-925.56004238890421</v>
      </c>
      <c r="AG25" s="428">
        <f t="shared" si="20"/>
        <v>-897.8782555230481</v>
      </c>
      <c r="AH25" s="428">
        <f t="shared" si="21"/>
        <v>-913.635376309089</v>
      </c>
      <c r="AI25" s="428">
        <f t="shared" si="22"/>
        <v>-924.47375893891513</v>
      </c>
      <c r="AJ25" s="428">
        <f t="shared" si="23"/>
        <v>-938.79305124400344</v>
      </c>
      <c r="AK25" s="428">
        <f t="shared" si="24"/>
        <v>-911.59910107548012</v>
      </c>
      <c r="AL25" s="428">
        <f t="shared" si="25"/>
        <v>-957.5630555292305</v>
      </c>
      <c r="AM25" s="428">
        <f t="shared" si="26"/>
        <v>-936.37700735179669</v>
      </c>
      <c r="AN25" s="428">
        <f t="shared" si="27"/>
        <v>-936.01542958403741</v>
      </c>
      <c r="AO25" s="428">
        <f t="shared" si="28"/>
        <v>-944.30227155780585</v>
      </c>
      <c r="AP25" s="428"/>
      <c r="AQ25" s="428"/>
      <c r="AR25" s="428"/>
      <c r="AS25" s="428"/>
      <c r="AT25" s="428"/>
      <c r="AU25" s="428"/>
      <c r="AV25" s="428"/>
      <c r="AW25" s="428"/>
      <c r="AX25" s="428"/>
      <c r="AY25" s="428"/>
      <c r="AZ25" s="428"/>
      <c r="BA25" s="428"/>
      <c r="BB25" s="428"/>
      <c r="BC25" s="428"/>
      <c r="BD25" s="428"/>
      <c r="BE25" s="428"/>
      <c r="BF25" s="428"/>
      <c r="BG25" s="428"/>
    </row>
    <row r="26" spans="1:16371" x14ac:dyDescent="0.25">
      <c r="A26" s="485" t="s">
        <v>350</v>
      </c>
      <c r="B26" s="486" t="s">
        <v>63</v>
      </c>
      <c r="C26" s="487">
        <f>INVENTARIOS!C25/'INDICADORES PRODUCCION'!C8*1000</f>
        <v>107.11838060546238</v>
      </c>
      <c r="D26" s="487">
        <f>INVENTARIOS!D25/'INDICADORES PRODUCCION'!D8*1000</f>
        <v>98.865116452777002</v>
      </c>
      <c r="E26" s="487">
        <f>INVENTARIOS!E25/'INDICADORES PRODUCCION'!E8*1000</f>
        <v>124.98228454257297</v>
      </c>
      <c r="F26" s="487">
        <f>INVENTARIOS!F25/'INDICADORES PRODUCCION'!F8*1000</f>
        <v>108.23316334273387</v>
      </c>
      <c r="G26" s="487">
        <f>INVENTARIOS!G25/'INDICADORES PRODUCCION'!G8*1000</f>
        <v>99.271484180308704</v>
      </c>
      <c r="H26" s="487">
        <f>INVENTARIOS!H25/'INDICADORES PRODUCCION'!H8*1000</f>
        <v>79.8633534497353</v>
      </c>
      <c r="I26" s="487">
        <f>INVENTARIOS!I25/'INDICADORES PRODUCCION'!I8*1000</f>
        <v>112.71218269122767</v>
      </c>
      <c r="J26" s="487">
        <f>INVENTARIOS!J25/'INDICADORES PRODUCCION'!J8*1000</f>
        <v>65.016189843589601</v>
      </c>
      <c r="K26" s="487">
        <f>INVENTARIOS!K25/'INDICADORES PRODUCCION'!K8*1000</f>
        <v>87.48709157222747</v>
      </c>
      <c r="L26" s="487">
        <f>INVENTARIOS!L25/'INDICADORES PRODUCCION'!L8*1000</f>
        <v>90.072228808945724</v>
      </c>
      <c r="M26" s="697">
        <f>INVENTARIOS!M25/'INDICADORES PRODUCCION'!M8*1000</f>
        <v>88.896628188144334</v>
      </c>
      <c r="N26" s="727">
        <f>INVENTARIOS!N25/'INDICADORES PRODUCCION'!N8*1000</f>
        <v>48.23698375268448</v>
      </c>
      <c r="O26" s="486">
        <f>IFERROR(SUM(INVENTARIOS!C25:N25)/SUM(INVENTARIOS!C$69:N$69)*1000,"-")</f>
        <v>92.447377146273624</v>
      </c>
      <c r="P26" s="486">
        <f>IFERROR(SUMIFS(INVENTARIOS!C25:N25,'INDICADORES PRODUCCION'!C$7:N$7,"&gt;="&amp;DATE(YEAR('INDICADORES PRODUCCION'!N$7),1,1),'INDICADORES PRODUCCION'!C$7:N$7,"&lt;="&amp;DATE(YEAR('INDICADORES PRODUCCION'!N$7),12,31))/SUMIFS(INVENTARIOS!C69:N69,'INDICADORES PRODUCCION'!C$7:N$7,"&gt;="&amp;DATE(YEAR('INDICADORES PRODUCCION'!N$7),1,1),'INDICADORES PRODUCCION'!C$7:N$7,"&lt;="&amp;DATE(YEAR('INDICADORES PRODUCCION'!N$7),12,31))*1000,"-")</f>
        <v>78.053411586165154</v>
      </c>
      <c r="Q26" s="710">
        <v>91.527000000000001</v>
      </c>
      <c r="R26" s="438"/>
      <c r="S26" s="438"/>
      <c r="T26" s="438"/>
      <c r="U26" s="438"/>
      <c r="V26" s="438"/>
      <c r="W26" s="438"/>
      <c r="X26" s="438"/>
      <c r="Y26" s="438"/>
      <c r="Z26" s="438"/>
      <c r="AA26" s="438"/>
      <c r="AB26" s="438"/>
      <c r="AC26" s="438"/>
      <c r="AE26" s="428">
        <f t="shared" si="18"/>
        <v>-107.11838060546238</v>
      </c>
      <c r="AF26" s="428">
        <f t="shared" si="19"/>
        <v>-98.865116452777002</v>
      </c>
      <c r="AG26" s="428">
        <f t="shared" si="20"/>
        <v>-124.98228454257297</v>
      </c>
      <c r="AH26" s="428">
        <f t="shared" si="21"/>
        <v>-108.23316334273387</v>
      </c>
      <c r="AI26" s="428">
        <f t="shared" si="22"/>
        <v>-99.271484180308704</v>
      </c>
      <c r="AJ26" s="428">
        <f t="shared" si="23"/>
        <v>-79.8633534497353</v>
      </c>
      <c r="AK26" s="428">
        <f t="shared" si="24"/>
        <v>-112.71218269122767</v>
      </c>
      <c r="AL26" s="428">
        <f t="shared" si="25"/>
        <v>-65.016189843589601</v>
      </c>
      <c r="AM26" s="428">
        <f t="shared" si="26"/>
        <v>-87.48709157222747</v>
      </c>
      <c r="AN26" s="428">
        <f t="shared" si="27"/>
        <v>-90.072228808945724</v>
      </c>
      <c r="AO26" s="428">
        <f t="shared" si="28"/>
        <v>-88.896628188144334</v>
      </c>
      <c r="AP26" s="428"/>
      <c r="AQ26" s="428"/>
      <c r="AR26" s="428"/>
      <c r="AS26" s="428"/>
      <c r="AT26" s="428"/>
      <c r="AU26" s="428"/>
      <c r="AV26" s="428"/>
      <c r="AW26" s="428"/>
      <c r="AX26" s="428"/>
      <c r="AY26" s="428"/>
      <c r="AZ26" s="428"/>
      <c r="BA26" s="428"/>
      <c r="BB26" s="428"/>
      <c r="BC26" s="428"/>
      <c r="BD26" s="428"/>
      <c r="BE26" s="428"/>
      <c r="BF26" s="428"/>
      <c r="BG26" s="428"/>
    </row>
    <row r="27" spans="1:16371" x14ac:dyDescent="0.25">
      <c r="A27" s="485" t="s">
        <v>443</v>
      </c>
      <c r="B27" s="486"/>
      <c r="C27" s="487">
        <f t="shared" ref="C27:P27" si="30">C25+C26</f>
        <v>1021.7881418217518</v>
      </c>
      <c r="D27" s="487">
        <f t="shared" si="30"/>
        <v>1024.4251588416812</v>
      </c>
      <c r="E27" s="487">
        <f t="shared" si="30"/>
        <v>1022.8605400656211</v>
      </c>
      <c r="F27" s="487">
        <f t="shared" si="30"/>
        <v>1021.8685396518229</v>
      </c>
      <c r="G27" s="487">
        <f t="shared" si="30"/>
        <v>1023.7452431192238</v>
      </c>
      <c r="H27" s="487">
        <f t="shared" si="30"/>
        <v>1018.6564046937388</v>
      </c>
      <c r="I27" s="487">
        <f t="shared" si="30"/>
        <v>1024.3112837667077</v>
      </c>
      <c r="J27" s="487">
        <f t="shared" si="30"/>
        <v>1022.5792453728201</v>
      </c>
      <c r="K27" s="487">
        <f t="shared" si="30"/>
        <v>1023.8640989240241</v>
      </c>
      <c r="L27" s="487">
        <f t="shared" si="30"/>
        <v>1026.087658392983</v>
      </c>
      <c r="M27" s="697">
        <f t="shared" si="30"/>
        <v>1033.1988997459503</v>
      </c>
      <c r="N27" s="727">
        <f t="shared" si="30"/>
        <v>1018.5154620038818</v>
      </c>
      <c r="O27" s="486">
        <f t="shared" si="30"/>
        <v>1023.4357894472608</v>
      </c>
      <c r="P27" s="486">
        <f t="shared" si="30"/>
        <v>1025.3586947368967</v>
      </c>
      <c r="Q27" s="710">
        <v>1023.1950000000001</v>
      </c>
      <c r="R27" s="438"/>
      <c r="S27" s="438"/>
      <c r="T27" s="438"/>
      <c r="U27" s="438"/>
      <c r="V27" s="438"/>
      <c r="W27" s="438"/>
      <c r="X27" s="438"/>
      <c r="Y27" s="438"/>
      <c r="Z27" s="438"/>
      <c r="AA27" s="438"/>
      <c r="AB27" s="438"/>
      <c r="AC27" s="438"/>
      <c r="AE27" s="428">
        <f t="shared" si="18"/>
        <v>-1021.7881418217518</v>
      </c>
      <c r="AF27" s="428">
        <f t="shared" si="19"/>
        <v>-1024.4251588416812</v>
      </c>
      <c r="AG27" s="428">
        <f t="shared" si="20"/>
        <v>-1022.8605400656211</v>
      </c>
      <c r="AH27" s="428">
        <f t="shared" si="21"/>
        <v>-1021.8685396518229</v>
      </c>
      <c r="AI27" s="428">
        <f t="shared" si="22"/>
        <v>-1023.7452431192238</v>
      </c>
      <c r="AJ27" s="428">
        <f t="shared" si="23"/>
        <v>-1018.6564046937388</v>
      </c>
      <c r="AK27" s="428">
        <f t="shared" si="24"/>
        <v>-1024.3112837667077</v>
      </c>
      <c r="AL27" s="428">
        <f t="shared" si="25"/>
        <v>-1022.5792453728201</v>
      </c>
      <c r="AM27" s="428">
        <f t="shared" si="26"/>
        <v>-1023.8640989240241</v>
      </c>
      <c r="AN27" s="428">
        <f t="shared" si="27"/>
        <v>-1026.087658392983</v>
      </c>
      <c r="AO27" s="428">
        <f t="shared" si="28"/>
        <v>-1033.1988997459503</v>
      </c>
      <c r="AP27" s="428"/>
      <c r="AQ27" s="428"/>
      <c r="AR27" s="428"/>
      <c r="AS27" s="428"/>
      <c r="AT27" s="428"/>
      <c r="AU27" s="428"/>
      <c r="AV27" s="428"/>
      <c r="AW27" s="428"/>
      <c r="AX27" s="428"/>
      <c r="AY27" s="428"/>
      <c r="AZ27" s="428"/>
      <c r="BA27" s="428"/>
      <c r="BB27" s="428"/>
      <c r="BC27" s="428"/>
      <c r="BD27" s="428"/>
      <c r="BE27" s="428"/>
      <c r="BF27" s="428"/>
      <c r="BG27" s="428"/>
    </row>
    <row r="28" spans="1:16371" x14ac:dyDescent="0.25">
      <c r="A28" s="485" t="s">
        <v>442</v>
      </c>
      <c r="B28" s="486"/>
      <c r="C28" s="489">
        <f>INVENTARIOS!C25/'INDICADORES PRODUCCION'!C8</f>
        <v>0.10711838060546237</v>
      </c>
      <c r="D28" s="489">
        <f>INVENTARIOS!D25/'INDICADORES PRODUCCION'!D8</f>
        <v>9.8865116452776999E-2</v>
      </c>
      <c r="E28" s="489">
        <f>INVENTARIOS!E25/'INDICADORES PRODUCCION'!E8</f>
        <v>0.12498228454257297</v>
      </c>
      <c r="F28" s="489">
        <f>INVENTARIOS!F25/'INDICADORES PRODUCCION'!F8</f>
        <v>0.10823316334273388</v>
      </c>
      <c r="G28" s="489">
        <f>INVENTARIOS!G25/'INDICADORES PRODUCCION'!G8</f>
        <v>9.9271484180308706E-2</v>
      </c>
      <c r="H28" s="489">
        <f>INVENTARIOS!H25/'INDICADORES PRODUCCION'!H8</f>
        <v>7.9863353449735303E-2</v>
      </c>
      <c r="I28" s="489">
        <f>INVENTARIOS!I25/'INDICADORES PRODUCCION'!I8</f>
        <v>0.11271218269122767</v>
      </c>
      <c r="J28" s="489">
        <f>INVENTARIOS!J25/'INDICADORES PRODUCCION'!J8</f>
        <v>6.5016189843589603E-2</v>
      </c>
      <c r="K28" s="489">
        <f>INVENTARIOS!K25/'INDICADORES PRODUCCION'!K8</f>
        <v>8.7487091572227477E-2</v>
      </c>
      <c r="L28" s="489">
        <f>INVENTARIOS!L25/'INDICADORES PRODUCCION'!L8</f>
        <v>9.007222880894572E-2</v>
      </c>
      <c r="M28" s="728">
        <f>INVENTARIOS!M25/'INDICADORES PRODUCCION'!M8</f>
        <v>8.8896628188144339E-2</v>
      </c>
      <c r="N28" s="729">
        <f>INVENTARIOS!N25/'INDICADORES PRODUCCION'!N8</f>
        <v>4.8236983752684481E-2</v>
      </c>
      <c r="O28" s="718">
        <f>IFERROR(SUM(INVENTARIOS!C25:N25)/SUM(INVENTARIOS!C$69:N$69),"-")</f>
        <v>9.2447377146273629E-2</v>
      </c>
      <c r="P28" s="718">
        <f>IFERROR(SUMIFS(INVENTARIOS!C25:N25,'INDICADORES PRODUCCION'!C$7:N$7,"&gt;="&amp;DATE(YEAR('INDICADORES PRODUCCION'!N$7),1,1),'INDICADORES PRODUCCION'!C$7:N$7,"&lt;="&amp;DATE(YEAR('INDICADORES PRODUCCION'!N$7),12,31))/SUMIFS(INVENTARIOS!C69:N69,'INDICADORES PRODUCCION'!C$7:N$7,"&gt;="&amp;DATE(YEAR('INDICADORES PRODUCCION'!N$7),1,1),'INDICADORES PRODUCCION'!C$7:N$7,"&lt;="&amp;DATE(YEAR('INDICADORES PRODUCCION'!N$7),12,31)),"-")</f>
        <v>7.8053411586165147E-2</v>
      </c>
      <c r="Q28" s="712">
        <v>9.1520000000000004E-2</v>
      </c>
      <c r="R28" s="438"/>
      <c r="S28" s="438"/>
      <c r="T28" s="438"/>
      <c r="U28" s="438"/>
      <c r="V28" s="438"/>
      <c r="W28" s="438"/>
      <c r="X28" s="438"/>
      <c r="Y28" s="438"/>
      <c r="Z28" s="438"/>
      <c r="AA28" s="438"/>
      <c r="AB28" s="438"/>
      <c r="AC28" s="438"/>
      <c r="AE28" s="428">
        <f t="shared" si="18"/>
        <v>-0.10711838060546237</v>
      </c>
      <c r="AF28" s="428">
        <f t="shared" si="19"/>
        <v>-9.8865116452776999E-2</v>
      </c>
      <c r="AG28" s="428">
        <f t="shared" si="20"/>
        <v>-0.12498228454257297</v>
      </c>
      <c r="AH28" s="428">
        <f t="shared" si="21"/>
        <v>-0.10823316334273388</v>
      </c>
      <c r="AI28" s="428">
        <f t="shared" si="22"/>
        <v>-9.9271484180308706E-2</v>
      </c>
      <c r="AJ28" s="428">
        <f t="shared" si="23"/>
        <v>-7.9863353449735303E-2</v>
      </c>
      <c r="AK28" s="428">
        <f t="shared" si="24"/>
        <v>-0.11271218269122767</v>
      </c>
      <c r="AL28" s="428">
        <f t="shared" si="25"/>
        <v>-6.5016189843589603E-2</v>
      </c>
      <c r="AM28" s="428">
        <f t="shared" si="26"/>
        <v>-8.7487091572227477E-2</v>
      </c>
      <c r="AN28" s="428">
        <f t="shared" si="27"/>
        <v>-9.007222880894572E-2</v>
      </c>
      <c r="AO28" s="428">
        <f t="shared" si="28"/>
        <v>-8.8896628188144339E-2</v>
      </c>
      <c r="AP28" s="428"/>
      <c r="AQ28" s="428"/>
      <c r="AR28" s="428"/>
      <c r="AS28" s="428"/>
      <c r="AT28" s="428"/>
      <c r="AU28" s="428"/>
      <c r="AV28" s="428"/>
      <c r="AW28" s="428"/>
      <c r="AX28" s="428"/>
      <c r="AY28" s="428"/>
      <c r="AZ28" s="428"/>
      <c r="BA28" s="428"/>
      <c r="BB28" s="428"/>
      <c r="BC28" s="428"/>
      <c r="BD28" s="428"/>
      <c r="BE28" s="428"/>
      <c r="BF28" s="428"/>
      <c r="BG28" s="428"/>
    </row>
    <row r="29" spans="1:16371" x14ac:dyDescent="0.25">
      <c r="A29" s="485" t="s">
        <v>441</v>
      </c>
      <c r="B29" s="486"/>
      <c r="C29" s="489">
        <f>(INVENTARIOS!C25)/(INVENTARIOS!C17+INVENTARIOS!C25)</f>
        <v>0.10483423737378711</v>
      </c>
      <c r="D29" s="489">
        <f>(INVENTARIOS!D25)/(INVENTARIOS!D17+INVENTARIOS!D25)</f>
        <v>9.6507895769139346E-2</v>
      </c>
      <c r="E29" s="489">
        <f>(INVENTARIOS!E25)/(INVENTARIOS!E17+INVENTARIOS!E25)</f>
        <v>0.12218897850390709</v>
      </c>
      <c r="F29" s="489">
        <f>(INVENTARIOS!F25)/(INVENTARIOS!F17+INVENTARIOS!F25)</f>
        <v>0.10591691508539026</v>
      </c>
      <c r="G29" s="489">
        <f>(INVENTARIOS!G25)/(INVENTARIOS!G17+INVENTARIOS!G25)</f>
        <v>9.6968933284457465E-2</v>
      </c>
      <c r="H29" s="489">
        <f>(INVENTARIOS!H25)/(INVENTARIOS!H17+INVENTARIOS!H25)</f>
        <v>7.8400678660383416E-2</v>
      </c>
      <c r="I29" s="489">
        <f>(INVENTARIOS!I25)/(INVENTARIOS!I17+INVENTARIOS!I25)</f>
        <v>0.11003704096351481</v>
      </c>
      <c r="J29" s="489">
        <f>(INVENTARIOS!J25)/(INVENTARIOS!J17+INVENTARIOS!J25)</f>
        <v>6.3580588142961456E-2</v>
      </c>
      <c r="K29" s="489">
        <f>(INVENTARIOS!K25)/(INVENTARIOS!K17+INVENTARIOS!K25)</f>
        <v>8.5447953165041529E-2</v>
      </c>
      <c r="L29" s="489">
        <f>(INVENTARIOS!L25)/(INVENTARIOS!L17+INVENTARIOS!L25)</f>
        <v>8.7782196844676197E-2</v>
      </c>
      <c r="M29" s="728">
        <f>(INVENTARIOS!M25)/(INVENTARIOS!M17+INVENTARIOS!M25)</f>
        <v>8.6040188592925171E-2</v>
      </c>
      <c r="N29" s="729">
        <f>(INVENTARIOS!N25)/(INVENTARIOS!N17+INVENTARIOS!N25)</f>
        <v>4.7360089809319598E-2</v>
      </c>
      <c r="O29" s="718">
        <f>IFERROR(SUM(INVENTARIOS!C25:N25)/(SUM(INVENTARIOS!C$17:N$17)+SUM(INVENTARIOS!C$25:N$25)),"-")</f>
        <v>9.0330412615531847E-2</v>
      </c>
      <c r="P29" s="718">
        <f>IFERROR(SUMIFS(INVENTARIOS!C25:N25,'INDICADORES PRODUCCION'!C$7:N$7,"&gt;="&amp;DATE(YEAR('INDICADORES PRODUCCION'!N$7),1,1),'INDICADORES PRODUCCION'!C$7:N$7,"&lt;="&amp;DATE(YEAR('INDICADORES PRODUCCION'!N$7),12,31))/(SUMIFS(INVENTARIOS!C17:N17,'INDICADORES PRODUCCION'!C$7:N$7,"&gt;="&amp;DATE(YEAR('INDICADORES PRODUCCION'!N$7),1,1),'INDICADORES PRODUCCION'!C$7:N$7,"&lt;="&amp;DATE(YEAR('INDICADORES PRODUCCION'!N$7),12,31))+SUMIFS(INVENTARIOS!C25:N25,'INDICADORES PRODUCCION'!C$7:N$7,"&gt;="&amp;DATE(YEAR('INDICADORES PRODUCCION'!N$7),1,1),'INDICADORES PRODUCCION'!C$7:N$7,"&lt;="&amp;DATE(YEAR('INDICADORES PRODUCCION'!N$7),12,31))),"-")</f>
        <v>7.6123030883542039E-2</v>
      </c>
      <c r="Q29" s="712">
        <v>8.9450000000000002E-2</v>
      </c>
      <c r="R29" s="438"/>
      <c r="S29" s="438"/>
      <c r="T29" s="438"/>
      <c r="U29" s="438"/>
      <c r="V29" s="438"/>
      <c r="W29" s="438"/>
      <c r="X29" s="438"/>
      <c r="Y29" s="438"/>
      <c r="Z29" s="438"/>
      <c r="AA29" s="438"/>
      <c r="AB29" s="438"/>
      <c r="AC29" s="438"/>
      <c r="AE29" s="428">
        <f t="shared" si="18"/>
        <v>-0.10483423737378711</v>
      </c>
      <c r="AF29" s="428">
        <f t="shared" si="19"/>
        <v>-9.6507895769139346E-2</v>
      </c>
      <c r="AG29" s="428">
        <f t="shared" si="20"/>
        <v>-0.12218897850390709</v>
      </c>
      <c r="AH29" s="428">
        <f t="shared" si="21"/>
        <v>-0.10591691508539026</v>
      </c>
      <c r="AI29" s="428">
        <f t="shared" si="22"/>
        <v>-9.6968933284457465E-2</v>
      </c>
      <c r="AJ29" s="428">
        <f t="shared" si="23"/>
        <v>-7.8400678660383416E-2</v>
      </c>
      <c r="AK29" s="428">
        <f t="shared" si="24"/>
        <v>-0.11003704096351481</v>
      </c>
      <c r="AL29" s="428">
        <f t="shared" si="25"/>
        <v>-6.3580588142961456E-2</v>
      </c>
      <c r="AM29" s="428">
        <f t="shared" si="26"/>
        <v>-8.5447953165041529E-2</v>
      </c>
      <c r="AN29" s="428">
        <f t="shared" si="27"/>
        <v>-8.7782196844676197E-2</v>
      </c>
      <c r="AO29" s="428">
        <f t="shared" si="28"/>
        <v>-8.6040188592925171E-2</v>
      </c>
      <c r="AP29" s="428"/>
      <c r="AQ29" s="428"/>
      <c r="AR29" s="428"/>
      <c r="AS29" s="428"/>
      <c r="AT29" s="428"/>
      <c r="AU29" s="428"/>
      <c r="AV29" s="428"/>
      <c r="AW29" s="428"/>
      <c r="AX29" s="428"/>
      <c r="AY29" s="428"/>
      <c r="AZ29" s="428"/>
      <c r="BA29" s="428"/>
      <c r="BB29" s="428"/>
      <c r="BC29" s="428"/>
      <c r="BD29" s="428"/>
      <c r="BE29" s="428"/>
      <c r="BF29" s="428"/>
      <c r="BG29" s="428"/>
    </row>
    <row r="30" spans="1:16371" x14ac:dyDescent="0.25">
      <c r="A30" s="485" t="s">
        <v>362</v>
      </c>
      <c r="B30" s="486">
        <v>15</v>
      </c>
      <c r="C30" s="487">
        <f>INVENTARIOS!C41/'INDICADORES PRODUCCION'!C8*1000</f>
        <v>12.044300520914364</v>
      </c>
      <c r="D30" s="487">
        <f>INVENTARIOS!D41/'INDICADORES PRODUCCION'!D8*1000</f>
        <v>12.785203097937975</v>
      </c>
      <c r="E30" s="487">
        <f>INVENTARIOS!E41/'INDICADORES PRODUCCION'!E8*1000</f>
        <v>12.73757445309011</v>
      </c>
      <c r="F30" s="487">
        <f>INVENTARIOS!F41/'INDICADORES PRODUCCION'!F8*1000</f>
        <v>13.387053142925081</v>
      </c>
      <c r="G30" s="487">
        <f>INVENTARIOS!G41/'INDICADORES PRODUCCION'!G8*1000</f>
        <v>12.486209967021194</v>
      </c>
      <c r="H30" s="487">
        <f>INVENTARIOS!H41/'INDICADORES PRODUCCION'!H8*1000</f>
        <v>12.076803017062476</v>
      </c>
      <c r="I30" s="487">
        <f>INVENTARIOS!I41/'INDICADORES PRODUCCION'!I8*1000</f>
        <v>11.120285999101425</v>
      </c>
      <c r="J30" s="487">
        <f>INVENTARIOS!J41/'INDICADORES PRODUCCION'!J8*1000</f>
        <v>11.653840082393106</v>
      </c>
      <c r="K30" s="487">
        <f>INVENTARIOS!K41/'INDICADORES PRODUCCION'!K8*1000</f>
        <v>11.947090830769124</v>
      </c>
      <c r="L30" s="487">
        <f>INVENTARIOS!L41/'INDICADORES PRODUCCION'!L8*1000</f>
        <v>11.618048933162457</v>
      </c>
      <c r="M30" s="487">
        <f>(INVENTARIOS!M41)/'INDICADORES PRODUCCION'!M8*1000</f>
        <v>13.400988524039708</v>
      </c>
      <c r="N30" s="727">
        <f>(INVENTARIOS!N41)/'INDICADORES PRODUCCION'!N8*1000</f>
        <v>13.299945030577636</v>
      </c>
      <c r="O30" s="486">
        <f>IFERROR(SUM(INVENTARIOS!C41:N41)/SUM(INVENTARIOS!C$69:N$69)*1000,"-")</f>
        <v>12.370810992501317</v>
      </c>
      <c r="P30" s="486">
        <f>IFERROR(SUMIFS(INVENTARIOS!C41:N41,'INDICADORES PRODUCCION'!C$7:N$7,"&gt;="&amp;DATE(YEAR('INDICADORES PRODUCCION'!N$7),1,1),'INDICADORES PRODUCCION'!C$7:N$7,"&lt;="&amp;DATE(YEAR('INDICADORES PRODUCCION'!N$7),12,31))/SUMIFS(INVENTARIOS!C69:N69,'INDICADORES PRODUCCION'!C$7:N$7,"&gt;="&amp;DATE(YEAR('INDICADORES PRODUCCION'!N$7),1,1),'INDICADORES PRODUCCION'!C$7:N$7,"&lt;="&amp;DATE(YEAR('INDICADORES PRODUCCION'!N$7),12,31))*1000,"-")</f>
        <v>12.606446208034521</v>
      </c>
      <c r="Q30" s="710">
        <v>12.813000000000001</v>
      </c>
      <c r="R30" s="438"/>
      <c r="S30" s="438"/>
      <c r="T30" s="438"/>
      <c r="U30" s="438"/>
      <c r="V30" s="438"/>
      <c r="W30" s="438"/>
      <c r="X30" s="438"/>
      <c r="Y30" s="438"/>
      <c r="Z30" s="438"/>
      <c r="AA30" s="438"/>
      <c r="AB30" s="438"/>
      <c r="AC30" s="438"/>
      <c r="AD30" s="428"/>
      <c r="AE30" s="428">
        <f t="shared" si="18"/>
        <v>-12.044300520914364</v>
      </c>
      <c r="AF30" s="428">
        <f t="shared" si="19"/>
        <v>-12.785203097937975</v>
      </c>
      <c r="AG30" s="428">
        <f t="shared" si="20"/>
        <v>-12.73757445309011</v>
      </c>
      <c r="AH30" s="428">
        <f t="shared" si="21"/>
        <v>-13.387053142925081</v>
      </c>
      <c r="AI30" s="428">
        <f t="shared" si="22"/>
        <v>-12.486209967021194</v>
      </c>
      <c r="AJ30" s="428">
        <f t="shared" si="23"/>
        <v>-12.076803017062476</v>
      </c>
      <c r="AK30" s="428">
        <f t="shared" si="24"/>
        <v>-11.120285999101425</v>
      </c>
      <c r="AL30" s="428">
        <f t="shared" si="25"/>
        <v>-11.653840082393106</v>
      </c>
      <c r="AM30" s="428">
        <f t="shared" si="26"/>
        <v>-11.947090830769124</v>
      </c>
      <c r="AN30" s="428">
        <f t="shared" si="27"/>
        <v>-11.618048933162457</v>
      </c>
      <c r="AO30" s="428">
        <f t="shared" si="28"/>
        <v>-13.400988524039708</v>
      </c>
      <c r="AP30" s="428"/>
      <c r="AQ30" s="428"/>
      <c r="AR30" s="428"/>
      <c r="AS30" s="428"/>
      <c r="AT30" s="428"/>
      <c r="AU30" s="428"/>
      <c r="AV30" s="428"/>
      <c r="AW30" s="428"/>
      <c r="AX30" s="428"/>
      <c r="AY30" s="428"/>
      <c r="AZ30" s="428"/>
      <c r="BA30" s="428"/>
      <c r="BB30" s="428"/>
      <c r="BC30" s="428"/>
      <c r="BD30" s="428"/>
      <c r="BE30" s="428"/>
      <c r="BF30" s="428"/>
      <c r="BG30" s="428"/>
    </row>
    <row r="31" spans="1:16371" x14ac:dyDescent="0.25">
      <c r="A31" s="485" t="s">
        <v>349</v>
      </c>
      <c r="B31" s="486">
        <v>1</v>
      </c>
      <c r="C31" s="487">
        <f>INVENTARIOS!C47/'INDICADORES PRODUCCION'!C8*1000</f>
        <v>0.82348460056973338</v>
      </c>
      <c r="D31" s="487">
        <f>INVENTARIOS!D47/'INDICADORES PRODUCCION'!D8*1000</f>
        <v>0.71986443020069368</v>
      </c>
      <c r="E31" s="487">
        <f>INVENTARIOS!E47/'INDICADORES PRODUCCION'!E8*1000</f>
        <v>0.74822385144962755</v>
      </c>
      <c r="F31" s="487">
        <f>INVENTARIOS!F47/'INDICADORES PRODUCCION'!F8*1000</f>
        <v>0.90668403994436164</v>
      </c>
      <c r="G31" s="487">
        <f>INVENTARIOS!G47/'INDICADORES PRODUCCION'!G8*1000</f>
        <v>0.93667516336529588</v>
      </c>
      <c r="H31" s="487">
        <f>INVENTARIOS!H47/'INDICADORES PRODUCCION'!H8*1000</f>
        <v>0.84006200678679932</v>
      </c>
      <c r="I31" s="487">
        <f>INVENTARIOS!I47/'INDICADORES PRODUCCION'!I8*1000</f>
        <v>0.87323532095922718</v>
      </c>
      <c r="J31" s="487">
        <f>INVENTARIOS!J47/'INDICADORES PRODUCCION'!J8*1000</f>
        <v>0.81064366195433524</v>
      </c>
      <c r="K31" s="487">
        <f>INVENTARIOS!K47/'INDICADORES PRODUCCION'!K8*1000</f>
        <v>0.96963778012364876</v>
      </c>
      <c r="L31" s="487">
        <f>INVENTARIOS!L47/'INDICADORES PRODUCCION'!L8*1000</f>
        <v>0.98466891107584598</v>
      </c>
      <c r="M31" s="487">
        <f>INVENTARIOS!M47/'INDICADORES PRODUCCION'!M8*1000</f>
        <v>1.1624868327823983</v>
      </c>
      <c r="N31" s="727">
        <f>(INVENTARIOS!N47)/'INDICADORES PRODUCCION'!N8*1000</f>
        <v>1.1499804090700982</v>
      </c>
      <c r="O31" s="486">
        <f>IFERROR(SUM(INVENTARIOS!C47:N47)/SUM(INVENTARIOS!C$69:N$69)*1000,"-")</f>
        <v>0.91533898804721781</v>
      </c>
      <c r="P31" s="486">
        <f>IFERROR(SUMIFS(INVENTARIOS!C47:N47,'INDICADORES PRODUCCION'!C$7:N$7,"&gt;="&amp;DATE(YEAR('INDICADORES PRODUCCION'!N$7),1,1),'INDICADORES PRODUCCION'!C$7:N$7,"&lt;="&amp;DATE(YEAR('INDICADORES PRODUCCION'!N$7),12,31))/SUMIFS(INVENTARIOS!C69:N69,'INDICADORES PRODUCCION'!C$7:N$7,"&gt;="&amp;DATE(YEAR('INDICADORES PRODUCCION'!N$7),1,1),'INDICADORES PRODUCCION'!C$7:N$7,"&lt;="&amp;DATE(YEAR('INDICADORES PRODUCCION'!N$7),12,31))*1000,"-")</f>
        <v>1.0704818410972252</v>
      </c>
      <c r="Q31" s="710">
        <v>0.79900000000000004</v>
      </c>
      <c r="R31" s="438"/>
      <c r="S31" s="438"/>
      <c r="T31" s="438"/>
      <c r="U31" s="438"/>
      <c r="V31" s="438"/>
      <c r="W31" s="438"/>
      <c r="X31" s="438"/>
      <c r="Y31" s="438"/>
      <c r="Z31" s="438"/>
      <c r="AA31" s="438"/>
      <c r="AB31" s="438"/>
      <c r="AC31" s="438"/>
      <c r="AD31" s="428"/>
      <c r="AE31" s="428">
        <f t="shared" si="18"/>
        <v>-0.82348460056973338</v>
      </c>
      <c r="AF31" s="428">
        <f t="shared" si="19"/>
        <v>-0.71986443020069368</v>
      </c>
      <c r="AG31" s="428">
        <f t="shared" si="20"/>
        <v>-0.74822385144962755</v>
      </c>
      <c r="AH31" s="428">
        <f t="shared" si="21"/>
        <v>-0.90668403994436164</v>
      </c>
      <c r="AI31" s="428">
        <f t="shared" si="22"/>
        <v>-0.93667516336529588</v>
      </c>
      <c r="AJ31" s="428">
        <f t="shared" si="23"/>
        <v>-0.84006200678679932</v>
      </c>
      <c r="AK31" s="428">
        <f t="shared" si="24"/>
        <v>-0.87323532095922718</v>
      </c>
      <c r="AL31" s="428">
        <f t="shared" si="25"/>
        <v>-0.81064366195433524</v>
      </c>
      <c r="AM31" s="428">
        <f t="shared" si="26"/>
        <v>-0.96963778012364876</v>
      </c>
      <c r="AN31" s="428">
        <f t="shared" si="27"/>
        <v>-0.98466891107584598</v>
      </c>
      <c r="AO31" s="428">
        <f t="shared" si="28"/>
        <v>-1.1624868327823983</v>
      </c>
      <c r="AP31" s="428"/>
      <c r="AQ31" s="428"/>
      <c r="AR31" s="428"/>
      <c r="AS31" s="428"/>
      <c r="AT31" s="428"/>
      <c r="AU31" s="428"/>
      <c r="AV31" s="428"/>
      <c r="AW31" s="428"/>
      <c r="AX31" s="428"/>
      <c r="AY31" s="428"/>
      <c r="AZ31" s="428"/>
      <c r="BA31" s="428"/>
      <c r="BB31" s="428"/>
      <c r="BC31" s="428"/>
      <c r="BD31" s="428"/>
      <c r="BE31" s="428"/>
      <c r="BF31" s="428"/>
      <c r="BG31" s="428"/>
    </row>
    <row r="32" spans="1:16371" x14ac:dyDescent="0.25">
      <c r="A32" s="485" t="s">
        <v>360</v>
      </c>
      <c r="B32" s="486">
        <v>0.85</v>
      </c>
      <c r="C32" s="487">
        <f>INVENTARIOS!C53/'INDICADORES PRODUCCION'!C8*1000</f>
        <v>0.6035310590494789</v>
      </c>
      <c r="D32" s="487">
        <f>INVENTARIOS!D53/'INDICADORES PRODUCCION'!D8*1000</f>
        <v>0.47150653339993553</v>
      </c>
      <c r="E32" s="487">
        <f>INVENTARIOS!E53/'INDICADORES PRODUCCION'!E8*1000</f>
        <v>0.50844968446147798</v>
      </c>
      <c r="F32" s="487">
        <f>INVENTARIOS!F53/'INDICADORES PRODUCCION'!F8*1000</f>
        <v>0.55235092290244392</v>
      </c>
      <c r="G32" s="487">
        <f>INVENTARIOS!G53/'INDICADORES PRODUCCION'!G8*1000</f>
        <v>0.59474098192573788</v>
      </c>
      <c r="H32" s="487">
        <f>INVENTARIOS!H53/'INDICADORES PRODUCCION'!H8*1000</f>
        <v>0.70999715780126083</v>
      </c>
      <c r="I32" s="487">
        <f>INVENTARIOS!I53/'INDICADORES PRODUCCION'!I8*1000</f>
        <v>0.63071261091766817</v>
      </c>
      <c r="J32" s="487">
        <f>INVENTARIOS!J53/'INDICADORES PRODUCCION'!J8*1000</f>
        <v>0.69088948462017208</v>
      </c>
      <c r="K32" s="487">
        <f>INVENTARIOS!K53/'INDICADORES PRODUCCION'!K8*1000</f>
        <v>0.79887767672391263</v>
      </c>
      <c r="L32" s="487">
        <f>INVENTARIOS!L53/'INDICADORES PRODUCCION'!L8*1000</f>
        <v>0.88899600742015328</v>
      </c>
      <c r="M32" s="697">
        <f>INVENTARIOS!M53/'INDICADORES PRODUCCION'!M8*1000</f>
        <v>1.4664257687316145</v>
      </c>
      <c r="N32" s="727">
        <f>(INVENTARIOS!N53)/'INDICADORES PRODUCCION'!N8*1000</f>
        <v>1.0285836212171444</v>
      </c>
      <c r="O32" s="486">
        <f>IFERROR(SUM(INVENTARIOS!C53:N53)/SUM(INVENTARIOS!C$69:N$69)*1000,"-")</f>
        <v>0.75774553281071189</v>
      </c>
      <c r="P32" s="486">
        <f>IFERROR(SUMIFS(INVENTARIOS!C53:N53,'INDICADORES PRODUCCION'!C$7:N$7,"&gt;="&amp;DATE(YEAR('INDICADORES PRODUCCION'!N$7),1,1),'INDICADORES PRODUCCION'!C$7:N$7,"&lt;="&amp;DATE(YEAR('INDICADORES PRODUCCION'!N$7),12,31))/SUMIFS(INVENTARIOS!C69:N69,'INDICADORES PRODUCCION'!C$7:N$7,"&gt;="&amp;DATE(YEAR('INDICADORES PRODUCCION'!N$7),1,1),'INDICADORES PRODUCCION'!C$7:N$7,"&lt;="&amp;DATE(YEAR('INDICADORES PRODUCCION'!N$7),12,31))*1000,"-")</f>
        <v>1.0521735470700706</v>
      </c>
      <c r="Q32" s="710">
        <v>0.65149999999999997</v>
      </c>
      <c r="R32" s="438"/>
      <c r="S32" s="438"/>
      <c r="T32" s="438"/>
      <c r="U32" s="438"/>
      <c r="V32" s="438"/>
      <c r="W32" s="438"/>
      <c r="X32" s="438"/>
      <c r="Y32" s="438"/>
      <c r="Z32" s="438"/>
      <c r="AA32" s="438"/>
      <c r="AB32" s="438"/>
      <c r="AC32" s="438"/>
      <c r="AD32" s="428"/>
      <c r="AE32" s="428">
        <f t="shared" si="18"/>
        <v>-0.6035310590494789</v>
      </c>
      <c r="AF32" s="428">
        <f t="shared" si="19"/>
        <v>-0.47150653339993553</v>
      </c>
      <c r="AG32" s="428">
        <f t="shared" si="20"/>
        <v>-0.50844968446147798</v>
      </c>
      <c r="AH32" s="428">
        <f t="shared" si="21"/>
        <v>-0.55235092290244392</v>
      </c>
      <c r="AI32" s="428">
        <f t="shared" si="22"/>
        <v>-0.59474098192573788</v>
      </c>
      <c r="AJ32" s="428">
        <f t="shared" si="23"/>
        <v>-0.70999715780126083</v>
      </c>
      <c r="AK32" s="428">
        <f t="shared" si="24"/>
        <v>-0.63071261091766817</v>
      </c>
      <c r="AL32" s="428">
        <f t="shared" si="25"/>
        <v>-0.69088948462017208</v>
      </c>
      <c r="AM32" s="428">
        <f t="shared" si="26"/>
        <v>-0.79887767672391263</v>
      </c>
      <c r="AN32" s="428">
        <f t="shared" si="27"/>
        <v>-0.88899600742015328</v>
      </c>
      <c r="AO32" s="428">
        <f t="shared" si="28"/>
        <v>-1.4664257687316145</v>
      </c>
      <c r="AP32" s="428"/>
      <c r="AQ32" s="428"/>
      <c r="AR32" s="428"/>
      <c r="AS32" s="428"/>
      <c r="AT32" s="428"/>
      <c r="AU32" s="428"/>
      <c r="AV32" s="428"/>
      <c r="AW32" s="428"/>
      <c r="AX32" s="428"/>
      <c r="AY32" s="428"/>
      <c r="AZ32" s="428"/>
      <c r="BA32" s="428"/>
      <c r="BB32" s="428"/>
      <c r="BC32" s="428"/>
      <c r="BD32" s="428"/>
      <c r="BE32" s="428"/>
      <c r="BF32" s="428"/>
      <c r="BG32" s="428"/>
    </row>
    <row r="33" spans="1:59" x14ac:dyDescent="0.25">
      <c r="A33" s="485" t="s">
        <v>516</v>
      </c>
      <c r="B33" s="497" t="s">
        <v>495</v>
      </c>
      <c r="C33" s="488">
        <f>(INVENTARIOS!C118+INVENTARIOS!C78)/(C8+C9)*1000</f>
        <v>142.80098093914796</v>
      </c>
      <c r="D33" s="488">
        <f>(INVENTARIOS!D118+INVENTARIOS!D78)/(D8+D9)*1000</f>
        <v>140.17020919017583</v>
      </c>
      <c r="E33" s="488">
        <f>(INVENTARIOS!E118+INVENTARIOS!E78)/(E8+E9)*1000</f>
        <v>142.65931387765778</v>
      </c>
      <c r="F33" s="488">
        <f>(INVENTARIOS!F118+INVENTARIOS!F78)/(F8+F9)*1000</f>
        <v>141.42724440547914</v>
      </c>
      <c r="G33" s="488">
        <f>(INVENTARIOS!G118+INVENTARIOS!G78)/(G8+G9)*1000</f>
        <v>139.02899739235397</v>
      </c>
      <c r="H33" s="488">
        <f>(INVENTARIOS!H118+INVENTARIOS!H78)/(H8+H9)*1000</f>
        <v>137.30516241419807</v>
      </c>
      <c r="I33" s="488">
        <f>(INVENTARIOS!I118+INVENTARIOS!I78)/(I8+I9)*1000</f>
        <v>139.93648120717737</v>
      </c>
      <c r="J33" s="488">
        <f>(INVENTARIOS!J118+INVENTARIOS!J78)/(J8+J9)*1000</f>
        <v>137.88523298193149</v>
      </c>
      <c r="K33" s="488">
        <f>(INVENTARIOS!K118+INVENTARIOS!K78)/(K8+K9)*1000</f>
        <v>140.48925515766038</v>
      </c>
      <c r="L33" s="488">
        <f>(INVENTARIOS!L118+INVENTARIOS!L78)/(L8+L9)*1000</f>
        <v>138.17848386952022</v>
      </c>
      <c r="M33" s="488">
        <f>(INVENTARIOS!M118+INVENTARIOS!M78)/(M8+M9)*1000</f>
        <v>142.95428645742638</v>
      </c>
      <c r="N33" s="708">
        <f>(INVENTARIOS!N118+INVENTARIOS!N78)/(N8+N9)*1000</f>
        <v>141.63105776582114</v>
      </c>
      <c r="O33" s="486">
        <f>IFERROR((SUM(INVENTARIOS!C78:N78)+SUM(INVENTARIOS!C118:N118))/(SUM(INVENTARIOS!C69:N69)+SUM(INVENTARIOS!C70:N70))*1000,"-")</f>
        <v>140.39896798954649</v>
      </c>
      <c r="P33" s="486">
        <f>IFERROR((SUMIFS(INVENTARIOS!C78:N78,'INDICADORES PRODUCCION'!C$7:N$7,"&gt;="&amp;DATE(YEAR('INDICADORES PRODUCCION'!N$7),1,1),'INDICADORES PRODUCCION'!C$7:N$7,"&lt;="&amp;DATE(YEAR('INDICADORES PRODUCCION'!N$7),12,31))+SUMIFS(INVENTARIOS!C118:N118,'INDICADORES PRODUCCION'!C$7:N$7,"&gt;="&amp;DATE(YEAR('INDICADORES PRODUCCION'!N$7),1,1),'INDICADORES PRODUCCION'!C$7:N$7,"&lt;="&amp;DATE(YEAR('INDICADORES PRODUCCION'!N$7),12,31)))/(SUMIFS(INVENTARIOS!C69:N69,'INDICADORES PRODUCCION'!C$7:N$7,"&gt;="&amp;DATE(YEAR('INDICADORES PRODUCCION'!N$7),1,1),'INDICADORES PRODUCCION'!C$7:N$7,"&lt;="&amp;DATE(YEAR('INDICADORES PRODUCCION'!N$7),12,31))+SUMIFS(INVENTARIOS!C70:N70,'INDICADORES PRODUCCION'!C$7:N$7,"&gt;="&amp;DATE(YEAR('INDICADORES PRODUCCION'!N$7),1,1),'INDICADORES PRODUCCION'!C$7:N$7,"&lt;="&amp;DATE(YEAR('INDICADORES PRODUCCION'!N$7),12,31)))*1000,"-")</f>
        <v>140.92463495261327</v>
      </c>
      <c r="Q33" s="710">
        <v>139.482</v>
      </c>
      <c r="R33" s="438"/>
      <c r="S33" s="438"/>
      <c r="T33" s="438"/>
      <c r="U33" s="438"/>
      <c r="V33" s="438"/>
      <c r="W33" s="438"/>
      <c r="X33" s="438"/>
      <c r="Y33" s="438"/>
      <c r="Z33" s="438"/>
      <c r="AA33" s="438"/>
      <c r="AB33" s="438"/>
      <c r="AC33" s="438"/>
      <c r="AD33" s="428"/>
      <c r="AE33" s="428">
        <f t="shared" si="18"/>
        <v>-142.80098093914796</v>
      </c>
      <c r="AF33" s="428">
        <f t="shared" si="19"/>
        <v>-140.17020919017583</v>
      </c>
      <c r="AG33" s="428">
        <f t="shared" si="20"/>
        <v>-142.65931387765778</v>
      </c>
      <c r="AH33" s="428">
        <f t="shared" si="21"/>
        <v>-141.42724440547914</v>
      </c>
      <c r="AI33" s="428">
        <f t="shared" si="22"/>
        <v>-139.02899739235397</v>
      </c>
      <c r="AJ33" s="428">
        <f t="shared" si="23"/>
        <v>-137.30516241419807</v>
      </c>
      <c r="AK33" s="428">
        <f t="shared" si="24"/>
        <v>-139.93648120717737</v>
      </c>
      <c r="AL33" s="428">
        <f t="shared" si="25"/>
        <v>-137.88523298193149</v>
      </c>
      <c r="AM33" s="428">
        <f t="shared" si="26"/>
        <v>-140.48925515766038</v>
      </c>
      <c r="AN33" s="428">
        <f t="shared" si="27"/>
        <v>-138.17848386952022</v>
      </c>
      <c r="AO33" s="428">
        <f t="shared" si="28"/>
        <v>-142.95428645742638</v>
      </c>
      <c r="AP33" s="428"/>
      <c r="AQ33" s="428"/>
      <c r="AR33" s="428"/>
      <c r="AS33" s="428"/>
      <c r="AT33" s="428"/>
      <c r="AU33" s="428"/>
      <c r="AV33" s="428"/>
      <c r="AW33" s="428"/>
      <c r="AX33" s="428"/>
      <c r="AY33" s="428"/>
      <c r="AZ33" s="428"/>
      <c r="BA33" s="428"/>
      <c r="BB33" s="428"/>
      <c r="BC33" s="428"/>
      <c r="BD33" s="428"/>
      <c r="BE33" s="428"/>
      <c r="BF33" s="428"/>
      <c r="BG33" s="428"/>
    </row>
    <row r="34" spans="1:59" x14ac:dyDescent="0.25">
      <c r="A34" s="490" t="s">
        <v>517</v>
      </c>
      <c r="B34" s="491" t="s">
        <v>63</v>
      </c>
      <c r="C34" s="492">
        <f>INVENTARIOS!C91/(C8+C9)*1000</f>
        <v>15.471351051216987</v>
      </c>
      <c r="D34" s="492">
        <f>INVENTARIOS!D91/(D8+D9)*1000</f>
        <v>17.42389371028958</v>
      </c>
      <c r="E34" s="492">
        <f>INVENTARIOS!E91/(E8+E9)*1000</f>
        <v>13.921887570749437</v>
      </c>
      <c r="F34" s="492">
        <f>INVENTARIOS!F91/(F8+F9)*1000</f>
        <v>11.118824078026195</v>
      </c>
      <c r="G34" s="492">
        <f>INVENTARIOS!G91/(G8+G9)*1000</f>
        <v>14.595781359812431</v>
      </c>
      <c r="H34" s="492">
        <f>INVENTARIOS!H91/(H8+H9)*1000</f>
        <v>13.297003579932749</v>
      </c>
      <c r="I34" s="492">
        <f>INVENTARIOS!I91/(I8+I9)*1000</f>
        <v>12.745550130573962</v>
      </c>
      <c r="J34" s="492">
        <f>INVENTARIOS!J91/(J8+J9)*1000</f>
        <v>15.449061888406332</v>
      </c>
      <c r="K34" s="492">
        <f>INVENTARIOS!K91/(K8+K9)*1000</f>
        <v>9.2699768412851</v>
      </c>
      <c r="L34" s="492">
        <f>INVENTARIOS!L91/(L8+L9)*1000</f>
        <v>14.343738914008123</v>
      </c>
      <c r="M34" s="492">
        <f>INVENTARIOS!M91/(M8+M9)*1000</f>
        <v>22.624837223678242</v>
      </c>
      <c r="N34" s="721">
        <f>INVENTARIOS!N91/(N8+N9)*1000</f>
        <v>15.804445325085743</v>
      </c>
      <c r="O34" s="486">
        <f>IFERROR(SUM(INVENTARIOS!C91:N91)/(SUM(INVENTARIOS!C69:N69)+SUM(INVENTARIOS!C70:N70))*1000,"-")</f>
        <v>14.579253875056351</v>
      </c>
      <c r="P34" s="486">
        <f>IFERROR(SUMIFS(INVENTARIOS!C91:N91,'INDICADORES PRODUCCION'!C$7:N$7,"&gt;="&amp;DATE(YEAR('INDICADORES PRODUCCION'!N$7),1,1),'INDICADORES PRODUCCION'!C$7:N$7,"&lt;="&amp;DATE(YEAR('INDICADORES PRODUCCION'!N$7),12,31))/(SUMIFS(INVENTARIOS!C69:N69,'INDICADORES PRODUCCION'!C$7:N$7,"&gt;="&amp;DATE(YEAR('INDICADORES PRODUCCION'!N$7),1,1),'INDICADORES PRODUCCION'!C$7:N$7,"&lt;="&amp;DATE(YEAR('INDICADORES PRODUCCION'!N$7),12,31))+SUMIFS(INVENTARIOS!C70:N70,'INDICADORES PRODUCCION'!C$7:N$7,"&gt;="&amp;DATE(YEAR('INDICADORES PRODUCCION'!N$7),1,1),'INDICADORES PRODUCCION'!C$7:N$7,"&lt;="&amp;DATE(YEAR('INDICADORES PRODUCCION'!N$7),12,31)))*1000,"-")</f>
        <v>15.58750219820374</v>
      </c>
      <c r="Q34" s="710">
        <v>14.86</v>
      </c>
      <c r="R34" s="438"/>
      <c r="S34" s="438"/>
      <c r="T34" s="438"/>
      <c r="U34" s="438"/>
      <c r="V34" s="438"/>
      <c r="W34" s="438"/>
      <c r="X34" s="438"/>
      <c r="Y34" s="438"/>
      <c r="Z34" s="438"/>
      <c r="AA34" s="438"/>
      <c r="AB34" s="438"/>
      <c r="AC34" s="438"/>
      <c r="AD34" s="428"/>
      <c r="AE34" s="428">
        <f t="shared" si="18"/>
        <v>-15.471351051216987</v>
      </c>
      <c r="AF34" s="428">
        <f t="shared" si="19"/>
        <v>-17.42389371028958</v>
      </c>
      <c r="AG34" s="428">
        <f t="shared" si="20"/>
        <v>-13.921887570749437</v>
      </c>
      <c r="AH34" s="428">
        <f t="shared" si="21"/>
        <v>-11.118824078026195</v>
      </c>
      <c r="AI34" s="428">
        <f t="shared" si="22"/>
        <v>-14.595781359812431</v>
      </c>
      <c r="AJ34" s="428">
        <f t="shared" si="23"/>
        <v>-13.297003579932749</v>
      </c>
      <c r="AK34" s="428">
        <f t="shared" si="24"/>
        <v>-12.745550130573962</v>
      </c>
      <c r="AL34" s="428">
        <f t="shared" si="25"/>
        <v>-15.449061888406332</v>
      </c>
      <c r="AM34" s="428">
        <f t="shared" si="26"/>
        <v>-9.2699768412851</v>
      </c>
      <c r="AN34" s="428">
        <f t="shared" si="27"/>
        <v>-14.343738914008123</v>
      </c>
      <c r="AO34" s="428">
        <f t="shared" si="28"/>
        <v>-22.624837223678242</v>
      </c>
      <c r="AP34" s="428"/>
      <c r="AQ34" s="428"/>
      <c r="AR34" s="428"/>
      <c r="AS34" s="428"/>
      <c r="AT34" s="428"/>
      <c r="AU34" s="428"/>
      <c r="AV34" s="428"/>
      <c r="AW34" s="428"/>
      <c r="AX34" s="428"/>
      <c r="AY34" s="428"/>
      <c r="AZ34" s="428"/>
      <c r="BA34" s="428"/>
      <c r="BB34" s="428"/>
      <c r="BC34" s="428"/>
      <c r="BD34" s="428"/>
      <c r="BE34" s="428"/>
      <c r="BF34" s="428"/>
      <c r="BG34" s="428"/>
    </row>
    <row r="35" spans="1:59" x14ac:dyDescent="0.25">
      <c r="A35" s="485" t="s">
        <v>379</v>
      </c>
      <c r="B35" s="474">
        <v>47</v>
      </c>
      <c r="C35" s="725">
        <f>INVENTARIOS!C106/('INDICADORES PRODUCCION'!C8)*1000</f>
        <v>41.823193564481265</v>
      </c>
      <c r="D35" s="725">
        <f>INVENTARIOS!D106/('INDICADORES PRODUCCION'!D8)*1000</f>
        <v>41.827951467505727</v>
      </c>
      <c r="E35" s="725">
        <f>INVENTARIOS!E106/('INDICADORES PRODUCCION'!E8)*1000</f>
        <v>39.968319838186694</v>
      </c>
      <c r="F35" s="725">
        <f>INVENTARIOS!F106/('INDICADORES PRODUCCION'!F8)*1000</f>
        <v>39.263727266789502</v>
      </c>
      <c r="G35" s="725">
        <f>INVENTARIOS!G106/('INDICADORES PRODUCCION'!G8)*1000</f>
        <v>39.017353871721916</v>
      </c>
      <c r="H35" s="725">
        <f>INVENTARIOS!H106/('INDICADORES PRODUCCION'!H8)*1000</f>
        <v>38.675230392696385</v>
      </c>
      <c r="I35" s="725">
        <f>INVENTARIOS!I106/('INDICADORES PRODUCCION'!I8)*1000</f>
        <v>40.140086206896555</v>
      </c>
      <c r="J35" s="725">
        <f>INVENTARIOS!J106/('INDICADORES PRODUCCION'!J8)*1000</f>
        <v>42.882463508124651</v>
      </c>
      <c r="K35" s="725">
        <f>INVENTARIOS!K106/('INDICADORES PRODUCCION'!K8)*1000</f>
        <v>42.020216847855878</v>
      </c>
      <c r="L35" s="725">
        <f>INVENTARIOS!L106/('INDICADORES PRODUCCION'!L8)*1000</f>
        <v>42.41456395592499</v>
      </c>
      <c r="M35" s="763">
        <f>INVENTARIOS!M106/('INDICADORES PRODUCCION'!M8)*1000</f>
        <v>42.737708535540897</v>
      </c>
      <c r="N35" s="763">
        <f>INVENTARIOS!N106/('INDICADORES PRODUCCION'!N8)*1000</f>
        <v>40.979967496757574</v>
      </c>
      <c r="O35" s="486">
        <f>IFERROR(SUM(INVENTARIOS!C106:N106)/(SUM(INVENTARIOS!C69:N69)+SUM(INVENTARIOS!C73:N73))*1000,"-")</f>
        <v>40.212003145019558</v>
      </c>
      <c r="P35" s="486">
        <f>IFERROR(SUMIFS(INVENTARIOS!C106:N106,'INDICADORES PRODUCCION'!C$7:N$7,"&gt;="&amp;DATE(YEAR('INDICADORES PRODUCCION'!N$7),1,1),'INDICADORES PRODUCCION'!C$7:N$7,"&lt;="&amp;DATE(YEAR('INDICADORES PRODUCCION'!N$7),12,31))/(SUMIFS(INVENTARIOS!C69:N69,'INDICADORES PRODUCCION'!C$7:N$7,"&gt;="&amp;DATE(YEAR('INDICADORES PRODUCCION'!N$7),1,1),'INDICADORES PRODUCCION'!C$7:N$7,"&lt;="&amp;DATE(YEAR('INDICADORES PRODUCCION'!N$7),12,31))+SUMIFS(INVENTARIOS!C73:N73,'INDICADORES PRODUCCION'!C$7:N$7,"&gt;="&amp;DATE(YEAR('INDICADORES PRODUCCION'!N$7),1,1),'INDICADORES PRODUCCION'!C$7:N$7,"&lt;="&amp;DATE(YEAR('INDICADORES PRODUCCION'!N$7),12,31)))*1000,"-")</f>
        <v>41.253724596837039</v>
      </c>
      <c r="Q35" s="713">
        <v>40.753999999999998</v>
      </c>
      <c r="R35" s="438"/>
      <c r="S35" s="438"/>
      <c r="T35" s="438"/>
      <c r="U35" s="438"/>
      <c r="V35" s="438"/>
      <c r="W35" s="438"/>
      <c r="X35" s="438"/>
      <c r="Y35" s="438"/>
      <c r="Z35" s="438"/>
      <c r="AA35" s="438"/>
      <c r="AB35" s="438"/>
      <c r="AC35" s="438"/>
      <c r="AD35" s="428"/>
      <c r="AE35" s="428">
        <f t="shared" si="18"/>
        <v>-41.823193564481265</v>
      </c>
      <c r="AF35" s="428">
        <f t="shared" si="19"/>
        <v>-41.827951467505727</v>
      </c>
      <c r="AG35" s="428">
        <f t="shared" si="20"/>
        <v>-39.968319838186694</v>
      </c>
      <c r="AH35" s="428">
        <f t="shared" si="21"/>
        <v>-39.263727266789502</v>
      </c>
      <c r="AI35" s="428">
        <f t="shared" si="22"/>
        <v>-39.017353871721916</v>
      </c>
      <c r="AJ35" s="428">
        <f t="shared" si="23"/>
        <v>-38.675230392696385</v>
      </c>
      <c r="AK35" s="428">
        <f t="shared" si="24"/>
        <v>-40.140086206896555</v>
      </c>
      <c r="AL35" s="428">
        <f t="shared" si="25"/>
        <v>-42.882463508124651</v>
      </c>
      <c r="AM35" s="428">
        <f t="shared" si="26"/>
        <v>-42.020216847855878</v>
      </c>
      <c r="AN35" s="428">
        <f t="shared" si="27"/>
        <v>-42.41456395592499</v>
      </c>
      <c r="AO35" s="428">
        <f t="shared" si="28"/>
        <v>-42.737708535540897</v>
      </c>
      <c r="AP35" s="428"/>
      <c r="AQ35" s="428"/>
      <c r="AR35" s="428"/>
      <c r="AS35" s="428"/>
      <c r="AT35" s="428"/>
      <c r="AU35" s="428"/>
      <c r="AV35" s="428"/>
      <c r="AW35" s="428"/>
      <c r="AX35" s="428"/>
      <c r="AY35" s="428"/>
      <c r="AZ35" s="428"/>
      <c r="BA35" s="428"/>
      <c r="BB35" s="428"/>
      <c r="BC35" s="428"/>
      <c r="BD35" s="428"/>
      <c r="BE35" s="428"/>
      <c r="BF35" s="428"/>
      <c r="BG35" s="428"/>
    </row>
    <row r="36" spans="1:59" ht="17.25" thickBot="1" x14ac:dyDescent="0.3">
      <c r="A36" s="493" t="s">
        <v>503</v>
      </c>
      <c r="B36" s="481"/>
      <c r="C36" s="494">
        <f>1000/(C27/1000)</f>
        <v>978.67645852406781</v>
      </c>
      <c r="D36" s="494">
        <f t="shared" ref="D36:O36" si="31">1000/(D27/1000)</f>
        <v>976.15720520833474</v>
      </c>
      <c r="E36" s="494">
        <f t="shared" si="31"/>
        <v>977.6503842213383</v>
      </c>
      <c r="F36" s="494">
        <f t="shared" si="31"/>
        <v>978.59945892915539</v>
      </c>
      <c r="G36" s="494">
        <f t="shared" si="31"/>
        <v>976.80551555299542</v>
      </c>
      <c r="H36" s="494">
        <f t="shared" si="31"/>
        <v>981.68528209534225</v>
      </c>
      <c r="I36" s="494">
        <f t="shared" si="31"/>
        <v>976.2657268820592</v>
      </c>
      <c r="J36" s="494">
        <f t="shared" si="31"/>
        <v>977.91931972510542</v>
      </c>
      <c r="K36" s="494">
        <f t="shared" si="31"/>
        <v>976.69212256870526</v>
      </c>
      <c r="L36" s="494">
        <f t="shared" si="31"/>
        <v>974.57560455035548</v>
      </c>
      <c r="M36" s="494">
        <f t="shared" si="31"/>
        <v>967.86785220724357</v>
      </c>
      <c r="N36" s="722">
        <f t="shared" si="31"/>
        <v>981.82112820609166</v>
      </c>
      <c r="O36" s="481">
        <f t="shared" si="31"/>
        <v>977.10086974785395</v>
      </c>
      <c r="P36" s="481">
        <f>1000/(P27/1000)</f>
        <v>975.26846471672661</v>
      </c>
      <c r="Q36" s="714">
        <v>977.33</v>
      </c>
      <c r="R36" s="438"/>
      <c r="S36" s="438"/>
      <c r="T36" s="438"/>
      <c r="U36" s="438"/>
      <c r="V36" s="438"/>
      <c r="W36" s="438"/>
      <c r="X36" s="438"/>
      <c r="Y36" s="438"/>
      <c r="Z36" s="438"/>
      <c r="AA36" s="438"/>
      <c r="AB36" s="438"/>
      <c r="AC36" s="438"/>
      <c r="AD36" s="428"/>
      <c r="AE36" s="428">
        <f t="shared" si="18"/>
        <v>-978.67645852406781</v>
      </c>
      <c r="AF36" s="428">
        <f t="shared" si="19"/>
        <v>-976.15720520833474</v>
      </c>
      <c r="AG36" s="428">
        <f t="shared" si="20"/>
        <v>-977.6503842213383</v>
      </c>
      <c r="AH36" s="428">
        <f t="shared" si="21"/>
        <v>-978.59945892915539</v>
      </c>
      <c r="AI36" s="428">
        <f t="shared" si="22"/>
        <v>-976.80551555299542</v>
      </c>
      <c r="AJ36" s="428">
        <f t="shared" si="23"/>
        <v>-981.68528209534225</v>
      </c>
      <c r="AK36" s="428">
        <f t="shared" si="24"/>
        <v>-976.2657268820592</v>
      </c>
      <c r="AL36" s="428">
        <f t="shared" si="25"/>
        <v>-977.91931972510542</v>
      </c>
      <c r="AM36" s="428">
        <f t="shared" si="26"/>
        <v>-976.69212256870526</v>
      </c>
      <c r="AN36" s="428">
        <f t="shared" si="27"/>
        <v>-974.57560455035548</v>
      </c>
      <c r="AO36" s="428">
        <f t="shared" si="28"/>
        <v>-967.86785220724357</v>
      </c>
      <c r="AP36" s="428"/>
      <c r="AQ36" s="428"/>
      <c r="AR36" s="428"/>
      <c r="AS36" s="428"/>
      <c r="AT36" s="428"/>
      <c r="AU36" s="428"/>
      <c r="AV36" s="428"/>
      <c r="AW36" s="428"/>
      <c r="AX36" s="428"/>
      <c r="AY36" s="428"/>
      <c r="AZ36" s="428"/>
      <c r="BA36" s="428"/>
      <c r="BB36" s="428"/>
      <c r="BC36" s="428"/>
      <c r="BD36" s="428"/>
      <c r="BE36" s="428"/>
      <c r="BF36" s="428"/>
      <c r="BG36" s="428"/>
    </row>
    <row r="37" spans="1:59" ht="17.25" thickBot="1" x14ac:dyDescent="0.3">
      <c r="A37" s="463"/>
      <c r="B37" s="870" t="s">
        <v>351</v>
      </c>
      <c r="C37" s="871"/>
      <c r="D37" s="871"/>
      <c r="E37" s="871"/>
      <c r="F37" s="871"/>
      <c r="G37" s="871"/>
      <c r="H37" s="871"/>
      <c r="I37" s="871"/>
      <c r="J37" s="871"/>
      <c r="K37" s="871"/>
      <c r="L37" s="871"/>
      <c r="M37" s="871"/>
      <c r="N37" s="872"/>
      <c r="Q37" s="428"/>
      <c r="R37" s="295"/>
      <c r="T37" s="428"/>
      <c r="U37" s="428"/>
      <c r="V37" s="428"/>
      <c r="W37" s="428"/>
      <c r="X37" s="428"/>
      <c r="Y37" s="428"/>
      <c r="Z37" s="428"/>
      <c r="AA37" s="428"/>
      <c r="AB37" s="428"/>
      <c r="AC37" s="428"/>
      <c r="AD37" s="428"/>
      <c r="AP37" s="428"/>
      <c r="AQ37" s="428"/>
      <c r="AR37" s="428"/>
      <c r="AS37" s="428"/>
      <c r="AT37" s="428"/>
      <c r="AU37" s="428"/>
      <c r="AV37" s="428"/>
      <c r="AW37" s="428"/>
      <c r="AX37" s="428"/>
      <c r="AY37" s="428"/>
      <c r="AZ37" s="428"/>
      <c r="BA37" s="428"/>
      <c r="BB37" s="428"/>
      <c r="BC37" s="428"/>
      <c r="BD37" s="428"/>
      <c r="BE37" s="428"/>
      <c r="BF37" s="428"/>
      <c r="BG37" s="428"/>
    </row>
    <row r="38" spans="1:59" ht="33.75" thickBot="1" x14ac:dyDescent="0.3">
      <c r="A38" s="464" t="s">
        <v>344</v>
      </c>
      <c r="B38" s="464" t="s">
        <v>354</v>
      </c>
      <c r="C38" s="465">
        <f t="shared" ref="C38:N38" si="32">C$7</f>
        <v>43952</v>
      </c>
      <c r="D38" s="465">
        <f t="shared" si="32"/>
        <v>43983</v>
      </c>
      <c r="E38" s="465">
        <f t="shared" si="32"/>
        <v>44013</v>
      </c>
      <c r="F38" s="465">
        <f t="shared" si="32"/>
        <v>44044</v>
      </c>
      <c r="G38" s="465">
        <f t="shared" si="32"/>
        <v>44075</v>
      </c>
      <c r="H38" s="465">
        <f t="shared" si="32"/>
        <v>44105</v>
      </c>
      <c r="I38" s="465">
        <f t="shared" si="32"/>
        <v>44136</v>
      </c>
      <c r="J38" s="465">
        <f t="shared" si="32"/>
        <v>44166</v>
      </c>
      <c r="K38" s="465">
        <f t="shared" si="32"/>
        <v>44197</v>
      </c>
      <c r="L38" s="465">
        <f t="shared" si="32"/>
        <v>44228</v>
      </c>
      <c r="M38" s="465">
        <f t="shared" si="32"/>
        <v>44256</v>
      </c>
      <c r="N38" s="465">
        <f t="shared" si="32"/>
        <v>44287</v>
      </c>
      <c r="O38" s="465" t="s">
        <v>307</v>
      </c>
      <c r="P38" s="465" t="str">
        <f>"Promedio " &amp; YEAR(N38)</f>
        <v>Promedio 2021</v>
      </c>
      <c r="Q38" s="465" t="s">
        <v>524</v>
      </c>
      <c r="R38" s="438"/>
      <c r="S38" s="428"/>
      <c r="T38" s="428"/>
      <c r="U38" s="428"/>
      <c r="V38" s="428"/>
      <c r="W38" s="428"/>
      <c r="X38" s="428"/>
      <c r="Y38" s="428"/>
      <c r="Z38" s="428"/>
      <c r="AA38" s="428"/>
      <c r="AB38" s="428"/>
      <c r="AC38" s="428"/>
      <c r="AD38" s="428"/>
      <c r="AP38" s="428"/>
      <c r="AQ38" s="428"/>
      <c r="AR38" s="428"/>
      <c r="AS38" s="428"/>
      <c r="AT38" s="428"/>
      <c r="AU38" s="428"/>
      <c r="AV38" s="428"/>
      <c r="AW38" s="428"/>
      <c r="AX38" s="428"/>
      <c r="AY38" s="428"/>
      <c r="AZ38" s="428"/>
      <c r="BA38" s="428"/>
      <c r="BB38" s="428"/>
      <c r="BC38" s="428"/>
      <c r="BD38" s="428"/>
      <c r="BE38" s="428"/>
      <c r="BF38" s="428"/>
      <c r="BG38" s="428"/>
    </row>
    <row r="39" spans="1:59" x14ac:dyDescent="0.25">
      <c r="A39" s="482" t="s">
        <v>184</v>
      </c>
      <c r="B39" s="496" t="s">
        <v>63</v>
      </c>
      <c r="C39" s="484" t="str">
        <f>IFERROR(INVENTARIOS!C30/'INDICADORES PRODUCCION'!C9*1000,"-")</f>
        <v>-</v>
      </c>
      <c r="D39" s="484" t="str">
        <f>IFERROR(INVENTARIOS!D30/'INDICADORES PRODUCCION'!D9*1000,"-")</f>
        <v>-</v>
      </c>
      <c r="E39" s="484" t="str">
        <f>IFERROR(INVENTARIOS!E30/'INDICADORES PRODUCCION'!E9*1000,"-")</f>
        <v>-</v>
      </c>
      <c r="F39" s="484" t="str">
        <f>IFERROR(INVENTARIOS!F30/'INDICADORES PRODUCCION'!F9*1000,"-")</f>
        <v>-</v>
      </c>
      <c r="G39" s="484" t="str">
        <f>IFERROR(INVENTARIOS!G30/'INDICADORES PRODUCCION'!G9*1000,"-")</f>
        <v>-</v>
      </c>
      <c r="H39" s="484" t="str">
        <f>IFERROR(INVENTARIOS!H30/'INDICADORES PRODUCCION'!H9*1000,"-")</f>
        <v>-</v>
      </c>
      <c r="I39" s="484" t="str">
        <f>IFERROR(INVENTARIOS!I30/'INDICADORES PRODUCCION'!I9*1000,"-")</f>
        <v>-</v>
      </c>
      <c r="J39" s="484">
        <f>IFERROR(INVENTARIOS!J30/'INDICADORES PRODUCCION'!J9*1000,"-")</f>
        <v>159.88956354327544</v>
      </c>
      <c r="K39" s="484" t="str">
        <f>IFERROR(INVENTARIOS!K30/'INDICADORES PRODUCCION'!K9*1000,"-")</f>
        <v>-</v>
      </c>
      <c r="L39" s="484" t="str">
        <f>IFERROR(INVENTARIOS!L30/'INDICADORES PRODUCCION'!L9*1000,"-")</f>
        <v>-</v>
      </c>
      <c r="M39" s="484" t="str">
        <f>IFERROR(INVENTARIOS!M30/'INDICADORES PRODUCCION'!M9*1000,"-")</f>
        <v>-</v>
      </c>
      <c r="N39" s="704">
        <f>IFERROR(INVENTARIOS!N30/'INDICADORES PRODUCCION'!N9*1000,"-")</f>
        <v>142.21347034547276</v>
      </c>
      <c r="O39" s="469">
        <f>IFERROR(SUM(INVENTARIOS!C30:N30)/SUM(INVENTARIOS!C$70:N$70)*1000,"-")</f>
        <v>144.42013129102844</v>
      </c>
      <c r="P39" s="469">
        <f>IFERROR(SUMIFS(INVENTARIOS!C30:N30,'INDICADORES PRODUCCION'!C$7:N$7,"&gt;="&amp;DATE(YEAR('INDICADORES PRODUCCION'!N$7),1,1),'INDICADORES PRODUCCION'!C$7:N$7,"&lt;="&amp;DATE(YEAR('INDICADORES PRODUCCION'!N$7),12,31))/SUMIFS(INVENTARIOS!C70:N70,'INDICADORES PRODUCCION'!C$7:N$7,"&gt;="&amp;DATE(YEAR('INDICADORES PRODUCCION'!N$7),1,1),'INDICADORES PRODUCCION'!C$7:N$7,"&lt;="&amp;DATE(YEAR('INDICADORES PRODUCCION'!N$7),12,31))*1000,"-")</f>
        <v>142.21347034547276</v>
      </c>
      <c r="Q39" s="469">
        <v>138.70099999999999</v>
      </c>
      <c r="R39" s="438"/>
      <c r="S39" s="428"/>
      <c r="T39" s="428"/>
      <c r="U39" s="428"/>
      <c r="V39" s="428"/>
      <c r="W39" s="428"/>
      <c r="X39" s="428"/>
      <c r="Y39" s="428"/>
      <c r="Z39" s="428"/>
      <c r="AA39" s="428"/>
      <c r="AB39" s="428"/>
      <c r="AC39" s="428"/>
      <c r="AD39" s="428"/>
      <c r="AE39" s="428" t="e">
        <f>S39-C39</f>
        <v>#VALUE!</v>
      </c>
      <c r="AF39" s="428" t="e">
        <f t="shared" ref="AF39:AF45" si="33">T39-D39</f>
        <v>#VALUE!</v>
      </c>
      <c r="AG39" s="428" t="e">
        <f t="shared" ref="AG39:AG45" si="34">U39-E39</f>
        <v>#VALUE!</v>
      </c>
      <c r="AH39" s="428" t="e">
        <f t="shared" ref="AH39:AH45" si="35">V39-F39</f>
        <v>#VALUE!</v>
      </c>
      <c r="AI39" s="428" t="e">
        <f t="shared" ref="AI39:AI45" si="36">W39-G39</f>
        <v>#VALUE!</v>
      </c>
      <c r="AJ39" s="428" t="e">
        <f t="shared" ref="AJ39:AJ45" si="37">X39-H39</f>
        <v>#VALUE!</v>
      </c>
      <c r="AK39" s="428" t="e">
        <f t="shared" ref="AK39:AK45" si="38">Y39-I39</f>
        <v>#VALUE!</v>
      </c>
      <c r="AL39" s="428">
        <f t="shared" ref="AL39:AL45" si="39">Z39-J39</f>
        <v>-159.88956354327544</v>
      </c>
      <c r="AM39" s="428" t="e">
        <f t="shared" ref="AM39:AM45" si="40">AA39-K39</f>
        <v>#VALUE!</v>
      </c>
      <c r="AN39" s="428" t="e">
        <f t="shared" ref="AN39:AN45" si="41">AB39-L39</f>
        <v>#VALUE!</v>
      </c>
      <c r="AO39" s="428" t="e">
        <f t="shared" ref="AO39:AO45" si="42">AC39-M39</f>
        <v>#VALUE!</v>
      </c>
      <c r="AP39" s="428"/>
      <c r="AQ39" s="428"/>
      <c r="AR39" s="428"/>
      <c r="AS39" s="428"/>
      <c r="AT39" s="428"/>
      <c r="AU39" s="428"/>
      <c r="AV39" s="428"/>
      <c r="AW39" s="428"/>
      <c r="AX39" s="428"/>
      <c r="AY39" s="428"/>
      <c r="AZ39" s="428"/>
      <c r="BA39" s="428"/>
      <c r="BB39" s="428"/>
      <c r="BC39" s="428"/>
      <c r="BD39" s="428"/>
      <c r="BE39" s="428"/>
      <c r="BF39" s="428"/>
      <c r="BG39" s="428"/>
    </row>
    <row r="40" spans="1:59" x14ac:dyDescent="0.25">
      <c r="A40" s="485" t="s">
        <v>348</v>
      </c>
      <c r="B40" s="486" t="s">
        <v>63</v>
      </c>
      <c r="C40" s="487" t="str">
        <f>IFERROR(INVENTARIOS!C36/'INDICADORES PRODUCCION'!C9*1000,"-")</f>
        <v>-</v>
      </c>
      <c r="D40" s="487" t="str">
        <f>IFERROR(INVENTARIOS!D36/'INDICADORES PRODUCCION'!D9*1000,"-")</f>
        <v>-</v>
      </c>
      <c r="E40" s="487" t="str">
        <f>IFERROR(INVENTARIOS!E36/'INDICADORES PRODUCCION'!E9*1000,"-")</f>
        <v>-</v>
      </c>
      <c r="F40" s="487" t="str">
        <f>IFERROR(INVENTARIOS!F36/'INDICADORES PRODUCCION'!F9*1000,"-")</f>
        <v>-</v>
      </c>
      <c r="G40" s="487" t="str">
        <f>IFERROR(INVENTARIOS!G36/'INDICADORES PRODUCCION'!G9*1000,"-")</f>
        <v>-</v>
      </c>
      <c r="H40" s="487" t="str">
        <f>IFERROR(INVENTARIOS!H36/'INDICADORES PRODUCCION'!H9*1000,"-")</f>
        <v>-</v>
      </c>
      <c r="I40" s="487" t="str">
        <f>IFERROR(INVENTARIOS!I36/'INDICADORES PRODUCCION'!I9*1000,"-")</f>
        <v>-</v>
      </c>
      <c r="J40" s="487">
        <f>IFERROR(INVENTARIOS!J36/'INDICADORES PRODUCCION'!J9*1000,"-")</f>
        <v>16.396217234011043</v>
      </c>
      <c r="K40" s="487" t="str">
        <f>IFERROR(INVENTARIOS!K36/'INDICADORES PRODUCCION'!K9*1000,"-")</f>
        <v>-</v>
      </c>
      <c r="L40" s="487" t="str">
        <f>IFERROR(INVENTARIOS!L36/'INDICADORES PRODUCCION'!L9*1000,"-")</f>
        <v>-</v>
      </c>
      <c r="M40" s="487" t="str">
        <f>IFERROR(INVENTARIOS!M36/'INDICADORES PRODUCCION'!M9*1000,"-")</f>
        <v>-</v>
      </c>
      <c r="N40" s="487">
        <f>IFERROR(INVENTARIOS!N36/'INDICADORES PRODUCCION'!N9*1000,"-")</f>
        <v>22.308232045449401</v>
      </c>
      <c r="O40" s="486">
        <f>IFERROR(SUM(INVENTARIOS!C36:N36)/SUM(INVENTARIOS!C$70:N$70)*1000,"-")</f>
        <v>21.570183651612609</v>
      </c>
      <c r="P40" s="486">
        <f>IFERROR(SUMIFS(INVENTARIOS!C36:N36,'INDICADORES PRODUCCION'!C$7:N$7,"&gt;="&amp;DATE(YEAR('INDICADORES PRODUCCION'!N$7),1,1),'INDICADORES PRODUCCION'!C$7:N$7,"&lt;="&amp;DATE(YEAR('INDICADORES PRODUCCION'!N$7),12,31))/SUMIFS(INVENTARIOS!C70:N70,'INDICADORES PRODUCCION'!C$7:N$7,"&gt;="&amp;DATE(YEAR('INDICADORES PRODUCCION'!N$7),1,1),'INDICADORES PRODUCCION'!C$7:N$7,"&lt;="&amp;DATE(YEAR('INDICADORES PRODUCCION'!N$7),12,31))*1000,"-")</f>
        <v>22.308232045449401</v>
      </c>
      <c r="Q40" s="486">
        <v>20.266999999999999</v>
      </c>
      <c r="R40" s="438"/>
      <c r="S40" s="428"/>
      <c r="T40" s="428"/>
      <c r="U40" s="428"/>
      <c r="V40" s="428"/>
      <c r="W40" s="428"/>
      <c r="X40" s="428"/>
      <c r="Y40" s="428"/>
      <c r="Z40" s="428"/>
      <c r="AA40" s="428"/>
      <c r="AB40" s="428"/>
      <c r="AC40" s="428"/>
      <c r="AE40" s="428" t="e">
        <f t="shared" ref="AE40:AE45" si="43">S40-C40</f>
        <v>#VALUE!</v>
      </c>
      <c r="AF40" s="428" t="e">
        <f t="shared" si="33"/>
        <v>#VALUE!</v>
      </c>
      <c r="AG40" s="428" t="e">
        <f t="shared" si="34"/>
        <v>#VALUE!</v>
      </c>
      <c r="AH40" s="428" t="e">
        <f t="shared" si="35"/>
        <v>#VALUE!</v>
      </c>
      <c r="AI40" s="428" t="e">
        <f t="shared" si="36"/>
        <v>#VALUE!</v>
      </c>
      <c r="AJ40" s="428" t="e">
        <f t="shared" si="37"/>
        <v>#VALUE!</v>
      </c>
      <c r="AK40" s="428" t="e">
        <f t="shared" si="38"/>
        <v>#VALUE!</v>
      </c>
      <c r="AL40" s="428">
        <f t="shared" si="39"/>
        <v>-16.396217234011043</v>
      </c>
      <c r="AM40" s="428" t="e">
        <f t="shared" si="40"/>
        <v>#VALUE!</v>
      </c>
      <c r="AN40" s="428" t="e">
        <f t="shared" si="41"/>
        <v>#VALUE!</v>
      </c>
      <c r="AO40" s="428" t="e">
        <f t="shared" si="42"/>
        <v>#VALUE!</v>
      </c>
      <c r="AP40" s="428"/>
      <c r="AQ40" s="428"/>
      <c r="AR40" s="428"/>
      <c r="AS40" s="428"/>
      <c r="AT40" s="428"/>
      <c r="AU40" s="428"/>
      <c r="AV40" s="428"/>
      <c r="AW40" s="428"/>
      <c r="AX40" s="428"/>
      <c r="AY40" s="428"/>
      <c r="AZ40" s="428"/>
      <c r="BA40" s="428"/>
      <c r="BB40" s="428"/>
      <c r="BC40" s="428"/>
      <c r="BD40" s="428"/>
      <c r="BE40" s="428"/>
      <c r="BF40" s="428"/>
      <c r="BG40" s="428"/>
    </row>
    <row r="41" spans="1:59" x14ac:dyDescent="0.25">
      <c r="A41" s="485" t="s">
        <v>347</v>
      </c>
      <c r="B41" s="497" t="s">
        <v>63</v>
      </c>
      <c r="C41" s="487" t="str">
        <f>IFERROR(INVENTARIOS!C18/'INDICADORES PRODUCCION'!C9*1000,"-")</f>
        <v>-</v>
      </c>
      <c r="D41" s="487" t="str">
        <f>IFERROR(INVENTARIOS!D18/'INDICADORES PRODUCCION'!D9*1000,"-")</f>
        <v>-</v>
      </c>
      <c r="E41" s="487" t="str">
        <f>IFERROR(INVENTARIOS!E18/'INDICADORES PRODUCCION'!E9*1000,"-")</f>
        <v>-</v>
      </c>
      <c r="F41" s="487" t="str">
        <f>IFERROR(INVENTARIOS!F18/'INDICADORES PRODUCCION'!F9*1000,"-")</f>
        <v>-</v>
      </c>
      <c r="G41" s="487" t="str">
        <f>IFERROR(INVENTARIOS!G18/'INDICADORES PRODUCCION'!G9*1000,"-")</f>
        <v>-</v>
      </c>
      <c r="H41" s="487" t="str">
        <f>IFERROR(INVENTARIOS!H18/'INDICADORES PRODUCCION'!H9*1000,"-")</f>
        <v>-</v>
      </c>
      <c r="I41" s="487" t="str">
        <f>IFERROR(INVENTARIOS!I18/'INDICADORES PRODUCCION'!I9*1000,"-")</f>
        <v>-</v>
      </c>
      <c r="J41" s="487">
        <f>IFERROR(INVENTARIOS!J18/'INDICADORES PRODUCCION'!J9*1000,"-")</f>
        <v>947.54268305583173</v>
      </c>
      <c r="K41" s="487" t="str">
        <f>IFERROR(INVENTARIOS!K18/'INDICADORES PRODUCCION'!K9*1000,"-")</f>
        <v>-</v>
      </c>
      <c r="L41" s="487" t="str">
        <f>IFERROR(INVENTARIOS!L18/'INDICADORES PRODUCCION'!L9*1000,"-")</f>
        <v>-</v>
      </c>
      <c r="M41" s="487" t="str">
        <f>IFERROR(INVENTARIOS!M18/'INDICADORES PRODUCCION'!M9*1000,"-")</f>
        <v>-</v>
      </c>
      <c r="N41" s="487">
        <f>IFERROR(INVENTARIOS!N18/'INDICADORES PRODUCCION'!N9*1000,"-")</f>
        <v>1008.8665565137352</v>
      </c>
      <c r="O41" s="486">
        <f>IFERROR(SUM(INVENTARIOS!C18:N18)/SUM(INVENTARIOS!C$70:N$70)*1000,"-")</f>
        <v>1001.2109623122644</v>
      </c>
      <c r="P41" s="486">
        <f>IFERROR(SUMIFS(INVENTARIOS!C18:N18,'INDICADORES PRODUCCION'!C$7:N$7,"&gt;="&amp;DATE(YEAR('INDICADORES PRODUCCION'!N$7),1,1),'INDICADORES PRODUCCION'!C$7:N$7,"&lt;="&amp;DATE(YEAR('INDICADORES PRODUCCION'!N$7),12,31))/SUMIFS(INVENTARIOS!C70:N70,'INDICADORES PRODUCCION'!C$7:N$7,"&gt;="&amp;DATE(YEAR('INDICADORES PRODUCCION'!N$7),1,1),'INDICADORES PRODUCCION'!C$7:N$7,"&lt;="&amp;DATE(YEAR('INDICADORES PRODUCCION'!N$7),12,31))*1000,"-")</f>
        <v>1008.8665565137352</v>
      </c>
      <c r="Q41" s="486">
        <v>998.86500000000001</v>
      </c>
      <c r="R41" s="438"/>
      <c r="S41" s="428"/>
      <c r="T41" s="428"/>
      <c r="U41" s="428"/>
      <c r="V41" s="428"/>
      <c r="W41" s="428"/>
      <c r="X41" s="428"/>
      <c r="Y41" s="428"/>
      <c r="Z41" s="428"/>
      <c r="AA41" s="428"/>
      <c r="AB41" s="428"/>
      <c r="AC41" s="428"/>
      <c r="AE41" s="428" t="e">
        <f t="shared" si="43"/>
        <v>#VALUE!</v>
      </c>
      <c r="AF41" s="428" t="e">
        <f t="shared" si="33"/>
        <v>#VALUE!</v>
      </c>
      <c r="AG41" s="428" t="e">
        <f t="shared" si="34"/>
        <v>#VALUE!</v>
      </c>
      <c r="AH41" s="428" t="e">
        <f t="shared" si="35"/>
        <v>#VALUE!</v>
      </c>
      <c r="AI41" s="428" t="e">
        <f t="shared" si="36"/>
        <v>#VALUE!</v>
      </c>
      <c r="AJ41" s="428" t="e">
        <f t="shared" si="37"/>
        <v>#VALUE!</v>
      </c>
      <c r="AK41" s="428" t="e">
        <f t="shared" si="38"/>
        <v>#VALUE!</v>
      </c>
      <c r="AL41" s="428">
        <f t="shared" si="39"/>
        <v>-947.54268305583173</v>
      </c>
      <c r="AM41" s="428" t="e">
        <f t="shared" si="40"/>
        <v>#VALUE!</v>
      </c>
      <c r="AN41" s="428" t="e">
        <f t="shared" si="41"/>
        <v>#VALUE!</v>
      </c>
      <c r="AO41" s="428" t="e">
        <f t="shared" si="42"/>
        <v>#VALUE!</v>
      </c>
      <c r="AP41" s="428"/>
      <c r="AQ41" s="428"/>
      <c r="AR41" s="428"/>
      <c r="AS41" s="428"/>
      <c r="AT41" s="428"/>
      <c r="AU41" s="428"/>
      <c r="AV41" s="428"/>
      <c r="AW41" s="428"/>
      <c r="AX41" s="428"/>
      <c r="AY41" s="428"/>
      <c r="AZ41" s="428"/>
      <c r="BA41" s="428"/>
      <c r="BB41" s="428"/>
      <c r="BC41" s="428"/>
      <c r="BD41" s="428"/>
      <c r="BE41" s="428"/>
      <c r="BF41" s="428"/>
      <c r="BG41" s="428"/>
    </row>
    <row r="42" spans="1:59" x14ac:dyDescent="0.25">
      <c r="A42" s="498" t="s">
        <v>362</v>
      </c>
      <c r="B42" s="497" t="s">
        <v>63</v>
      </c>
      <c r="C42" s="697" t="str">
        <f>IFERROR(INVENTARIOS!C42/'INDICADORES PRODUCCION'!C9*1000,"-")</f>
        <v>-</v>
      </c>
      <c r="D42" s="697" t="str">
        <f>IFERROR(INVENTARIOS!D42/'INDICADORES PRODUCCION'!D9*1000,"-")</f>
        <v>-</v>
      </c>
      <c r="E42" s="697" t="str">
        <f>IFERROR(INVENTARIOS!E42/'INDICADORES PRODUCCION'!E9*1000,"-")</f>
        <v>-</v>
      </c>
      <c r="F42" s="697" t="str">
        <f>IFERROR(INVENTARIOS!F42/'INDICADORES PRODUCCION'!F9*1000,"-")</f>
        <v>-</v>
      </c>
      <c r="G42" s="697" t="str">
        <f>IFERROR(INVENTARIOS!G42/'INDICADORES PRODUCCION'!G9*1000,"-")</f>
        <v>-</v>
      </c>
      <c r="H42" s="697" t="str">
        <f>IFERROR(INVENTARIOS!H42/'INDICADORES PRODUCCION'!H9*1000,"-")</f>
        <v>-</v>
      </c>
      <c r="I42" s="697" t="str">
        <f>IFERROR(INVENTARIOS!I42/'INDICADORES PRODUCCION'!I9*1000,"-")</f>
        <v>-</v>
      </c>
      <c r="J42" s="697">
        <f>IFERROR(INVENTARIOS!J42/'INDICADORES PRODUCCION'!J9*1000,"-")</f>
        <v>0</v>
      </c>
      <c r="K42" s="697" t="str">
        <f>IFERROR(INVENTARIOS!K42/'INDICADORES PRODUCCION'!K9*1000,"-")</f>
        <v>-</v>
      </c>
      <c r="L42" s="697" t="str">
        <f>IFERROR(INVENTARIOS!L42/'INDICADORES PRODUCCION'!L9*1000,"-")</f>
        <v>-</v>
      </c>
      <c r="M42" s="697" t="str">
        <f>IFERROR(INVENTARIOS!M42/'INDICADORES PRODUCCION'!M9*1000,"-")</f>
        <v>-</v>
      </c>
      <c r="N42" s="697">
        <f>IFERROR(INVENTARIOS!N42/'INDICADORES PRODUCCION'!N9*1000,"-")</f>
        <v>13.859653093712987</v>
      </c>
      <c r="O42" s="486">
        <f>IFERROR(SUM(INVENTARIOS!C42:N42)/SUM(INVENTARIOS!C$70:N$70)*1000,"-")</f>
        <v>12.129431666466383</v>
      </c>
      <c r="P42" s="486">
        <f>IFERROR(SUMIFS(INVENTARIOS!C42:N42,'INDICADORES PRODUCCION'!C$7:N$7,"&gt;="&amp;DATE(YEAR('INDICADORES PRODUCCION'!N$7),1,1),'INDICADORES PRODUCCION'!C$7:N$7,"&lt;="&amp;DATE(YEAR('INDICADORES PRODUCCION'!N$7),12,31))/SUMIFS(INVENTARIOS!C70:N70,'INDICADORES PRODUCCION'!C$7:N$7,"&gt;="&amp;DATE(YEAR('INDICADORES PRODUCCION'!N$7),1,1),'INDICADORES PRODUCCION'!C$7:N$7,"&lt;="&amp;DATE(YEAR('INDICADORES PRODUCCION'!N$7),12,31))*1000,"-")</f>
        <v>13.859653093712987</v>
      </c>
      <c r="Q42" s="486">
        <v>8.484</v>
      </c>
      <c r="R42" s="438"/>
      <c r="S42" s="428"/>
      <c r="T42" s="428"/>
      <c r="U42" s="428"/>
      <c r="V42" s="428"/>
      <c r="W42" s="428"/>
      <c r="X42" s="428"/>
      <c r="Y42" s="428"/>
      <c r="Z42" s="428"/>
      <c r="AA42" s="428"/>
      <c r="AB42" s="428"/>
      <c r="AC42" s="428"/>
      <c r="AE42" s="794" t="e">
        <f t="shared" si="43"/>
        <v>#VALUE!</v>
      </c>
      <c r="AF42" s="794" t="e">
        <f t="shared" si="33"/>
        <v>#VALUE!</v>
      </c>
      <c r="AG42" s="794" t="e">
        <f t="shared" si="34"/>
        <v>#VALUE!</v>
      </c>
      <c r="AH42" s="794" t="e">
        <f t="shared" si="35"/>
        <v>#VALUE!</v>
      </c>
      <c r="AI42" s="794" t="e">
        <f t="shared" si="36"/>
        <v>#VALUE!</v>
      </c>
      <c r="AJ42" s="794" t="e">
        <f t="shared" si="37"/>
        <v>#VALUE!</v>
      </c>
      <c r="AK42" s="794" t="e">
        <f t="shared" si="38"/>
        <v>#VALUE!</v>
      </c>
      <c r="AL42" s="794">
        <f t="shared" si="39"/>
        <v>0</v>
      </c>
      <c r="AM42" s="794" t="e">
        <f t="shared" si="40"/>
        <v>#VALUE!</v>
      </c>
      <c r="AN42" s="794" t="e">
        <f t="shared" si="41"/>
        <v>#VALUE!</v>
      </c>
      <c r="AO42" s="794" t="e">
        <f t="shared" si="42"/>
        <v>#VALUE!</v>
      </c>
      <c r="AP42" s="428"/>
      <c r="AQ42" s="428"/>
      <c r="AR42" s="428"/>
      <c r="AS42" s="428"/>
      <c r="AT42" s="428"/>
      <c r="AU42" s="428"/>
      <c r="AV42" s="428"/>
      <c r="AW42" s="428"/>
      <c r="AX42" s="428"/>
      <c r="AY42" s="428"/>
      <c r="AZ42" s="428"/>
      <c r="BA42" s="428"/>
      <c r="BB42" s="428"/>
      <c r="BC42" s="428"/>
      <c r="BD42" s="428"/>
      <c r="BE42" s="428"/>
      <c r="BF42" s="428"/>
      <c r="BG42" s="428"/>
    </row>
    <row r="43" spans="1:59" x14ac:dyDescent="0.25">
      <c r="A43" s="498" t="s">
        <v>349</v>
      </c>
      <c r="B43" s="497" t="s">
        <v>63</v>
      </c>
      <c r="C43" s="697" t="str">
        <f>IFERROR(INVENTARIOS!C48/'INDICADORES PRODUCCION'!C9*1000,"-")</f>
        <v>-</v>
      </c>
      <c r="D43" s="697" t="str">
        <f>IFERROR(INVENTARIOS!D48/'INDICADORES PRODUCCION'!D9*1000,"-")</f>
        <v>-</v>
      </c>
      <c r="E43" s="697" t="str">
        <f>IFERROR(INVENTARIOS!E48/'INDICADORES PRODUCCION'!E9*1000,"-")</f>
        <v>-</v>
      </c>
      <c r="F43" s="697" t="str">
        <f>IFERROR(INVENTARIOS!F48/'INDICADORES PRODUCCION'!F9*1000,"-")</f>
        <v>-</v>
      </c>
      <c r="G43" s="697" t="str">
        <f>IFERROR(INVENTARIOS!G48/'INDICADORES PRODUCCION'!G9*1000,"-")</f>
        <v>-</v>
      </c>
      <c r="H43" s="697" t="str">
        <f>IFERROR(INVENTARIOS!H48/'INDICADORES PRODUCCION'!H9*1000,"-")</f>
        <v>-</v>
      </c>
      <c r="I43" s="697" t="str">
        <f>IFERROR(INVENTARIOS!I48/'INDICADORES PRODUCCION'!I9*1000,"-")</f>
        <v>-</v>
      </c>
      <c r="J43" s="697">
        <f>IFERROR(INVENTARIOS!J48/'INDICADORES PRODUCCION'!J9*1000,"-")</f>
        <v>0</v>
      </c>
      <c r="K43" s="697" t="str">
        <f>IFERROR(INVENTARIOS!K48/'INDICADORES PRODUCCION'!K9*1000,"-")</f>
        <v>-</v>
      </c>
      <c r="L43" s="697" t="str">
        <f>IFERROR(INVENTARIOS!L48/'INDICADORES PRODUCCION'!L9*1000,"-")</f>
        <v>-</v>
      </c>
      <c r="M43" s="697" t="str">
        <f>IFERROR(INVENTARIOS!M48/'INDICADORES PRODUCCION'!M9*1000,"-")</f>
        <v>-</v>
      </c>
      <c r="N43" s="697">
        <f>IFERROR(INVENTARIOS!N48/'INDICADORES PRODUCCION'!N9*1000,"-")</f>
        <v>1.4304791652520321</v>
      </c>
      <c r="O43" s="486">
        <f>IFERROR(SUM(INVENTARIOS!C48:N48)/SUM(INVENTARIOS!C$70:N$70)*1000,"-")</f>
        <v>1.2518999694948429</v>
      </c>
      <c r="P43" s="486">
        <f>IFERROR(SUMIFS(INVENTARIOS!C48:N48,'INDICADORES PRODUCCION'!C$7:N$7,"&gt;="&amp;DATE(YEAR('INDICADORES PRODUCCION'!N$7),1,1),'INDICADORES PRODUCCION'!C$7:N$7,"&lt;="&amp;DATE(YEAR('INDICADORES PRODUCCION'!N$7),12,31))/SUMIFS(INVENTARIOS!C70:N70,'INDICADORES PRODUCCION'!C$7:N$7,"&gt;="&amp;DATE(YEAR('INDICADORES PRODUCCION'!N$7),1,1),'INDICADORES PRODUCCION'!C$7:N$7,"&lt;="&amp;DATE(YEAR('INDICADORES PRODUCCION'!N$7),12,31))*1000,"-")</f>
        <v>1.4304791652520321</v>
      </c>
      <c r="Q43" s="486">
        <v>0</v>
      </c>
      <c r="R43" s="438"/>
      <c r="S43" s="428"/>
      <c r="T43" s="428"/>
      <c r="U43" s="428"/>
      <c r="V43" s="428"/>
      <c r="W43" s="428"/>
      <c r="X43" s="428"/>
      <c r="Y43" s="428"/>
      <c r="Z43" s="428"/>
      <c r="AA43" s="428"/>
      <c r="AB43" s="428"/>
      <c r="AC43" s="428"/>
      <c r="AE43" s="428" t="e">
        <f t="shared" si="43"/>
        <v>#VALUE!</v>
      </c>
      <c r="AF43" s="428" t="e">
        <f t="shared" si="33"/>
        <v>#VALUE!</v>
      </c>
      <c r="AG43" s="428" t="e">
        <f t="shared" si="34"/>
        <v>#VALUE!</v>
      </c>
      <c r="AH43" s="428" t="e">
        <f t="shared" si="35"/>
        <v>#VALUE!</v>
      </c>
      <c r="AI43" s="428" t="e">
        <f t="shared" si="36"/>
        <v>#VALUE!</v>
      </c>
      <c r="AJ43" s="428" t="e">
        <f t="shared" si="37"/>
        <v>#VALUE!</v>
      </c>
      <c r="AK43" s="428" t="e">
        <f t="shared" si="38"/>
        <v>#VALUE!</v>
      </c>
      <c r="AL43" s="428">
        <f t="shared" si="39"/>
        <v>0</v>
      </c>
      <c r="AM43" s="428" t="e">
        <f t="shared" si="40"/>
        <v>#VALUE!</v>
      </c>
      <c r="AN43" s="428" t="e">
        <f t="shared" si="41"/>
        <v>#VALUE!</v>
      </c>
      <c r="AO43" s="428" t="e">
        <f t="shared" si="42"/>
        <v>#VALUE!</v>
      </c>
      <c r="AP43" s="428"/>
      <c r="AQ43" s="428"/>
      <c r="AR43" s="428"/>
      <c r="AS43" s="428"/>
      <c r="AT43" s="428"/>
      <c r="AU43" s="428"/>
      <c r="AV43" s="428"/>
      <c r="AW43" s="428"/>
      <c r="AX43" s="428"/>
      <c r="AY43" s="428"/>
      <c r="AZ43" s="428"/>
      <c r="BA43" s="428"/>
      <c r="BB43" s="428"/>
      <c r="BC43" s="428"/>
      <c r="BD43" s="428"/>
      <c r="BE43" s="428"/>
      <c r="BF43" s="428"/>
      <c r="BG43" s="428"/>
    </row>
    <row r="44" spans="1:59" x14ac:dyDescent="0.25">
      <c r="A44" s="485" t="s">
        <v>360</v>
      </c>
      <c r="B44" s="497" t="s">
        <v>63</v>
      </c>
      <c r="C44" s="697" t="str">
        <f>IFERROR(INVENTARIOS!C54/'INDICADORES PRODUCCION'!C9*1000,"-")</f>
        <v>-</v>
      </c>
      <c r="D44" s="697" t="str">
        <f>IFERROR(INVENTARIOS!D54/'INDICADORES PRODUCCION'!D9*1000,"-")</f>
        <v>-</v>
      </c>
      <c r="E44" s="697" t="str">
        <f>IFERROR(INVENTARIOS!E54/'INDICADORES PRODUCCION'!E9*1000,"-")</f>
        <v>-</v>
      </c>
      <c r="F44" s="697" t="str">
        <f>IFERROR(INVENTARIOS!F54/'INDICADORES PRODUCCION'!F9*1000,"-")</f>
        <v>-</v>
      </c>
      <c r="G44" s="697" t="str">
        <f>IFERROR(INVENTARIOS!G54/'INDICADORES PRODUCCION'!G9*1000,"-")</f>
        <v>-</v>
      </c>
      <c r="H44" s="697" t="str">
        <f>IFERROR(INVENTARIOS!H54/'INDICADORES PRODUCCION'!H9*1000,"-")</f>
        <v>-</v>
      </c>
      <c r="I44" s="697" t="str">
        <f>IFERROR(INVENTARIOS!I54/'INDICADORES PRODUCCION'!I9*1000,"-")</f>
        <v>-</v>
      </c>
      <c r="J44" s="697">
        <f>IFERROR(INVENTARIOS!J54/'INDICADORES PRODUCCION'!J9*1000,"-")</f>
        <v>0</v>
      </c>
      <c r="K44" s="697" t="str">
        <f>IFERROR(INVENTARIOS!K54/'INDICADORES PRODUCCION'!K9*1000,"-")</f>
        <v>-</v>
      </c>
      <c r="L44" s="697" t="str">
        <f>IFERROR(INVENTARIOS!L54/'INDICADORES PRODUCCION'!L9*1000,"-")</f>
        <v>-</v>
      </c>
      <c r="M44" s="697" t="str">
        <f>IFERROR(INVENTARIOS!M54/'INDICADORES PRODUCCION'!M9*1000,"-")</f>
        <v>-</v>
      </c>
      <c r="N44" s="697">
        <f>IFERROR(INVENTARIOS!N54/'INDICADORES PRODUCCION'!N9*1000,"-")</f>
        <v>0.60357770685739731</v>
      </c>
      <c r="O44" s="486">
        <f>IFERROR(SUM(INVENTARIOS!C54:N54)/SUM(INVENTARIOS!C$70:N$70)*1000,"-")</f>
        <v>0.52822783522989136</v>
      </c>
      <c r="P44" s="486">
        <f>IFERROR(SUMIFS(INVENTARIOS!C54:N54,'INDICADORES PRODUCCION'!C$7:N$7,"&gt;="&amp;DATE(YEAR('INDICADORES PRODUCCION'!N$7),1,1),'INDICADORES PRODUCCION'!C$7:N$7,"&lt;="&amp;DATE(YEAR('INDICADORES PRODUCCION'!N$7),12,31))/SUMIFS(INVENTARIOS!C70:N70,'INDICADORES PRODUCCION'!C$7:N$7,"&gt;="&amp;DATE(YEAR('INDICADORES PRODUCCION'!N$7),1,1),'INDICADORES PRODUCCION'!C$7:N$7,"&lt;="&amp;DATE(YEAR('INDICADORES PRODUCCION'!N$7),12,31))*1000,"-")</f>
        <v>0.60357770685739731</v>
      </c>
      <c r="Q44" s="486">
        <v>0.53300000000000003</v>
      </c>
      <c r="R44" s="438"/>
      <c r="S44" s="428"/>
      <c r="T44" s="428"/>
      <c r="U44" s="428"/>
      <c r="V44" s="428"/>
      <c r="W44" s="428"/>
      <c r="X44" s="428"/>
      <c r="Y44" s="428"/>
      <c r="Z44" s="428"/>
      <c r="AA44" s="428"/>
      <c r="AB44" s="428"/>
      <c r="AC44" s="428"/>
      <c r="AE44" s="428" t="e">
        <f t="shared" si="43"/>
        <v>#VALUE!</v>
      </c>
      <c r="AF44" s="428" t="e">
        <f t="shared" si="33"/>
        <v>#VALUE!</v>
      </c>
      <c r="AG44" s="428" t="e">
        <f t="shared" si="34"/>
        <v>#VALUE!</v>
      </c>
      <c r="AH44" s="428" t="e">
        <f t="shared" si="35"/>
        <v>#VALUE!</v>
      </c>
      <c r="AI44" s="428" t="e">
        <f t="shared" si="36"/>
        <v>#VALUE!</v>
      </c>
      <c r="AJ44" s="428" t="e">
        <f t="shared" si="37"/>
        <v>#VALUE!</v>
      </c>
      <c r="AK44" s="428" t="e">
        <f t="shared" si="38"/>
        <v>#VALUE!</v>
      </c>
      <c r="AL44" s="428">
        <f t="shared" si="39"/>
        <v>0</v>
      </c>
      <c r="AM44" s="428" t="e">
        <f t="shared" si="40"/>
        <v>#VALUE!</v>
      </c>
      <c r="AN44" s="428" t="e">
        <f t="shared" si="41"/>
        <v>#VALUE!</v>
      </c>
      <c r="AO44" s="428" t="e">
        <f t="shared" si="42"/>
        <v>#VALUE!</v>
      </c>
      <c r="AP44" s="428"/>
      <c r="AQ44" s="428"/>
      <c r="AR44" s="428"/>
      <c r="AS44" s="428"/>
      <c r="AT44" s="428"/>
      <c r="AU44" s="428"/>
      <c r="AV44" s="428"/>
      <c r="AW44" s="428"/>
      <c r="AX44" s="428"/>
      <c r="AY44" s="428"/>
      <c r="AZ44" s="428"/>
      <c r="BA44" s="428"/>
      <c r="BB44" s="428"/>
      <c r="BC44" s="428"/>
      <c r="BD44" s="428"/>
      <c r="BE44" s="428"/>
      <c r="BF44" s="428"/>
      <c r="BG44" s="428"/>
    </row>
    <row r="45" spans="1:59" ht="17.25" thickBot="1" x14ac:dyDescent="0.3">
      <c r="A45" s="493" t="s">
        <v>306</v>
      </c>
      <c r="B45" s="499" t="s">
        <v>63</v>
      </c>
      <c r="C45" s="696" t="str">
        <f>IFERROR(INVENTARIOS!C107/'INDICADORES PRODUCCION'!C9*1000,"-")</f>
        <v>-</v>
      </c>
      <c r="D45" s="696" t="str">
        <f>IFERROR(INVENTARIOS!D107/'INDICADORES PRODUCCION'!D9*1000,"-")</f>
        <v>-</v>
      </c>
      <c r="E45" s="696" t="str">
        <f>IFERROR(INVENTARIOS!E107/'INDICADORES PRODUCCION'!E9*1000,"-")</f>
        <v>-</v>
      </c>
      <c r="F45" s="696" t="str">
        <f>IFERROR(INVENTARIOS!F107/'INDICADORES PRODUCCION'!F9*1000,"-")</f>
        <v>-</v>
      </c>
      <c r="G45" s="696" t="str">
        <f>IFERROR(INVENTARIOS!G107/'INDICADORES PRODUCCION'!G9*1000,"-")</f>
        <v>-</v>
      </c>
      <c r="H45" s="696" t="str">
        <f>IFERROR(INVENTARIOS!H107/'INDICADORES PRODUCCION'!H9*1000,"-")</f>
        <v>-</v>
      </c>
      <c r="I45" s="696" t="str">
        <f>IFERROR(INVENTARIOS!I107/'INDICADORES PRODUCCION'!I9*1000,"-")</f>
        <v>-</v>
      </c>
      <c r="J45" s="696">
        <f>IFERROR(INVENTARIOS!J107/'INDICADORES PRODUCCION'!J9*1000,"-")</f>
        <v>52.277487464827466</v>
      </c>
      <c r="K45" s="696" t="str">
        <f>IFERROR(INVENTARIOS!K107/'INDICADORES PRODUCCION'!K9*1000,"-")</f>
        <v>-</v>
      </c>
      <c r="L45" s="696" t="str">
        <f>IFERROR(INVENTARIOS!L107/'INDICADORES PRODUCCION'!L9*1000,"-")</f>
        <v>-</v>
      </c>
      <c r="M45" s="696" t="str">
        <f>IFERROR(INVENTARIOS!M107/'INDICADORES PRODUCCION'!M9*1000,"-")</f>
        <v>-</v>
      </c>
      <c r="N45" s="696">
        <f>IFERROR(INVENTARIOS!N107/'INDICADORES PRODUCCION'!N9*1000,"-")</f>
        <v>27.274167628618635</v>
      </c>
      <c r="O45" s="481">
        <f>IFERROR(SUM(INVENTARIOS!C107:N107)/SUM(INVENTARIOS!C$70:N$70)*1000,"-")</f>
        <v>30.395550208716021</v>
      </c>
      <c r="P45" s="481">
        <f>IFERROR(SUMIFS(INVENTARIOS!C107:N107,'INDICADORES PRODUCCION'!C$7:N$7,"&gt;="&amp;DATE(YEAR('INDICADORES PRODUCCION'!N$7),1,1),'INDICADORES PRODUCCION'!C$7:N$7,"&lt;="&amp;DATE(YEAR('INDICADORES PRODUCCION'!N$7),12,31))/SUMIFS(INVENTARIOS!C70:N70,'INDICADORES PRODUCCION'!C$7:N$7,"&gt;="&amp;DATE(YEAR('INDICADORES PRODUCCION'!N$7),1,1),'INDICADORES PRODUCCION'!C$7:N$7,"&lt;="&amp;DATE(YEAR('INDICADORES PRODUCCION'!N$7),12,31))*1000,"-")</f>
        <v>27.274167628618635</v>
      </c>
      <c r="Q45" s="481">
        <v>49.746000000000002</v>
      </c>
      <c r="R45" s="438"/>
      <c r="S45" s="428"/>
      <c r="T45" s="428"/>
      <c r="U45" s="428"/>
      <c r="V45" s="428"/>
      <c r="W45" s="428"/>
      <c r="X45" s="428"/>
      <c r="Y45" s="428"/>
      <c r="Z45" s="428"/>
      <c r="AA45" s="428"/>
      <c r="AB45" s="428"/>
      <c r="AC45" s="428"/>
      <c r="AE45" s="428" t="e">
        <f t="shared" si="43"/>
        <v>#VALUE!</v>
      </c>
      <c r="AF45" s="428" t="e">
        <f t="shared" si="33"/>
        <v>#VALUE!</v>
      </c>
      <c r="AG45" s="428" t="e">
        <f t="shared" si="34"/>
        <v>#VALUE!</v>
      </c>
      <c r="AH45" s="428" t="e">
        <f t="shared" si="35"/>
        <v>#VALUE!</v>
      </c>
      <c r="AI45" s="428" t="e">
        <f t="shared" si="36"/>
        <v>#VALUE!</v>
      </c>
      <c r="AJ45" s="428" t="e">
        <f t="shared" si="37"/>
        <v>#VALUE!</v>
      </c>
      <c r="AK45" s="428" t="e">
        <f t="shared" si="38"/>
        <v>#VALUE!</v>
      </c>
      <c r="AL45" s="428">
        <f t="shared" si="39"/>
        <v>-52.277487464827466</v>
      </c>
      <c r="AM45" s="428" t="e">
        <f t="shared" si="40"/>
        <v>#VALUE!</v>
      </c>
      <c r="AN45" s="428" t="e">
        <f t="shared" si="41"/>
        <v>#VALUE!</v>
      </c>
      <c r="AO45" s="428" t="e">
        <f t="shared" si="42"/>
        <v>#VALUE!</v>
      </c>
      <c r="AP45" s="428"/>
      <c r="AQ45" s="428"/>
      <c r="AR45" s="428"/>
      <c r="AS45" s="428"/>
      <c r="AT45" s="428"/>
      <c r="AU45" s="428"/>
      <c r="AV45" s="428"/>
      <c r="AW45" s="428"/>
      <c r="AX45" s="428"/>
      <c r="AY45" s="428"/>
      <c r="AZ45" s="428"/>
      <c r="BA45" s="428"/>
      <c r="BB45" s="428"/>
      <c r="BC45" s="428"/>
      <c r="BD45" s="428"/>
      <c r="BE45" s="428"/>
      <c r="BF45" s="428"/>
      <c r="BG45" s="428"/>
    </row>
    <row r="46" spans="1:59" ht="17.25" thickBot="1" x14ac:dyDescent="0.3">
      <c r="A46" s="463"/>
      <c r="B46" s="495"/>
      <c r="C46" s="726"/>
      <c r="D46" s="726"/>
      <c r="E46" s="726"/>
      <c r="F46" s="726"/>
      <c r="G46" s="726"/>
      <c r="H46" s="726"/>
      <c r="I46" s="726"/>
      <c r="J46" s="438"/>
      <c r="K46" s="726"/>
      <c r="L46" s="726"/>
      <c r="M46" s="726"/>
      <c r="N46" s="438"/>
      <c r="O46" s="495"/>
      <c r="P46" s="495"/>
      <c r="Q46" s="470"/>
      <c r="R46" s="438"/>
      <c r="S46" s="428"/>
      <c r="T46" s="428"/>
      <c r="U46" s="428"/>
      <c r="V46" s="428"/>
      <c r="W46" s="428"/>
      <c r="X46" s="428"/>
      <c r="Y46" s="428"/>
      <c r="Z46" s="428"/>
      <c r="AA46" s="428"/>
      <c r="AB46" s="428"/>
      <c r="AC46" s="428"/>
      <c r="AP46" s="428"/>
      <c r="AQ46" s="428"/>
      <c r="AR46" s="428"/>
      <c r="AS46" s="428"/>
      <c r="AT46" s="428"/>
      <c r="AU46" s="428"/>
      <c r="AV46" s="428"/>
      <c r="AW46" s="428"/>
      <c r="AX46" s="428"/>
      <c r="AY46" s="428"/>
      <c r="AZ46" s="428"/>
      <c r="BA46" s="428"/>
      <c r="BB46" s="428"/>
      <c r="BC46" s="428"/>
      <c r="BD46" s="428"/>
      <c r="BE46" s="428"/>
      <c r="BF46" s="428"/>
      <c r="BG46" s="428"/>
    </row>
    <row r="47" spans="1:59" ht="17.25" thickBot="1" x14ac:dyDescent="0.3">
      <c r="A47" s="463"/>
      <c r="B47" s="870" t="s">
        <v>352</v>
      </c>
      <c r="C47" s="871"/>
      <c r="D47" s="871"/>
      <c r="E47" s="871"/>
      <c r="F47" s="871"/>
      <c r="G47" s="871"/>
      <c r="H47" s="871"/>
      <c r="I47" s="871"/>
      <c r="J47" s="871"/>
      <c r="K47" s="871"/>
      <c r="L47" s="871"/>
      <c r="M47" s="871"/>
      <c r="N47" s="872"/>
      <c r="O47" s="495"/>
      <c r="P47" s="495"/>
      <c r="Q47" s="470"/>
      <c r="R47" s="438"/>
      <c r="S47" s="428"/>
      <c r="T47" s="428"/>
      <c r="U47" s="428"/>
      <c r="V47" s="428"/>
      <c r="W47" s="428"/>
      <c r="X47" s="428"/>
      <c r="Y47" s="428"/>
      <c r="Z47" s="428"/>
      <c r="AA47" s="428"/>
      <c r="AB47" s="428"/>
      <c r="AC47" s="428"/>
      <c r="AP47" s="428"/>
      <c r="AQ47" s="428"/>
      <c r="AR47" s="428"/>
      <c r="AS47" s="428"/>
      <c r="AT47" s="428"/>
      <c r="AU47" s="428"/>
      <c r="AV47" s="428"/>
      <c r="AW47" s="428"/>
      <c r="AX47" s="428"/>
      <c r="AY47" s="428"/>
      <c r="AZ47" s="428"/>
      <c r="BA47" s="428"/>
      <c r="BB47" s="428"/>
      <c r="BC47" s="428"/>
      <c r="BD47" s="428"/>
      <c r="BE47" s="428"/>
      <c r="BF47" s="428"/>
      <c r="BG47" s="428"/>
    </row>
    <row r="48" spans="1:59" ht="33.75" thickBot="1" x14ac:dyDescent="0.3">
      <c r="A48" s="464" t="s">
        <v>344</v>
      </c>
      <c r="B48" s="464" t="s">
        <v>355</v>
      </c>
      <c r="C48" s="465">
        <f t="shared" ref="C48:N48" si="44">C$7</f>
        <v>43952</v>
      </c>
      <c r="D48" s="465">
        <f t="shared" si="44"/>
        <v>43983</v>
      </c>
      <c r="E48" s="465">
        <f t="shared" si="44"/>
        <v>44013</v>
      </c>
      <c r="F48" s="465">
        <f t="shared" si="44"/>
        <v>44044</v>
      </c>
      <c r="G48" s="465">
        <f t="shared" si="44"/>
        <v>44075</v>
      </c>
      <c r="H48" s="465">
        <f t="shared" si="44"/>
        <v>44105</v>
      </c>
      <c r="I48" s="465">
        <f t="shared" si="44"/>
        <v>44136</v>
      </c>
      <c r="J48" s="465">
        <f t="shared" si="44"/>
        <v>44166</v>
      </c>
      <c r="K48" s="465">
        <f t="shared" si="44"/>
        <v>44197</v>
      </c>
      <c r="L48" s="465">
        <f t="shared" si="44"/>
        <v>44228</v>
      </c>
      <c r="M48" s="465">
        <f t="shared" si="44"/>
        <v>44256</v>
      </c>
      <c r="N48" s="465">
        <f t="shared" si="44"/>
        <v>44287</v>
      </c>
      <c r="O48" s="716" t="s">
        <v>525</v>
      </c>
      <c r="P48" s="715" t="str">
        <f>"Año " &amp; YEAR(N48)</f>
        <v>Año 2021</v>
      </c>
      <c r="Q48" s="465" t="str">
        <f>"Año " &amp; YEAR(N48)-1</f>
        <v>Año 2020</v>
      </c>
      <c r="R48" s="438"/>
      <c r="S48" s="428"/>
      <c r="T48" s="428"/>
      <c r="U48" s="428"/>
      <c r="V48" s="428"/>
      <c r="W48" s="428"/>
      <c r="X48" s="428"/>
      <c r="Y48" s="428"/>
      <c r="Z48" s="428"/>
      <c r="AA48" s="428"/>
      <c r="AB48" s="428"/>
      <c r="AC48" s="428"/>
      <c r="AP48" s="428"/>
      <c r="AQ48" s="428"/>
      <c r="AR48" s="428"/>
      <c r="AS48" s="428"/>
      <c r="AT48" s="428"/>
      <c r="AU48" s="428"/>
      <c r="AV48" s="428"/>
      <c r="AW48" s="428"/>
      <c r="AX48" s="428"/>
      <c r="AY48" s="428"/>
      <c r="AZ48" s="428"/>
      <c r="BA48" s="428"/>
      <c r="BB48" s="428"/>
      <c r="BC48" s="428"/>
      <c r="BD48" s="428"/>
      <c r="BE48" s="428"/>
      <c r="BF48" s="428"/>
      <c r="BG48" s="428"/>
    </row>
    <row r="49" spans="1:59" x14ac:dyDescent="0.25">
      <c r="A49" s="482" t="s">
        <v>376</v>
      </c>
      <c r="B49" s="483" t="s">
        <v>63</v>
      </c>
      <c r="C49" s="484">
        <f>IFERROR(INVENTARIOS!C100/'INDICADORES PRODUCCION'!C16*1000,"-")</f>
        <v>896.6831683168316</v>
      </c>
      <c r="D49" s="484">
        <f>IFERROR(INVENTARIOS!D100/'INDICADORES PRODUCCION'!D16*1000,"-")</f>
        <v>904.60974910077891</v>
      </c>
      <c r="E49" s="484">
        <f>IFERROR(INVENTARIOS!E100/'INDICADORES PRODUCCION'!E16*1000,"-")</f>
        <v>912.31837011795028</v>
      </c>
      <c r="F49" s="484">
        <f>IFERROR(INVENTARIOS!F100/'INDICADORES PRODUCCION'!F16*1000,"-")</f>
        <v>916.91873610024447</v>
      </c>
      <c r="G49" s="484">
        <f>IFERROR(INVENTARIOS!G100/'INDICADORES PRODUCCION'!G16*1000,"-")</f>
        <v>909.64572271591726</v>
      </c>
      <c r="H49" s="484">
        <f>IFERROR(INVENTARIOS!H100/'INDICADORES PRODUCCION'!H16*1000,"-")</f>
        <v>913.80959632975134</v>
      </c>
      <c r="I49" s="484">
        <f>IFERROR(INVENTARIOS!I100/'INDICADORES PRODUCCION'!I16*1000,"-")</f>
        <v>908.41875201953098</v>
      </c>
      <c r="J49" s="484">
        <f>IFERROR(INVENTARIOS!J100/'INDICADORES PRODUCCION'!J16*1000,"-")</f>
        <v>918.55050814057893</v>
      </c>
      <c r="K49" s="484">
        <f>IFERROR(INVENTARIOS!K100/'INDICADORES PRODUCCION'!K16*1000,"-")</f>
        <v>921.26983424646062</v>
      </c>
      <c r="L49" s="484">
        <f>IFERROR(INVENTARIOS!L100/'INDICADORES PRODUCCION'!L16*1000,"-")</f>
        <v>911.86572118021002</v>
      </c>
      <c r="M49" s="484">
        <f>IFERROR(INVENTARIOS!M100/'INDICADORES PRODUCCION'!M16*1000,"-")</f>
        <v>910.63574058919789</v>
      </c>
      <c r="N49" s="484">
        <f>IFERROR(INVENTARIOS!N100/'INDICADORES PRODUCCION'!N16*1000,"-")</f>
        <v>910.51683774536286</v>
      </c>
      <c r="O49" s="469">
        <f>IFERROR(SUM(INVENTARIOS!C100:N100)/SUM(INVENTARIOS!C$22:N$22)*1000,"-")</f>
        <v>910.82492205720143</v>
      </c>
      <c r="P49" s="483">
        <f>IFERROR(SUMIFS(INVENTARIOS!C100:N100,'INDICADORES PRODUCCION'!C$7:N$7,"&gt;="&amp;DATE(YEAR('INDICADORES PRODUCCION'!N$7),1,1),'INDICADORES PRODUCCION'!C$7:N$7,"&lt;="&amp;DATE(YEAR('INDICADORES PRODUCCION'!N$7),12,31))/SUMIFS(INVENTARIOS!C22:N22,'INDICADORES PRODUCCION'!C$7:N$7,"&gt;="&amp;DATE(YEAR('INDICADORES PRODUCCION'!N$7),1,1),'INDICADORES PRODUCCION'!C$7:N$7,"&lt;="&amp;DATE(YEAR('INDICADORES PRODUCCION'!N$7),12,31))*1000,"-")</f>
        <v>913.69888223009889</v>
      </c>
      <c r="Q49" s="469">
        <v>907.16700000000003</v>
      </c>
      <c r="R49" s="438"/>
      <c r="S49" s="438"/>
      <c r="T49" s="438"/>
      <c r="U49" s="438"/>
      <c r="V49" s="438"/>
      <c r="W49" s="438"/>
      <c r="X49" s="438"/>
      <c r="Y49" s="438"/>
      <c r="Z49" s="438"/>
      <c r="AA49" s="438"/>
      <c r="AB49" s="438"/>
      <c r="AC49" s="438"/>
      <c r="AE49" s="428">
        <f t="shared" ref="AE49:AE54" si="45">S49-C49</f>
        <v>-896.6831683168316</v>
      </c>
      <c r="AF49" s="428">
        <f t="shared" ref="AF49:AO54" si="46">T49-D49</f>
        <v>-904.60974910077891</v>
      </c>
      <c r="AG49" s="428">
        <f t="shared" si="46"/>
        <v>-912.31837011795028</v>
      </c>
      <c r="AH49" s="428">
        <f t="shared" si="46"/>
        <v>-916.91873610024447</v>
      </c>
      <c r="AI49" s="428">
        <f t="shared" si="46"/>
        <v>-909.64572271591726</v>
      </c>
      <c r="AJ49" s="428">
        <f t="shared" si="46"/>
        <v>-913.80959632975134</v>
      </c>
      <c r="AK49" s="428">
        <f t="shared" si="46"/>
        <v>-908.41875201953098</v>
      </c>
      <c r="AL49" s="428">
        <f t="shared" si="46"/>
        <v>-918.55050814057893</v>
      </c>
      <c r="AM49" s="428">
        <f t="shared" si="46"/>
        <v>-921.26983424646062</v>
      </c>
      <c r="AN49" s="428">
        <f t="shared" si="46"/>
        <v>-911.86572118021002</v>
      </c>
      <c r="AO49" s="428">
        <f t="shared" si="46"/>
        <v>-910.63574058919789</v>
      </c>
      <c r="AP49" s="428"/>
      <c r="AQ49" s="428"/>
      <c r="AR49" s="428"/>
      <c r="AS49" s="428"/>
      <c r="AT49" s="428"/>
      <c r="AU49" s="428"/>
      <c r="AV49" s="428"/>
      <c r="AW49" s="428"/>
      <c r="AX49" s="428"/>
      <c r="AY49" s="428"/>
      <c r="AZ49" s="428"/>
      <c r="BA49" s="428"/>
      <c r="BB49" s="428"/>
      <c r="BC49" s="428"/>
      <c r="BD49" s="428"/>
      <c r="BE49" s="428"/>
      <c r="BF49" s="428"/>
      <c r="BG49" s="428"/>
    </row>
    <row r="50" spans="1:59" x14ac:dyDescent="0.25">
      <c r="A50" s="498" t="s">
        <v>435</v>
      </c>
      <c r="B50" s="500" t="s">
        <v>63</v>
      </c>
      <c r="C50" s="501">
        <v>0</v>
      </c>
      <c r="D50" s="501">
        <v>0</v>
      </c>
      <c r="E50" s="501">
        <v>0</v>
      </c>
      <c r="F50" s="501">
        <v>0</v>
      </c>
      <c r="G50" s="501">
        <v>0</v>
      </c>
      <c r="H50" s="501">
        <v>0</v>
      </c>
      <c r="I50" s="501">
        <v>0</v>
      </c>
      <c r="J50" s="501">
        <v>0</v>
      </c>
      <c r="K50" s="501">
        <v>0</v>
      </c>
      <c r="L50" s="501">
        <v>0</v>
      </c>
      <c r="M50" s="501">
        <v>0</v>
      </c>
      <c r="N50" s="776">
        <v>0</v>
      </c>
      <c r="O50" s="486">
        <f>IFERROR(SUM(INVENTARIOS!C93:N93)/SUM(INVENTARIOS!C$22:N$22)*1000,"-")</f>
        <v>3.2750052760742197</v>
      </c>
      <c r="P50" s="512">
        <f>IFERROR(SUMIFS(INVENTARIOS!C93:N93,'INDICADORES PRODUCCION'!C$7:N$7,"&gt;="&amp;DATE(YEAR('INDICADORES PRODUCCION'!N$7),1,1),'INDICADORES PRODUCCION'!C$7:N$7,"&lt;="&amp;DATE(YEAR('INDICADORES PRODUCCION'!N$7),12,31))/SUMIFS(INVENTARIOS!C22:N22,'INDICADORES PRODUCCION'!C$7:N$7,"&gt;="&amp;DATE(YEAR('INDICADORES PRODUCCION'!N$7),1,1),'INDICADORES PRODUCCION'!C$7:N$7,"&lt;="&amp;DATE(YEAR('INDICADORES PRODUCCION'!N$7),12,31))*1000,"-")</f>
        <v>0</v>
      </c>
      <c r="Q50" s="486">
        <v>3.488</v>
      </c>
      <c r="R50" s="438"/>
      <c r="S50" s="438"/>
      <c r="T50" s="438"/>
      <c r="U50" s="438"/>
      <c r="V50" s="438"/>
      <c r="W50" s="438"/>
      <c r="X50" s="438"/>
      <c r="Y50" s="438"/>
      <c r="Z50" s="438"/>
      <c r="AA50" s="438"/>
      <c r="AB50" s="438"/>
      <c r="AC50" s="438"/>
      <c r="AE50" s="428">
        <f t="shared" si="45"/>
        <v>0</v>
      </c>
      <c r="AF50" s="428">
        <f t="shared" si="46"/>
        <v>0</v>
      </c>
      <c r="AG50" s="428">
        <f t="shared" si="46"/>
        <v>0</v>
      </c>
      <c r="AH50" s="428">
        <f t="shared" si="46"/>
        <v>0</v>
      </c>
      <c r="AI50" s="428">
        <f t="shared" si="46"/>
        <v>0</v>
      </c>
      <c r="AJ50" s="428">
        <f t="shared" si="46"/>
        <v>0</v>
      </c>
      <c r="AK50" s="428">
        <f t="shared" si="46"/>
        <v>0</v>
      </c>
      <c r="AL50" s="428">
        <f t="shared" si="46"/>
        <v>0</v>
      </c>
      <c r="AM50" s="428">
        <f t="shared" si="46"/>
        <v>0</v>
      </c>
      <c r="AN50" s="428">
        <f t="shared" si="46"/>
        <v>0</v>
      </c>
      <c r="AO50" s="428">
        <f t="shared" si="46"/>
        <v>0</v>
      </c>
      <c r="AP50" s="428"/>
      <c r="AQ50" s="428"/>
      <c r="AR50" s="428"/>
      <c r="AS50" s="428"/>
      <c r="AT50" s="428"/>
      <c r="AU50" s="428"/>
      <c r="AV50" s="428"/>
      <c r="AW50" s="428"/>
      <c r="AX50" s="428"/>
      <c r="AY50" s="428"/>
      <c r="AZ50" s="428"/>
      <c r="BA50" s="428"/>
      <c r="BB50" s="428"/>
      <c r="BC50" s="428"/>
      <c r="BD50" s="428"/>
      <c r="BE50" s="428"/>
      <c r="BF50" s="428"/>
      <c r="BG50" s="428"/>
    </row>
    <row r="51" spans="1:59" x14ac:dyDescent="0.25">
      <c r="A51" s="485" t="s">
        <v>437</v>
      </c>
      <c r="B51" s="486" t="s">
        <v>63</v>
      </c>
      <c r="C51" s="487">
        <f>IFERROR(INVENTARIOS!C86/C16*1000,"-")</f>
        <v>164.95152640264027</v>
      </c>
      <c r="D51" s="487">
        <f>IFERROR(INVENTARIOS!D86/D16*1000,"-")</f>
        <v>158.10402277291081</v>
      </c>
      <c r="E51" s="487">
        <f>IFERROR(INVENTARIOS!E86/E16*1000,"-")</f>
        <v>156.28985640981699</v>
      </c>
      <c r="F51" s="487">
        <f>IFERROR(INVENTARIOS!F86/F16*1000,"-")</f>
        <v>150.04497206187662</v>
      </c>
      <c r="G51" s="487">
        <f>IFERROR(INVENTARIOS!G86/G16*1000,"-")</f>
        <v>153.28007459934167</v>
      </c>
      <c r="H51" s="487">
        <f>IFERROR(INVENTARIOS!H86/H16*1000,"-")</f>
        <v>153.88441000942308</v>
      </c>
      <c r="I51" s="487">
        <f>IFERROR(INVENTARIOS!I86/I16*1000,"-")</f>
        <v>154.68374142821239</v>
      </c>
      <c r="J51" s="487">
        <f>IFERROR(INVENTARIOS!J86/J16*1000,"-")</f>
        <v>154.9888360044815</v>
      </c>
      <c r="K51" s="487">
        <f>IFERROR(INVENTARIOS!K86/K16*1000,"-")</f>
        <v>154.7833699690427</v>
      </c>
      <c r="L51" s="487">
        <f>IFERROR(INVENTARIOS!L86/L16*1000,"-")</f>
        <v>149.1010893339139</v>
      </c>
      <c r="M51" s="487">
        <f>IFERROR(INVENTARIOS!M86/M16*1000,"-")</f>
        <v>152.51636661211131</v>
      </c>
      <c r="N51" s="487">
        <f>IFERROR(INVENTARIOS!N86/N16*1000,"-")</f>
        <v>152.82054745182782</v>
      </c>
      <c r="O51" s="486">
        <f>IFERROR(SUM(INVENTARIOS!C86:N86)/SUM(INVENTARIOS!C$22:N$22)*1000,"-")</f>
        <v>154.98023013688942</v>
      </c>
      <c r="P51" s="486">
        <f>IFERROR(SUMIFS(INVENTARIOS!C86:N86,'INDICADORES PRODUCCION'!C$7:N$7,"&gt;="&amp;DATE(YEAR('INDICADORES PRODUCCION'!N$7),1,1),'INDICADORES PRODUCCION'!C$7:N$7,"&lt;="&amp;DATE(YEAR('INDICADORES PRODUCCION'!N$7),12,31))/SUMIFS(INVENTARIOS!C22:N22,'INDICADORES PRODUCCION'!C$7:N$7,"&gt;="&amp;DATE(YEAR('INDICADORES PRODUCCION'!N$7),1,1),'INDICADORES PRODUCCION'!C$7:N$7,"&lt;="&amp;DATE(YEAR('INDICADORES PRODUCCION'!N$7),12,31))*1000,"-")</f>
        <v>152.05551243789057</v>
      </c>
      <c r="Q51" s="486">
        <v>158.36789999999999</v>
      </c>
      <c r="R51" s="438"/>
      <c r="S51" s="438"/>
      <c r="T51" s="438"/>
      <c r="U51" s="438"/>
      <c r="V51" s="438"/>
      <c r="W51" s="438"/>
      <c r="X51" s="438"/>
      <c r="Y51" s="438"/>
      <c r="Z51" s="438"/>
      <c r="AA51" s="438"/>
      <c r="AB51" s="438"/>
      <c r="AC51" s="438"/>
      <c r="AE51" s="428">
        <f t="shared" si="45"/>
        <v>-164.95152640264027</v>
      </c>
      <c r="AF51" s="428">
        <f t="shared" si="46"/>
        <v>-158.10402277291081</v>
      </c>
      <c r="AG51" s="428">
        <f t="shared" si="46"/>
        <v>-156.28985640981699</v>
      </c>
      <c r="AH51" s="428">
        <f t="shared" si="46"/>
        <v>-150.04497206187662</v>
      </c>
      <c r="AI51" s="428">
        <f t="shared" si="46"/>
        <v>-153.28007459934167</v>
      </c>
      <c r="AJ51" s="428">
        <f t="shared" si="46"/>
        <v>-153.88441000942308</v>
      </c>
      <c r="AK51" s="428">
        <f t="shared" si="46"/>
        <v>-154.68374142821239</v>
      </c>
      <c r="AL51" s="428">
        <f t="shared" si="46"/>
        <v>-154.9888360044815</v>
      </c>
      <c r="AM51" s="428">
        <f t="shared" si="46"/>
        <v>-154.7833699690427</v>
      </c>
      <c r="AN51" s="428">
        <f t="shared" si="46"/>
        <v>-149.1010893339139</v>
      </c>
      <c r="AO51" s="428">
        <f t="shared" si="46"/>
        <v>-152.51636661211131</v>
      </c>
      <c r="AP51" s="428"/>
      <c r="AQ51" s="428"/>
      <c r="AR51" s="428"/>
      <c r="AS51" s="428"/>
      <c r="AT51" s="428"/>
      <c r="AU51" s="428"/>
      <c r="AV51" s="428"/>
      <c r="AW51" s="428"/>
      <c r="AX51" s="428"/>
      <c r="AY51" s="428"/>
      <c r="AZ51" s="428"/>
      <c r="BA51" s="428"/>
      <c r="BB51" s="428"/>
      <c r="BC51" s="428"/>
      <c r="BD51" s="428"/>
      <c r="BE51" s="428"/>
      <c r="BF51" s="428"/>
      <c r="BG51" s="428"/>
    </row>
    <row r="52" spans="1:59" x14ac:dyDescent="0.25">
      <c r="A52" s="485" t="s">
        <v>436</v>
      </c>
      <c r="B52" s="486" t="s">
        <v>63</v>
      </c>
      <c r="C52" s="487">
        <f t="shared" ref="C52:M52" si="47">IFERROR(C49+C50+C51,"-")</f>
        <v>1061.6346947194718</v>
      </c>
      <c r="D52" s="487">
        <f t="shared" si="47"/>
        <v>1062.7137718736897</v>
      </c>
      <c r="E52" s="487">
        <f t="shared" si="47"/>
        <v>1068.6082265277673</v>
      </c>
      <c r="F52" s="487">
        <f t="shared" si="47"/>
        <v>1066.9637081621211</v>
      </c>
      <c r="G52" s="487">
        <f t="shared" si="47"/>
        <v>1062.9257973152589</v>
      </c>
      <c r="H52" s="487">
        <f t="shared" si="47"/>
        <v>1067.6940063391744</v>
      </c>
      <c r="I52" s="487">
        <f t="shared" si="47"/>
        <v>1063.1024934477434</v>
      </c>
      <c r="J52" s="487">
        <f t="shared" si="47"/>
        <v>1073.5393441450603</v>
      </c>
      <c r="K52" s="487">
        <f t="shared" si="47"/>
        <v>1076.0532042155032</v>
      </c>
      <c r="L52" s="487">
        <f t="shared" si="47"/>
        <v>1060.9668105141238</v>
      </c>
      <c r="M52" s="487">
        <f t="shared" si="47"/>
        <v>1063.1521072013093</v>
      </c>
      <c r="N52" s="487">
        <f>IFERROR(N49+N50+N51,"-")</f>
        <v>1063.3373851971908</v>
      </c>
      <c r="O52" s="486">
        <f>IFERROR(O49+O50+O51,"-")</f>
        <v>1069.080157470165</v>
      </c>
      <c r="P52" s="486">
        <f>IFERROR(P49+P50+P51,"-")</f>
        <v>1065.7543946679893</v>
      </c>
      <c r="Q52" s="486">
        <v>1069.0229999999999</v>
      </c>
      <c r="R52" s="438"/>
      <c r="S52" s="726"/>
      <c r="T52" s="726"/>
      <c r="U52" s="726"/>
      <c r="V52" s="726"/>
      <c r="W52" s="726"/>
      <c r="X52" s="726"/>
      <c r="Y52" s="726"/>
      <c r="Z52" s="726"/>
      <c r="AA52" s="726"/>
      <c r="AB52" s="726"/>
      <c r="AC52" s="726"/>
      <c r="AE52" s="428">
        <f t="shared" si="45"/>
        <v>-1061.6346947194718</v>
      </c>
      <c r="AF52" s="428">
        <f t="shared" si="46"/>
        <v>-1062.7137718736897</v>
      </c>
      <c r="AG52" s="428">
        <f t="shared" si="46"/>
        <v>-1068.6082265277673</v>
      </c>
      <c r="AH52" s="428">
        <f t="shared" si="46"/>
        <v>-1066.9637081621211</v>
      </c>
      <c r="AI52" s="428">
        <f t="shared" si="46"/>
        <v>-1062.9257973152589</v>
      </c>
      <c r="AJ52" s="428">
        <f t="shared" si="46"/>
        <v>-1067.6940063391744</v>
      </c>
      <c r="AK52" s="428">
        <f t="shared" si="46"/>
        <v>-1063.1024934477434</v>
      </c>
      <c r="AL52" s="428">
        <f t="shared" si="46"/>
        <v>-1073.5393441450603</v>
      </c>
      <c r="AM52" s="428">
        <f t="shared" si="46"/>
        <v>-1076.0532042155032</v>
      </c>
      <c r="AN52" s="428">
        <f t="shared" si="46"/>
        <v>-1060.9668105141238</v>
      </c>
      <c r="AO52" s="428">
        <f t="shared" si="46"/>
        <v>-1063.1521072013093</v>
      </c>
      <c r="AP52" s="428"/>
      <c r="AQ52" s="428"/>
      <c r="AR52" s="428"/>
      <c r="AS52" s="428"/>
      <c r="AT52" s="428"/>
      <c r="AU52" s="428"/>
      <c r="AV52" s="428"/>
      <c r="AW52" s="428"/>
      <c r="AX52" s="428"/>
      <c r="AY52" s="428"/>
      <c r="AZ52" s="428"/>
      <c r="BA52" s="428"/>
      <c r="BB52" s="428"/>
      <c r="BC52" s="428"/>
      <c r="BD52" s="428"/>
      <c r="BE52" s="428"/>
      <c r="BF52" s="428"/>
      <c r="BG52" s="428"/>
    </row>
    <row r="53" spans="1:59" x14ac:dyDescent="0.25">
      <c r="A53" s="485" t="s">
        <v>377</v>
      </c>
      <c r="B53" s="486" t="s">
        <v>63</v>
      </c>
      <c r="C53" s="697">
        <f>IFERROR(INVENTARIOS!C108/C16*1000,"-")</f>
        <v>38.869636963696372</v>
      </c>
      <c r="D53" s="697">
        <f>IFERROR(INVENTARIOS!D108/D16*1000,"-")</f>
        <v>40.627137718736897</v>
      </c>
      <c r="E53" s="697">
        <f>IFERROR(INVENTARIOS!E108/E16*1000,"-")</f>
        <v>38.507677147838237</v>
      </c>
      <c r="F53" s="697">
        <f>IFERROR(INVENTARIOS!F108/F16*1000,"-")</f>
        <v>42.326102893613346</v>
      </c>
      <c r="G53" s="697">
        <f>IFERROR(INVENTARIOS!G108/G16*1000,"-")</f>
        <v>38.099943632960105</v>
      </c>
      <c r="H53" s="697">
        <f>IFERROR(INVENTARIOS!H108/H16*1000,"-")</f>
        <v>37.666212961993509</v>
      </c>
      <c r="I53" s="697">
        <f>IFERROR(INVENTARIOS!I108/I16*1000,"-")</f>
        <v>39.066707356478652</v>
      </c>
      <c r="J53" s="697">
        <f>IFERROR(INVENTARIOS!J108/J16*1000,"-")</f>
        <v>39.82685874565955</v>
      </c>
      <c r="K53" s="697">
        <f>IFERROR(INVENTARIOS!K108/K16*1000,"-")</f>
        <v>39.56972663071047</v>
      </c>
      <c r="L53" s="697">
        <f>IFERROR(INVENTARIOS!L108/L16*1000,"-")</f>
        <v>41.773903921275824</v>
      </c>
      <c r="M53" s="697">
        <f>IFERROR(INVENTARIOS!M108/M16*1000,"-")</f>
        <v>42.828099427168574</v>
      </c>
      <c r="N53" s="697">
        <f>IFERROR(INVENTARIOS!N108/N16*1000,"-")</f>
        <v>38.699801908878079</v>
      </c>
      <c r="O53" s="486">
        <f>IFERROR(SUM(INVENTARIOS!C108:N108)/SUM(INVENTARIOS!C$22:N$22)*1000,"-")</f>
        <v>39.679801047210574</v>
      </c>
      <c r="P53" s="486">
        <f>IFERROR(SUMIFS(INVENTARIOS!C108:N108,'INDICADORES PRODUCCION'!C$7:N$7,"&gt;="&amp;DATE(YEAR('INDICADORES PRODUCCION'!N$7),1,1),'INDICADORES PRODUCCION'!C$7:N$7,"&lt;="&amp;DATE(YEAR('INDICADORES PRODUCCION'!N$7),12,31))/SUMIFS(INVENTARIOS!C22:N22,'INDICADORES PRODUCCION'!C$7:N$7,"&gt;="&amp;DATE(YEAR('INDICADORES PRODUCCION'!N$7),1,1),'INDICADORES PRODUCCION'!C$7:N$7,"&lt;="&amp;DATE(YEAR('INDICADORES PRODUCCION'!N$7),12,31))*1000,"-")</f>
        <v>40.933421880125785</v>
      </c>
      <c r="Q53" s="486">
        <v>40.744999999999997</v>
      </c>
      <c r="R53" s="438"/>
      <c r="S53" s="726"/>
      <c r="T53" s="726"/>
      <c r="U53" s="726"/>
      <c r="V53" s="726"/>
      <c r="W53" s="726"/>
      <c r="X53" s="726"/>
      <c r="Y53" s="726"/>
      <c r="Z53" s="726"/>
      <c r="AA53" s="726"/>
      <c r="AB53" s="726"/>
      <c r="AC53" s="726"/>
      <c r="AE53" s="428">
        <f t="shared" si="45"/>
        <v>-38.869636963696372</v>
      </c>
      <c r="AF53" s="428">
        <f t="shared" si="46"/>
        <v>-40.627137718736897</v>
      </c>
      <c r="AG53" s="428">
        <f t="shared" si="46"/>
        <v>-38.507677147838237</v>
      </c>
      <c r="AH53" s="428">
        <f t="shared" si="46"/>
        <v>-42.326102893613346</v>
      </c>
      <c r="AI53" s="428">
        <f t="shared" si="46"/>
        <v>-38.099943632960105</v>
      </c>
      <c r="AJ53" s="428">
        <f t="shared" si="46"/>
        <v>-37.666212961993509</v>
      </c>
      <c r="AK53" s="428">
        <f t="shared" si="46"/>
        <v>-39.066707356478652</v>
      </c>
      <c r="AL53" s="428">
        <f t="shared" si="46"/>
        <v>-39.82685874565955</v>
      </c>
      <c r="AM53" s="428">
        <f t="shared" si="46"/>
        <v>-39.56972663071047</v>
      </c>
      <c r="AN53" s="428">
        <f t="shared" si="46"/>
        <v>-41.773903921275824</v>
      </c>
      <c r="AO53" s="428">
        <f t="shared" si="46"/>
        <v>-42.828099427168574</v>
      </c>
      <c r="AP53" s="428"/>
      <c r="AQ53" s="428"/>
      <c r="AR53" s="428"/>
      <c r="AS53" s="428"/>
      <c r="AT53" s="428"/>
      <c r="AU53" s="428"/>
      <c r="AV53" s="428"/>
      <c r="AW53" s="428"/>
      <c r="AX53" s="428"/>
      <c r="AY53" s="428"/>
      <c r="AZ53" s="428"/>
      <c r="BA53" s="428"/>
      <c r="BB53" s="428"/>
      <c r="BC53" s="428"/>
      <c r="BD53" s="428"/>
      <c r="BE53" s="428"/>
      <c r="BF53" s="428"/>
      <c r="BG53" s="428"/>
    </row>
    <row r="54" spans="1:59" ht="17.25" thickBot="1" x14ac:dyDescent="0.3">
      <c r="A54" s="502" t="s">
        <v>373</v>
      </c>
      <c r="B54" s="481" t="s">
        <v>63</v>
      </c>
      <c r="C54" s="696">
        <f>IFERROR(INVENTARIOS!C111/C16,"-")</f>
        <v>45.677599009900987</v>
      </c>
      <c r="D54" s="696">
        <f>IFERROR(INVENTARIOS!D111/D16,"-")</f>
        <v>48.359335348765363</v>
      </c>
      <c r="E54" s="696">
        <f>IFERROR(INVENTARIOS!E111/E16,"-")</f>
        <v>33.459610523575222</v>
      </c>
      <c r="F54" s="696">
        <f>IFERROR(INVENTARIOS!F111/F16,"-")</f>
        <v>36.886331573467714</v>
      </c>
      <c r="G54" s="696">
        <f>IFERROR(INVENTARIOS!G111/G16,"-")</f>
        <v>34.780551283567966</v>
      </c>
      <c r="H54" s="696">
        <f>IFERROR(INVENTARIOS!H111/H16,"-")</f>
        <v>44.800163714413529</v>
      </c>
      <c r="I54" s="696">
        <f>IFERROR(INVENTARIOS!I111/I16,"-")</f>
        <v>43.74977560765447</v>
      </c>
      <c r="J54" s="696">
        <f>IFERROR(INVENTARIOS!J111/J16,"-")</f>
        <v>46.670268809941916</v>
      </c>
      <c r="K54" s="696">
        <f>IFERROR(INVENTARIOS!K111/K16,"-")</f>
        <v>41.070974246492213</v>
      </c>
      <c r="L54" s="696">
        <f>IFERROR(INVENTARIOS!L111/L16,"-")</f>
        <v>42.500461156794564</v>
      </c>
      <c r="M54" s="696">
        <f>IFERROR(INVENTARIOS!M111/M16,"-")</f>
        <v>41.399217471358426</v>
      </c>
      <c r="N54" s="696">
        <f>IFERROR(INVENTARIOS!N111/N16,"-")</f>
        <v>42.600846389339097</v>
      </c>
      <c r="O54" s="481">
        <f>IFERROR(SUM(INVENTARIOS!C111:N111)/SUM(INVENTARIOS!C$22:N$22),"-")</f>
        <v>41.369191868307333</v>
      </c>
      <c r="P54" s="481">
        <f>IFERROR(SUMIFS(INVENTARIOS!C111:N111,'INDICADORES PRODUCCION'!C$7:N$7,"&gt;="&amp;DATE(YEAR('INDICADORES PRODUCCION'!N$7),1,1),'INDICADORES PRODUCCION'!C$7:N$7,"&lt;="&amp;DATE(YEAR('INDICADORES PRODUCCION'!N$7),12,31))/SUMIFS(INVENTARIOS!C22:N22,'INDICADORES PRODUCCION'!C$7:N$7,"&gt;="&amp;DATE(YEAR('INDICADORES PRODUCCION'!N$7),1,1),'INDICADORES PRODUCCION'!C$7:N$7,"&lt;="&amp;DATE(YEAR('INDICADORES PRODUCCION'!N$7),12,31)),"-")</f>
        <v>41.880765876413214</v>
      </c>
      <c r="Q54" s="481">
        <v>45.031999999999996</v>
      </c>
      <c r="R54" s="295"/>
      <c r="S54" s="726"/>
      <c r="T54" s="726"/>
      <c r="U54" s="726"/>
      <c r="V54" s="726"/>
      <c r="W54" s="726"/>
      <c r="X54" s="726"/>
      <c r="Y54" s="726"/>
      <c r="Z54" s="726"/>
      <c r="AA54" s="726"/>
      <c r="AB54" s="726"/>
      <c r="AC54" s="726"/>
      <c r="AE54" s="428">
        <f t="shared" si="45"/>
        <v>-45.677599009900987</v>
      </c>
      <c r="AF54" s="428">
        <f t="shared" si="46"/>
        <v>-48.359335348765363</v>
      </c>
      <c r="AG54" s="428">
        <f t="shared" si="46"/>
        <v>-33.459610523575222</v>
      </c>
      <c r="AH54" s="428">
        <f t="shared" si="46"/>
        <v>-36.886331573467714</v>
      </c>
      <c r="AI54" s="428">
        <f t="shared" si="46"/>
        <v>-34.780551283567966</v>
      </c>
      <c r="AJ54" s="428">
        <f t="shared" si="46"/>
        <v>-44.800163714413529</v>
      </c>
      <c r="AK54" s="428">
        <f t="shared" si="46"/>
        <v>-43.74977560765447</v>
      </c>
      <c r="AL54" s="428">
        <f t="shared" si="46"/>
        <v>-46.670268809941916</v>
      </c>
      <c r="AM54" s="428">
        <f t="shared" si="46"/>
        <v>-41.070974246492213</v>
      </c>
      <c r="AN54" s="428">
        <f t="shared" si="46"/>
        <v>-42.500461156794564</v>
      </c>
      <c r="AO54" s="428">
        <f t="shared" si="46"/>
        <v>-41.399217471358426</v>
      </c>
      <c r="AP54" s="428"/>
      <c r="AQ54" s="428"/>
      <c r="AR54" s="428"/>
      <c r="AS54" s="428"/>
      <c r="AT54" s="428"/>
      <c r="AU54" s="428"/>
      <c r="AV54" s="428"/>
      <c r="AW54" s="428"/>
      <c r="AX54" s="428"/>
      <c r="AY54" s="428"/>
      <c r="AZ54" s="428"/>
      <c r="BA54" s="428"/>
      <c r="BB54" s="428"/>
      <c r="BC54" s="428"/>
      <c r="BD54" s="428"/>
      <c r="BE54" s="428"/>
      <c r="BF54" s="428"/>
      <c r="BG54" s="428"/>
    </row>
    <row r="55" spans="1:59" ht="17.25" thickBot="1" x14ac:dyDescent="0.3">
      <c r="A55" s="463"/>
      <c r="B55" s="495"/>
      <c r="C55" s="726"/>
      <c r="D55" s="726"/>
      <c r="E55" s="726"/>
      <c r="F55" s="726"/>
      <c r="G55" s="726"/>
      <c r="H55" s="726"/>
      <c r="I55" s="726"/>
      <c r="J55" s="726"/>
      <c r="K55" s="726"/>
      <c r="L55" s="726"/>
      <c r="M55" s="726"/>
      <c r="N55" s="438"/>
      <c r="O55" s="495"/>
      <c r="P55" s="495"/>
      <c r="Q55" s="470"/>
      <c r="R55" s="295"/>
      <c r="S55" s="794"/>
      <c r="T55" s="794"/>
      <c r="U55" s="794"/>
      <c r="V55" s="794"/>
      <c r="W55" s="794"/>
      <c r="X55" s="794"/>
      <c r="Y55" s="794"/>
      <c r="Z55" s="794"/>
      <c r="AA55" s="794"/>
      <c r="AB55" s="794"/>
      <c r="AC55" s="794"/>
      <c r="AP55" s="428"/>
      <c r="AQ55" s="428"/>
      <c r="AR55" s="428"/>
      <c r="AS55" s="428"/>
      <c r="AT55" s="428"/>
      <c r="AU55" s="428"/>
      <c r="AV55" s="428"/>
      <c r="AW55" s="428"/>
      <c r="AX55" s="428"/>
      <c r="AY55" s="428"/>
      <c r="AZ55" s="428"/>
      <c r="BA55" s="428"/>
      <c r="BB55" s="428"/>
      <c r="BC55" s="428"/>
      <c r="BD55" s="428"/>
      <c r="BE55" s="428"/>
      <c r="BF55" s="428"/>
      <c r="BG55" s="428"/>
    </row>
    <row r="56" spans="1:59" ht="17.25" thickBot="1" x14ac:dyDescent="0.3">
      <c r="A56" s="463"/>
      <c r="B56" s="870" t="s">
        <v>353</v>
      </c>
      <c r="C56" s="871"/>
      <c r="D56" s="871"/>
      <c r="E56" s="871"/>
      <c r="F56" s="871"/>
      <c r="G56" s="871"/>
      <c r="H56" s="871"/>
      <c r="I56" s="871"/>
      <c r="J56" s="871"/>
      <c r="K56" s="871"/>
      <c r="L56" s="871"/>
      <c r="M56" s="871"/>
      <c r="N56" s="872"/>
      <c r="O56" s="495"/>
      <c r="P56" s="495"/>
      <c r="Q56" s="470"/>
      <c r="R56" s="438"/>
      <c r="S56" s="794"/>
      <c r="T56" s="794"/>
      <c r="U56" s="794"/>
      <c r="V56" s="794"/>
      <c r="W56" s="794"/>
      <c r="X56" s="794"/>
      <c r="Y56" s="794"/>
      <c r="Z56" s="794"/>
      <c r="AA56" s="794"/>
      <c r="AB56" s="794"/>
      <c r="AC56" s="794"/>
      <c r="AP56" s="428"/>
      <c r="AQ56" s="428"/>
      <c r="AR56" s="428"/>
      <c r="AS56" s="428"/>
      <c r="AT56" s="428"/>
      <c r="AU56" s="428"/>
      <c r="AV56" s="428"/>
      <c r="AW56" s="428"/>
      <c r="AX56" s="428"/>
      <c r="AY56" s="428"/>
      <c r="AZ56" s="428"/>
      <c r="BA56" s="428"/>
      <c r="BB56" s="428"/>
      <c r="BC56" s="428"/>
      <c r="BD56" s="428"/>
      <c r="BE56" s="428"/>
      <c r="BF56" s="428"/>
      <c r="BG56" s="428"/>
    </row>
    <row r="57" spans="1:59" ht="33.75" thickBot="1" x14ac:dyDescent="0.3">
      <c r="A57" s="464" t="s">
        <v>382</v>
      </c>
      <c r="B57" s="464" t="s">
        <v>354</v>
      </c>
      <c r="C57" s="465">
        <f t="shared" ref="C57:N57" si="48">C$7</f>
        <v>43952</v>
      </c>
      <c r="D57" s="465">
        <f t="shared" si="48"/>
        <v>43983</v>
      </c>
      <c r="E57" s="465">
        <f t="shared" si="48"/>
        <v>44013</v>
      </c>
      <c r="F57" s="465">
        <f t="shared" si="48"/>
        <v>44044</v>
      </c>
      <c r="G57" s="465">
        <f t="shared" si="48"/>
        <v>44075</v>
      </c>
      <c r="H57" s="465">
        <f t="shared" si="48"/>
        <v>44105</v>
      </c>
      <c r="I57" s="465">
        <f t="shared" si="48"/>
        <v>44136</v>
      </c>
      <c r="J57" s="465">
        <f t="shared" si="48"/>
        <v>44166</v>
      </c>
      <c r="K57" s="465">
        <f t="shared" si="48"/>
        <v>44197</v>
      </c>
      <c r="L57" s="465">
        <f t="shared" si="48"/>
        <v>44228</v>
      </c>
      <c r="M57" s="465">
        <f t="shared" si="48"/>
        <v>44256</v>
      </c>
      <c r="N57" s="465">
        <f t="shared" si="48"/>
        <v>44287</v>
      </c>
      <c r="O57" s="716" t="s">
        <v>525</v>
      </c>
      <c r="P57" s="715" t="str">
        <f>"Año " &amp; YEAR(N57)</f>
        <v>Año 2021</v>
      </c>
      <c r="Q57" s="465" t="str">
        <f>"Año " &amp; YEAR(N57)-1</f>
        <v>Año 2020</v>
      </c>
      <c r="R57" s="438"/>
      <c r="S57" s="794"/>
      <c r="T57" s="794"/>
      <c r="U57" s="794"/>
      <c r="V57" s="794"/>
      <c r="W57" s="794"/>
      <c r="X57" s="794"/>
      <c r="Y57" s="794"/>
      <c r="Z57" s="794"/>
      <c r="AA57" s="794"/>
      <c r="AB57" s="794"/>
      <c r="AC57" s="794"/>
      <c r="AP57" s="428"/>
      <c r="AQ57" s="428"/>
      <c r="AR57" s="428"/>
      <c r="AS57" s="428"/>
      <c r="AT57" s="428"/>
      <c r="AU57" s="428"/>
      <c r="AV57" s="428"/>
      <c r="AW57" s="428"/>
      <c r="AX57" s="428"/>
      <c r="AY57" s="428"/>
      <c r="AZ57" s="428"/>
      <c r="BA57" s="428"/>
      <c r="BB57" s="428"/>
      <c r="BC57" s="428"/>
      <c r="BD57" s="428"/>
      <c r="BE57" s="428"/>
      <c r="BF57" s="428"/>
      <c r="BG57" s="428"/>
    </row>
    <row r="58" spans="1:59" x14ac:dyDescent="0.25">
      <c r="A58" s="482" t="s">
        <v>359</v>
      </c>
      <c r="B58" s="503">
        <v>3.5</v>
      </c>
      <c r="C58" s="484">
        <f>INVENTARIOS!C59/(C8+C9)*1000</f>
        <v>1.9145346373180689</v>
      </c>
      <c r="D58" s="484">
        <f>INVENTARIOS!D59/(D8+D9)*1000</f>
        <v>1.871087312739546</v>
      </c>
      <c r="E58" s="484">
        <f>INVENTARIOS!E59/(E8+E9)*1000</f>
        <v>1.7865316281393826</v>
      </c>
      <c r="F58" s="484">
        <f>INVENTARIOS!F59/(F8+F9)*1000</f>
        <v>2.0713159608841645</v>
      </c>
      <c r="G58" s="484">
        <f>INVENTARIOS!G59/(G8+G9)*1000</f>
        <v>2.585029112989897</v>
      </c>
      <c r="H58" s="484">
        <f>INVENTARIOS!H59/(H8+H9)*1000</f>
        <v>2.4311186726268854</v>
      </c>
      <c r="I58" s="484">
        <f>INVENTARIOS!I59/(I8+I9)*1000</f>
        <v>2.4032892704706281</v>
      </c>
      <c r="J58" s="484">
        <f>INVENTARIOS!J59/(J8+J9)*1000</f>
        <v>2.897009055116321</v>
      </c>
      <c r="K58" s="484">
        <f>INVENTARIOS!K59/(K8+K9)*1000</f>
        <v>2.7299148109299951</v>
      </c>
      <c r="L58" s="484">
        <f>INVENTARIOS!L59/(L8+L9)*1000</f>
        <v>2.5653884785552994</v>
      </c>
      <c r="M58" s="484">
        <f>INVENTARIOS!M59/(M8+M9)*1000</f>
        <v>2.4173064446565404</v>
      </c>
      <c r="N58" s="484">
        <f>INVENTARIOS!N59/(N8+N9)*1000</f>
        <v>2.3061424619782929</v>
      </c>
      <c r="O58" s="483">
        <f>IFERROR(SUM(INVENTARIOS!C59:N59)/(SUM(INVENTARIOS!C69:N69)+SUM(INVENTARIOS!C70:N70))*1000,"-")</f>
        <v>2.3376962395540959</v>
      </c>
      <c r="P58" s="483">
        <f>IFERROR(SUMIFS(INVENTARIOS!C59:N59,'INDICADORES PRODUCCION'!C$7:N$7,"&gt;="&amp;DATE(YEAR('INDICADORES PRODUCCION'!N$7),1,1),'INDICADORES PRODUCCION'!C$7:N$7,"&lt;="&amp;DATE(YEAR('INDICADORES PRODUCCION'!N$7),12,31))/(SUMIFS(INVENTARIOS!C69:N69,'INDICADORES PRODUCCION'!C$7:N$7,"&gt;="&amp;DATE(YEAR('INDICADORES PRODUCCION'!N$7),1,1),'INDICADORES PRODUCCION'!C$7:N$7,"&lt;="&amp;DATE(YEAR('INDICADORES PRODUCCION'!N$7),12,31))+SUMIFS(INVENTARIOS!C70:N70,'INDICADORES PRODUCCION'!C$7:N$7,"&gt;="&amp;DATE(YEAR('INDICADORES PRODUCCION'!N$7),1,1),'INDICADORES PRODUCCION'!C$7:N$7,"&lt;="&amp;DATE(YEAR('INDICADORES PRODUCCION'!N$7),12,31)))*1000,"-")</f>
        <v>2.4963046329122092</v>
      </c>
      <c r="Q58" s="483">
        <v>2.4350000000000001</v>
      </c>
      <c r="R58" s="438"/>
      <c r="S58" s="726"/>
      <c r="T58" s="726"/>
      <c r="U58" s="726"/>
      <c r="V58" s="726"/>
      <c r="W58" s="726"/>
      <c r="X58" s="726"/>
      <c r="Y58" s="726"/>
      <c r="Z58" s="726"/>
      <c r="AA58" s="726"/>
      <c r="AB58" s="726"/>
      <c r="AC58" s="726"/>
      <c r="AE58" s="428">
        <f t="shared" ref="AE58:AO61" si="49">S58-C58</f>
        <v>-1.9145346373180689</v>
      </c>
      <c r="AF58" s="428">
        <f t="shared" si="49"/>
        <v>-1.871087312739546</v>
      </c>
      <c r="AG58" s="428">
        <f t="shared" si="49"/>
        <v>-1.7865316281393826</v>
      </c>
      <c r="AH58" s="428">
        <f t="shared" si="49"/>
        <v>-2.0713159608841645</v>
      </c>
      <c r="AI58" s="428">
        <f t="shared" si="49"/>
        <v>-2.585029112989897</v>
      </c>
      <c r="AJ58" s="428">
        <f t="shared" si="49"/>
        <v>-2.4311186726268854</v>
      </c>
      <c r="AK58" s="428">
        <f t="shared" si="49"/>
        <v>-2.4032892704706281</v>
      </c>
      <c r="AL58" s="428">
        <f t="shared" si="49"/>
        <v>-2.897009055116321</v>
      </c>
      <c r="AM58" s="428">
        <f t="shared" si="49"/>
        <v>-2.7299148109299951</v>
      </c>
      <c r="AN58" s="428">
        <f t="shared" si="49"/>
        <v>-2.5653884785552994</v>
      </c>
      <c r="AO58" s="428">
        <f t="shared" si="49"/>
        <v>-2.4173064446565404</v>
      </c>
      <c r="AP58" s="428"/>
      <c r="AQ58" s="428"/>
      <c r="AR58" s="428"/>
      <c r="AS58" s="428"/>
      <c r="AT58" s="428"/>
      <c r="AU58" s="428"/>
      <c r="AV58" s="428"/>
      <c r="AW58" s="428"/>
      <c r="AX58" s="428"/>
      <c r="AY58" s="428"/>
      <c r="AZ58" s="428"/>
      <c r="BA58" s="428"/>
      <c r="BB58" s="428"/>
      <c r="BC58" s="428"/>
      <c r="BD58" s="428"/>
      <c r="BE58" s="428"/>
      <c r="BF58" s="428"/>
      <c r="BG58" s="428"/>
    </row>
    <row r="59" spans="1:59" x14ac:dyDescent="0.25">
      <c r="A59" s="485" t="s">
        <v>78</v>
      </c>
      <c r="B59" s="486">
        <v>385</v>
      </c>
      <c r="C59" s="697">
        <f>(INVENTARIOS!C105)/(C8+C9+(0.5*INVENTARIOS!C73))*1000</f>
        <v>368.00006228111545</v>
      </c>
      <c r="D59" s="697">
        <f>(INVENTARIOS!D105)/(D8+D9+(0.5*INVENTARIOS!D73))*1000</f>
        <v>366.38000080603064</v>
      </c>
      <c r="E59" s="697">
        <f>(INVENTARIOS!E105)/(E8+E9+(0.5*INVENTARIOS!E73))*1000</f>
        <v>369.19996839029494</v>
      </c>
      <c r="F59" s="697">
        <f>(INVENTARIOS!F105)/(F8+F9+(0.5*INVENTARIOS!F73))*1000</f>
        <v>365.09994688103473</v>
      </c>
      <c r="G59" s="697">
        <f>(INVENTARIOS!G105)/(G8+G9+(0.5*INVENTARIOS!G73))*1000</f>
        <v>362.9999863109789</v>
      </c>
      <c r="H59" s="697">
        <f>(INVENTARIOS!H105)/(H8+H9+(0.5*INVENTARIOS!H73))*1000</f>
        <v>348.38002200173855</v>
      </c>
      <c r="I59" s="697">
        <f>(INVENTARIOS!I105*1000)/(I8+I9+(0*INVENTARIOS!I73))</f>
        <v>350.53997774626527</v>
      </c>
      <c r="J59" s="697">
        <f>(INVENTARIOS!J105*1000)/(J8+J9+(0*INVENTARIOS!J73))</f>
        <v>349.37612365861804</v>
      </c>
      <c r="K59" s="697">
        <f>((INVENTARIOS!K105*1000)/(K8+K9+(0*INVENTARIOS!K73)))</f>
        <v>345.03239761040709</v>
      </c>
      <c r="L59" s="697">
        <f>((INVENTARIOS!L105*1000)/(L8+L9+(0*INVENTARIOS!L73)))</f>
        <v>356.75194680247893</v>
      </c>
      <c r="M59" s="697">
        <f>((INVENTARIOS!M105*1000)/(M8+M9+(0*INVENTARIOS!M73)))</f>
        <v>347.10193857200625</v>
      </c>
      <c r="N59" s="697">
        <f>((INVENTARIOS!N105*1000)/(N8+N9+(0*INVENTARIOS!N73)))</f>
        <v>396.40272805238891</v>
      </c>
      <c r="O59" s="486">
        <f>IFERROR((SUM(INVENTARIOS!C105:N105)-0.2*SUM(INVENTARIOS!C73:N73))/(SUM(INVENTARIOS!C69:N69)+SUM(INVENTARIOS!C70:N70))*1000,"-")</f>
        <v>358.49889456557577</v>
      </c>
      <c r="P59" s="486">
        <f>IFERROR((SUMIFS(INVENTARIOS!C105:N105,'INDICADORES PRODUCCION'!C$7:N$7,"&gt;="&amp;DATE(YEAR('INDICADORES PRODUCCION'!N$7),1,1),'INDICADORES PRODUCCION'!C$7:N$7,"&lt;="&amp;DATE(YEAR('INDICADORES PRODUCCION'!N$7),12,31))-0.2*SUMIFS(INVENTARIOS!C73:N73,'INDICADORES PRODUCCION'!C$7:N$7,"&gt;="&amp;DATE(YEAR('INDICADORES PRODUCCION'!N$7),1,1),'INDICADORES PRODUCCION'!C$7:N$7,"&lt;="&amp;DATE(YEAR('INDICADORES PRODUCCION'!N$7),12,31)))/(SUMIFS(INVENTARIOS!C69:N69,'INDICADORES PRODUCCION'!C$7:N$7,"&gt;="&amp;DATE(YEAR('INDICADORES PRODUCCION'!N$7),1,1),'INDICADORES PRODUCCION'!C$7:N$7,"&lt;="&amp;DATE(YEAR('INDICADORES PRODUCCION'!N$7),12,31))+SUMIFS(INVENTARIOS!C70:N70,'INDICADORES PRODUCCION'!C$7:N$7,"&gt;="&amp;DATE(YEAR('INDICADORES PRODUCCION'!N$7),1,1),'INDICADORES PRODUCCION'!C$7:N$7,"&lt;="&amp;DATE(YEAR('INDICADORES PRODUCCION'!N$7),12,31)))*1000,"-")</f>
        <v>358.85184223875041</v>
      </c>
      <c r="Q59" s="486">
        <v>359.40600000000001</v>
      </c>
      <c r="R59" s="438"/>
      <c r="S59" s="726"/>
      <c r="T59" s="726"/>
      <c r="U59" s="726"/>
      <c r="V59" s="726"/>
      <c r="W59" s="726"/>
      <c r="X59" s="726"/>
      <c r="Y59" s="726"/>
      <c r="Z59" s="726"/>
      <c r="AA59" s="726"/>
      <c r="AB59" s="726"/>
      <c r="AC59" s="726"/>
      <c r="AE59" s="794">
        <f t="shared" si="49"/>
        <v>-368.00006228111545</v>
      </c>
      <c r="AF59" s="794">
        <f t="shared" si="49"/>
        <v>-366.38000080603064</v>
      </c>
      <c r="AG59" s="428">
        <f t="shared" si="49"/>
        <v>-369.19996839029494</v>
      </c>
      <c r="AH59" s="428">
        <f t="shared" si="49"/>
        <v>-365.09994688103473</v>
      </c>
      <c r="AI59" s="428">
        <f t="shared" si="49"/>
        <v>-362.9999863109789</v>
      </c>
      <c r="AJ59" s="428">
        <f t="shared" si="49"/>
        <v>-348.38002200173855</v>
      </c>
      <c r="AK59" s="428">
        <f>Y59-I59</f>
        <v>-350.53997774626527</v>
      </c>
      <c r="AL59" s="794">
        <f t="shared" si="49"/>
        <v>-349.37612365861804</v>
      </c>
      <c r="AM59" s="428">
        <f t="shared" si="49"/>
        <v>-345.03239761040709</v>
      </c>
      <c r="AN59" s="428">
        <f t="shared" si="49"/>
        <v>-356.75194680247893</v>
      </c>
      <c r="AO59" s="794">
        <f t="shared" si="49"/>
        <v>-347.10193857200625</v>
      </c>
      <c r="AP59" s="428"/>
      <c r="AQ59" s="428"/>
      <c r="AR59" s="428"/>
      <c r="AS59" s="428"/>
      <c r="AT59" s="428"/>
      <c r="AU59" s="428"/>
      <c r="AV59" s="428"/>
      <c r="AW59" s="428"/>
      <c r="AX59" s="428"/>
      <c r="AY59" s="428"/>
      <c r="AZ59" s="428"/>
      <c r="BA59" s="428"/>
      <c r="BB59" s="428"/>
      <c r="BC59" s="428"/>
      <c r="BD59" s="428"/>
      <c r="BE59" s="428"/>
      <c r="BF59" s="428"/>
      <c r="BG59" s="428"/>
    </row>
    <row r="60" spans="1:59" x14ac:dyDescent="0.25">
      <c r="A60" s="485" t="s">
        <v>523</v>
      </c>
      <c r="B60" s="486">
        <v>47</v>
      </c>
      <c r="C60" s="697">
        <f>(INVENTARIOS!C109)/(C8+C9+C16)*1000</f>
        <v>41.410219286304297</v>
      </c>
      <c r="D60" s="697">
        <f>(INVENTARIOS!D109)/(D8+D9+D16)*1000</f>
        <v>41.734263374506853</v>
      </c>
      <c r="E60" s="697">
        <f>(INVENTARIOS!E109)/(E8+E9+E16)*1000</f>
        <v>39.800372418873472</v>
      </c>
      <c r="F60" s="697">
        <f>(INVENTARIOS!F109)/(F8+F9+F16)*1000</f>
        <v>39.515705421258097</v>
      </c>
      <c r="G60" s="697">
        <f>(INVENTARIOS!G109)/(G8+G9+G16)*1000</f>
        <v>38.936768896429882</v>
      </c>
      <c r="H60" s="697">
        <f>(INVENTARIOS!H109)/(H8+H9+H16)*1000</f>
        <v>38.5894788782809</v>
      </c>
      <c r="I60" s="697">
        <f>(INVENTARIOS!I109)/(I8+I9+I16)*1000</f>
        <v>40.04449254833748</v>
      </c>
      <c r="J60" s="697">
        <f>(INVENTARIOS!J109)/(J8+J9+J16)*1000</f>
        <v>42.798721822478633</v>
      </c>
      <c r="K60" s="697">
        <f>(INVENTARIOS!K109)/(K8+K9+K16)*1000</f>
        <v>41.840823151565829</v>
      </c>
      <c r="L60" s="697">
        <f>(INVENTARIOS!L109)/(L8+L9+L16)*1000</f>
        <v>42.349802849095369</v>
      </c>
      <c r="M60" s="697">
        <f>(INVENTARIOS!M109)/(M8+M9+M16)*1000</f>
        <v>42.744141173719349</v>
      </c>
      <c r="N60" s="697">
        <f>(INVENTARIOS!N109)/(N8+N9+N16)*1000</f>
        <v>39.913637214831866</v>
      </c>
      <c r="O60" s="486">
        <f>IFERROR((SUM(INVENTARIOS!C106:N106)+SUM(INVENTARIOS!C107:N107))/(SUM(INVENTARIOS!C69:N69)+SUM(INVENTARIOS!C70:N70)+SUM(INVENTARIOS!C73:N73))*1000,"-")</f>
        <v>40.132218913444795</v>
      </c>
      <c r="P60" s="486">
        <f>IFERROR((SUMIFS(INVENTARIOS!C106:N106,'INDICADORES PRODUCCION'!C$7:N$7,"&gt;="&amp;DATE(YEAR('INDICADORES PRODUCCION'!N$7),1,1),'INDICADORES PRODUCCION'!C$7:N$7,"&lt;="&amp;DATE(YEAR('INDICADORES PRODUCCION'!N$7),12,31))+SUMIFS(INVENTARIOS!C107:N107,'INDICADORES PRODUCCION'!C$7:N$7,"&gt;="&amp;DATE(YEAR('INDICADORES PRODUCCION'!N$7),1,1),'INDICADORES PRODUCCION'!C$7:N$7,"&lt;="&amp;DATE(YEAR('INDICADORES PRODUCCION'!N$7),12,31)))/(SUMIFS(INVENTARIOS!C69:N69,'INDICADORES PRODUCCION'!C$7:N$7,"&gt;="&amp;DATE(YEAR('INDICADORES PRODUCCION'!N$7),1,1),'INDICADORES PRODUCCION'!C$7:N$7,"&lt;="&amp;DATE(YEAR('INDICADORES PRODUCCION'!N$7),12,31))+SUMIFS(INVENTARIOS!C70:N70,'INDICADORES PRODUCCION'!C$7:N$7,"&gt;="&amp;DATE(YEAR('INDICADORES PRODUCCION'!N$7),1,1),'INDICADORES PRODUCCION'!C$7:N$7,"&lt;="&amp;DATE(YEAR('INDICADORES PRODUCCION'!N$7),12,31))+SUMIFS(INVENTARIOS!C73:N73,'INDICADORES PRODUCCION'!C$7:N$7,"&gt;="&amp;DATE(YEAR('INDICADORES PRODUCCION'!N$7),1,1),'INDICADORES PRODUCCION'!C$7:N$7,"&lt;="&amp;DATE(YEAR('INDICADORES PRODUCCION'!N$7),12,31)))*1000,"-")</f>
        <v>40.971909477492346</v>
      </c>
      <c r="Q60" s="486">
        <v>40.841000000000001</v>
      </c>
      <c r="R60" s="438"/>
      <c r="S60" s="726"/>
      <c r="T60" s="726"/>
      <c r="U60" s="726"/>
      <c r="V60" s="726"/>
      <c r="W60" s="726"/>
      <c r="X60" s="726"/>
      <c r="Y60" s="726"/>
      <c r="Z60" s="726"/>
      <c r="AA60" s="726"/>
      <c r="AB60" s="726"/>
      <c r="AC60" s="726"/>
      <c r="AE60" s="428">
        <f t="shared" si="49"/>
        <v>-41.410219286304297</v>
      </c>
      <c r="AF60" s="428">
        <f t="shared" si="49"/>
        <v>-41.734263374506853</v>
      </c>
      <c r="AG60" s="794">
        <f t="shared" si="49"/>
        <v>-39.800372418873472</v>
      </c>
      <c r="AH60" s="428">
        <f t="shared" si="49"/>
        <v>-39.515705421258097</v>
      </c>
      <c r="AI60" s="428">
        <f t="shared" si="49"/>
        <v>-38.936768896429882</v>
      </c>
      <c r="AJ60" s="428">
        <f t="shared" si="49"/>
        <v>-38.5894788782809</v>
      </c>
      <c r="AK60" s="428">
        <f t="shared" si="49"/>
        <v>-40.04449254833748</v>
      </c>
      <c r="AL60" s="428">
        <f t="shared" si="49"/>
        <v>-42.798721822478633</v>
      </c>
      <c r="AM60" s="428">
        <f t="shared" si="49"/>
        <v>-41.840823151565829</v>
      </c>
      <c r="AN60" s="428">
        <f t="shared" si="49"/>
        <v>-42.349802849095369</v>
      </c>
      <c r="AO60" s="428">
        <f t="shared" si="49"/>
        <v>-42.744141173719349</v>
      </c>
      <c r="AP60" s="428"/>
      <c r="AQ60" s="428"/>
      <c r="AR60" s="428"/>
      <c r="AS60" s="428"/>
      <c r="AT60" s="428"/>
      <c r="AU60" s="428"/>
      <c r="AV60" s="428"/>
      <c r="AW60" s="428"/>
      <c r="AX60" s="428"/>
      <c r="AY60" s="428"/>
      <c r="AZ60" s="428"/>
      <c r="BA60" s="428"/>
      <c r="BB60" s="428"/>
      <c r="BC60" s="428"/>
      <c r="BD60" s="428"/>
      <c r="BE60" s="428"/>
      <c r="BF60" s="428"/>
      <c r="BG60" s="428"/>
    </row>
    <row r="61" spans="1:59" ht="17.25" thickBot="1" x14ac:dyDescent="0.3">
      <c r="A61" s="493" t="s">
        <v>381</v>
      </c>
      <c r="B61" s="504">
        <v>0.105</v>
      </c>
      <c r="C61" s="732">
        <f>INVENTARIOS!C114/(C8+C9+C16)</f>
        <v>0.10181994480925508</v>
      </c>
      <c r="D61" s="732">
        <f>INVENTARIOS!D114/(D8+D9+D16)</f>
        <v>0.10472346253536936</v>
      </c>
      <c r="E61" s="732">
        <f>INVENTARIOS!E114/(E8+E9+E16)</f>
        <v>8.2341972076921108E-2</v>
      </c>
      <c r="F61" s="732">
        <f>INVENTARIOS!F114/(F8+F9+F16)</f>
        <v>9.544085620888941E-2</v>
      </c>
      <c r="G61" s="732">
        <f>INVENTARIOS!G114/(G8+G9+G16)</f>
        <v>9.0380359146665631E-2</v>
      </c>
      <c r="H61" s="732">
        <f>INVENTARIOS!H114/(H8+H9+H16)</f>
        <v>9.1432402207522481E-2</v>
      </c>
      <c r="I61" s="732">
        <f>INVENTARIOS!I114/(I8+I9+I16)</f>
        <v>8.9305841105806888E-2</v>
      </c>
      <c r="J61" s="732">
        <f>INVENTARIOS!J114/(J8+J9+J16)</f>
        <v>9.4788933883749218E-2</v>
      </c>
      <c r="K61" s="732">
        <f>INVENTARIOS!K114/(K8+K9+K16)</f>
        <v>9.1376191195650741E-2</v>
      </c>
      <c r="L61" s="732">
        <f>INVENTARIOS!L114/(L8+L9+L16)</f>
        <v>9.0049476410071341E-2</v>
      </c>
      <c r="M61" s="732">
        <f>INVENTARIOS!M114/(M8+M9+M16)</f>
        <v>0.11607322204905537</v>
      </c>
      <c r="N61" s="732">
        <f>INVENTARIOS!N114/(N8+N9+N16)</f>
        <v>0.12630905874513504</v>
      </c>
      <c r="O61" s="504">
        <f>IFERROR(SUM(INVENTARIOS!C114:N114)/(SUM(INVENTARIOS!C69:N69)+SUM(INVENTARIOS!C70:N70)+SUM(INVENTARIOS!C73:N73)),"-")</f>
        <v>0.10494866326595219</v>
      </c>
      <c r="P61" s="504">
        <f>IFERROR(SUMIFS(INVENTARIOS!C114:N114,'INDICADORES PRODUCCION'!C$7:N$7,"&gt;="&amp;DATE(YEAR('INDICADORES PRODUCCION'!N$7),1,1),'INDICADORES PRODUCCION'!C$7:N$7,"&lt;="&amp;DATE(YEAR('INDICADORES PRODUCCION'!N$7),12,31))/(SUMIFS(INVENTARIOS!C69:N69,'INDICADORES PRODUCCION'!C$7:N$7,"&gt;="&amp;DATE(YEAR('INDICADORES PRODUCCION'!N$7),1,1),'INDICADORES PRODUCCION'!C$7:N$7,"&lt;="&amp;DATE(YEAR('INDICADORES PRODUCCION'!N$7),12,31))+SUMIFS(INVENTARIOS!C70:N70,'INDICADORES PRODUCCION'!C$7:N$7,"&gt;="&amp;DATE(YEAR('INDICADORES PRODUCCION'!N$7),1,1),'INDICADORES PRODUCCION'!C$7:N$7,"&lt;="&amp;DATE(YEAR('INDICADORES PRODUCCION'!N$7),12,31))+SUMIFS(INVENTARIOS!C73:N73,'INDICADORES PRODUCCION'!C$7:N$7,"&gt;="&amp;DATE(YEAR('INDICADORES PRODUCCION'!N$7),1,1),'INDICADORES PRODUCCION'!C$7:N$7,"&lt;="&amp;DATE(YEAR('INDICADORES PRODUCCION'!N$7),12,31))),"-")</f>
        <v>0.11304134496736126</v>
      </c>
      <c r="Q61" s="504">
        <v>9.9000000000000005E-2</v>
      </c>
      <c r="R61" s="438"/>
      <c r="S61" s="726"/>
      <c r="T61" s="726"/>
      <c r="U61" s="726"/>
      <c r="V61" s="726"/>
      <c r="W61" s="726"/>
      <c r="X61" s="726"/>
      <c r="Y61" s="726"/>
      <c r="Z61" s="726"/>
      <c r="AA61" s="726"/>
      <c r="AB61" s="726"/>
      <c r="AC61" s="726"/>
      <c r="AE61" s="428">
        <f t="shared" si="49"/>
        <v>-0.10181994480925508</v>
      </c>
      <c r="AF61" s="428">
        <f t="shared" si="49"/>
        <v>-0.10472346253536936</v>
      </c>
      <c r="AG61" s="428">
        <f t="shared" si="49"/>
        <v>-8.2341972076921108E-2</v>
      </c>
      <c r="AH61" s="428">
        <f t="shared" si="49"/>
        <v>-9.544085620888941E-2</v>
      </c>
      <c r="AI61" s="428">
        <f t="shared" si="49"/>
        <v>-9.0380359146665631E-2</v>
      </c>
      <c r="AJ61" s="428">
        <f t="shared" si="49"/>
        <v>-9.1432402207522481E-2</v>
      </c>
      <c r="AK61" s="428">
        <f t="shared" si="49"/>
        <v>-8.9305841105806888E-2</v>
      </c>
      <c r="AL61" s="428">
        <f t="shared" si="49"/>
        <v>-9.4788933883749218E-2</v>
      </c>
      <c r="AM61" s="428">
        <f t="shared" si="49"/>
        <v>-9.1376191195650741E-2</v>
      </c>
      <c r="AN61" s="428">
        <f t="shared" si="49"/>
        <v>-9.0049476410071341E-2</v>
      </c>
      <c r="AO61" s="428">
        <f t="shared" si="49"/>
        <v>-0.11607322204905537</v>
      </c>
      <c r="AP61" s="428"/>
      <c r="AQ61" s="428"/>
      <c r="AR61" s="428"/>
      <c r="AS61" s="428"/>
      <c r="AT61" s="428"/>
      <c r="AU61" s="428"/>
      <c r="AV61" s="428"/>
      <c r="AW61" s="428"/>
      <c r="AX61" s="428"/>
      <c r="AY61" s="428"/>
      <c r="AZ61" s="428"/>
      <c r="BA61" s="428"/>
      <c r="BB61" s="428"/>
      <c r="BC61" s="428"/>
      <c r="BD61" s="428"/>
      <c r="BE61" s="428"/>
      <c r="BF61" s="428"/>
      <c r="BG61" s="428"/>
    </row>
    <row r="62" spans="1:59" x14ac:dyDescent="0.25">
      <c r="C62" s="726"/>
      <c r="D62" s="726"/>
      <c r="E62" s="726"/>
      <c r="F62" s="726"/>
      <c r="G62" s="726"/>
      <c r="H62" s="726"/>
      <c r="I62" s="726"/>
      <c r="J62" s="726"/>
      <c r="K62" s="726"/>
      <c r="L62" s="726"/>
      <c r="M62" s="726"/>
      <c r="N62" s="428"/>
      <c r="P62" s="428"/>
      <c r="R62" s="798"/>
      <c r="S62" s="798"/>
      <c r="T62" s="798"/>
      <c r="U62" s="798"/>
      <c r="V62" s="798"/>
      <c r="W62" s="798"/>
      <c r="X62" s="798"/>
      <c r="Y62" s="798"/>
      <c r="Z62" s="798"/>
      <c r="AA62" s="798"/>
      <c r="AB62" s="798"/>
    </row>
    <row r="63" spans="1:59" x14ac:dyDescent="0.25">
      <c r="C63" s="767"/>
      <c r="D63" s="767"/>
      <c r="E63" s="767"/>
      <c r="F63" s="767"/>
      <c r="G63" s="767"/>
      <c r="H63" s="767"/>
      <c r="I63" s="767"/>
      <c r="J63" s="767"/>
      <c r="K63" s="767"/>
      <c r="L63" s="767"/>
      <c r="M63" s="767"/>
      <c r="N63" s="428"/>
      <c r="O63" s="428"/>
      <c r="R63" s="794"/>
      <c r="S63" s="794"/>
      <c r="T63" s="794"/>
      <c r="U63" s="794"/>
      <c r="V63" s="794"/>
      <c r="W63" s="794"/>
      <c r="X63" s="794"/>
      <c r="Y63" s="794"/>
      <c r="Z63" s="794"/>
      <c r="AA63" s="794"/>
      <c r="AB63" s="794"/>
      <c r="AC63" s="428"/>
    </row>
    <row r="64" spans="1:59" x14ac:dyDescent="0.25">
      <c r="N64" s="428"/>
      <c r="O64" s="428"/>
      <c r="R64" s="794"/>
      <c r="S64" s="794"/>
      <c r="T64" s="794"/>
      <c r="U64" s="794"/>
      <c r="V64" s="794"/>
      <c r="W64" s="794"/>
      <c r="X64" s="794"/>
      <c r="Y64" s="794"/>
      <c r="Z64" s="794"/>
      <c r="AA64" s="794"/>
      <c r="AB64" s="794"/>
      <c r="AC64" s="428"/>
    </row>
    <row r="65" spans="14:29" x14ac:dyDescent="0.25">
      <c r="N65" s="428"/>
      <c r="O65" s="428"/>
      <c r="R65" s="794"/>
      <c r="S65" s="794"/>
      <c r="T65" s="794"/>
      <c r="U65" s="794"/>
      <c r="V65" s="794"/>
      <c r="W65" s="794"/>
      <c r="X65" s="794"/>
      <c r="Y65" s="794"/>
      <c r="Z65" s="794"/>
      <c r="AA65" s="794"/>
      <c r="AB65" s="794"/>
      <c r="AC65" s="428"/>
    </row>
    <row r="66" spans="14:29" x14ac:dyDescent="0.25">
      <c r="N66" s="428"/>
      <c r="O66" s="428"/>
      <c r="R66" s="794"/>
      <c r="S66" s="794"/>
      <c r="T66" s="794"/>
      <c r="U66" s="794"/>
      <c r="V66" s="794"/>
      <c r="W66" s="794"/>
      <c r="X66" s="794"/>
      <c r="Y66" s="794"/>
      <c r="Z66" s="794"/>
      <c r="AA66" s="794"/>
      <c r="AB66" s="794"/>
      <c r="AC66" s="428"/>
    </row>
    <row r="67" spans="14:29" x14ac:dyDescent="0.25">
      <c r="S67" s="428"/>
    </row>
    <row r="68" spans="14:29" x14ac:dyDescent="0.25">
      <c r="N68" s="461"/>
    </row>
    <row r="125" spans="3:13" x14ac:dyDescent="0.25">
      <c r="C125" s="767"/>
      <c r="D125" s="767"/>
      <c r="E125" s="767"/>
      <c r="F125" s="767"/>
      <c r="G125" s="767"/>
      <c r="H125" s="767"/>
      <c r="I125" s="767"/>
      <c r="J125" s="767"/>
      <c r="K125" s="767"/>
      <c r="L125" s="767"/>
      <c r="M125" s="767"/>
    </row>
    <row r="126" spans="3:13" x14ac:dyDescent="0.25">
      <c r="C126" s="767"/>
      <c r="D126" s="767"/>
      <c r="E126" s="767"/>
      <c r="F126" s="767"/>
      <c r="G126" s="767"/>
      <c r="H126" s="767"/>
      <c r="I126" s="767"/>
      <c r="J126" s="767"/>
      <c r="K126" s="767"/>
      <c r="L126" s="767"/>
      <c r="M126" s="767"/>
    </row>
    <row r="127" spans="3:13" x14ac:dyDescent="0.25">
      <c r="C127" s="767"/>
      <c r="D127" s="767"/>
      <c r="E127" s="767"/>
      <c r="F127" s="767"/>
      <c r="G127" s="767"/>
      <c r="H127" s="767"/>
      <c r="I127" s="767"/>
      <c r="J127" s="767"/>
      <c r="K127" s="767"/>
      <c r="L127" s="767"/>
      <c r="M127" s="767"/>
    </row>
    <row r="128" spans="3:13" x14ac:dyDescent="0.25">
      <c r="C128" s="767"/>
      <c r="D128" s="767"/>
      <c r="E128" s="767"/>
      <c r="F128" s="767"/>
      <c r="G128" s="767"/>
      <c r="H128" s="767"/>
      <c r="I128" s="767"/>
      <c r="J128" s="767"/>
      <c r="K128" s="767"/>
      <c r="L128" s="767"/>
      <c r="M128" s="767"/>
    </row>
    <row r="130" spans="3:13" x14ac:dyDescent="0.25">
      <c r="C130" s="767"/>
      <c r="D130" s="767"/>
      <c r="E130" s="767"/>
      <c r="F130" s="767"/>
      <c r="G130" s="767"/>
      <c r="H130" s="767"/>
      <c r="I130" s="767"/>
      <c r="J130" s="767"/>
      <c r="K130" s="767"/>
      <c r="L130" s="767"/>
      <c r="M130" s="767"/>
    </row>
    <row r="131" spans="3:13" x14ac:dyDescent="0.25">
      <c r="C131" s="767"/>
      <c r="D131" s="767"/>
      <c r="E131" s="767"/>
      <c r="F131" s="767"/>
      <c r="G131" s="767"/>
      <c r="H131" s="767"/>
      <c r="I131" s="767"/>
      <c r="J131" s="767"/>
      <c r="K131" s="767"/>
      <c r="L131" s="767"/>
      <c r="M131" s="767"/>
    </row>
    <row r="132" spans="3:13" x14ac:dyDescent="0.25">
      <c r="C132" s="767"/>
      <c r="D132" s="767"/>
      <c r="E132" s="767"/>
      <c r="F132" s="767"/>
      <c r="G132" s="767"/>
      <c r="H132" s="767"/>
      <c r="I132" s="767"/>
      <c r="J132" s="767"/>
      <c r="K132" s="767"/>
      <c r="L132" s="767"/>
      <c r="M132" s="767"/>
    </row>
    <row r="133" spans="3:13" x14ac:dyDescent="0.25">
      <c r="C133" s="767"/>
      <c r="D133" s="767"/>
      <c r="E133" s="767"/>
      <c r="F133" s="767"/>
      <c r="G133" s="767"/>
      <c r="H133" s="767"/>
      <c r="I133" s="767"/>
      <c r="J133" s="767"/>
      <c r="K133" s="767"/>
      <c r="L133" s="767"/>
      <c r="M133" s="767"/>
    </row>
  </sheetData>
  <mergeCells count="10">
    <mergeCell ref="B56:N56"/>
    <mergeCell ref="B37:N37"/>
    <mergeCell ref="B19:N19"/>
    <mergeCell ref="B6:N6"/>
    <mergeCell ref="A1:B4"/>
    <mergeCell ref="C1:K4"/>
    <mergeCell ref="L2:N2"/>
    <mergeCell ref="L3:N3"/>
    <mergeCell ref="L4:N4"/>
    <mergeCell ref="B47:N47"/>
  </mergeCells>
  <pageMargins left="0.7" right="0.7" top="0.75" bottom="0.75" header="0.3" footer="0.3"/>
  <pageSetup orientation="portrait" verticalDpi="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V129"/>
  <sheetViews>
    <sheetView zoomScale="90" zoomScaleNormal="90" workbookViewId="0">
      <pane xSplit="2" ySplit="6" topLeftCell="I16" activePane="bottomRight" state="frozen"/>
      <selection activeCell="I20" sqref="I20"/>
      <selection pane="topRight" activeCell="I20" sqref="I20"/>
      <selection pane="bottomLeft" activeCell="I20" sqref="I20"/>
      <selection pane="bottomRight" activeCell="B25" sqref="A25:XFD25"/>
    </sheetView>
  </sheetViews>
  <sheetFormatPr baseColWidth="10" defaultRowHeight="16.5" x14ac:dyDescent="0.25"/>
  <cols>
    <col min="1" max="1" width="11.42578125" style="1"/>
    <col min="2" max="2" width="49" style="1" customWidth="1"/>
    <col min="3" max="12" width="11.42578125" style="1" customWidth="1"/>
    <col min="13" max="14" width="11.42578125" style="197" customWidth="1"/>
    <col min="15" max="15" width="12.140625" style="1" hidden="1" customWidth="1"/>
    <col min="16" max="16" width="11.28515625" style="1" hidden="1" customWidth="1"/>
    <col min="17" max="16384" width="11.42578125" style="1"/>
  </cols>
  <sheetData>
    <row r="1" spans="1:22" ht="18" customHeight="1" x14ac:dyDescent="0.25">
      <c r="A1" s="892"/>
      <c r="B1" s="893"/>
      <c r="C1" s="902" t="s">
        <v>260</v>
      </c>
      <c r="D1" s="903"/>
      <c r="E1" s="903"/>
      <c r="F1" s="903"/>
      <c r="G1" s="903"/>
      <c r="H1" s="903"/>
      <c r="I1" s="903"/>
      <c r="J1" s="903"/>
      <c r="K1" s="904"/>
      <c r="L1" s="459" t="s">
        <v>550</v>
      </c>
      <c r="M1" s="353"/>
      <c r="N1" s="1"/>
    </row>
    <row r="2" spans="1:22" ht="18" customHeight="1" x14ac:dyDescent="0.25">
      <c r="A2" s="894"/>
      <c r="B2" s="895"/>
      <c r="C2" s="905"/>
      <c r="D2" s="851"/>
      <c r="E2" s="851"/>
      <c r="F2" s="851"/>
      <c r="G2" s="851"/>
      <c r="H2" s="851"/>
      <c r="I2" s="851"/>
      <c r="J2" s="851"/>
      <c r="K2" s="906"/>
      <c r="L2" s="819" t="s">
        <v>533</v>
      </c>
      <c r="M2" s="820"/>
      <c r="N2" s="1"/>
    </row>
    <row r="3" spans="1:22" ht="18" customHeight="1" x14ac:dyDescent="0.25">
      <c r="A3" s="894"/>
      <c r="B3" s="895"/>
      <c r="C3" s="905"/>
      <c r="D3" s="851"/>
      <c r="E3" s="851"/>
      <c r="F3" s="851"/>
      <c r="G3" s="851"/>
      <c r="H3" s="851"/>
      <c r="I3" s="851"/>
      <c r="J3" s="851"/>
      <c r="K3" s="906"/>
      <c r="L3" s="819" t="s">
        <v>534</v>
      </c>
      <c r="M3" s="820"/>
      <c r="N3" s="1"/>
    </row>
    <row r="4" spans="1:22" ht="18" customHeight="1" thickBot="1" x14ac:dyDescent="0.3">
      <c r="A4" s="896"/>
      <c r="B4" s="897"/>
      <c r="C4" s="907"/>
      <c r="D4" s="908"/>
      <c r="E4" s="908"/>
      <c r="F4" s="908"/>
      <c r="G4" s="908"/>
      <c r="H4" s="908"/>
      <c r="I4" s="908"/>
      <c r="J4" s="908"/>
      <c r="K4" s="909"/>
      <c r="L4" s="912" t="s">
        <v>539</v>
      </c>
      <c r="M4" s="857"/>
      <c r="N4" s="1"/>
    </row>
    <row r="5" spans="1:22" ht="18" customHeight="1" thickBot="1" x14ac:dyDescent="0.3">
      <c r="M5" s="1"/>
      <c r="N5" s="1"/>
    </row>
    <row r="6" spans="1:22" ht="24" customHeight="1" thickBot="1" x14ac:dyDescent="0.3">
      <c r="A6" s="282" t="s">
        <v>365</v>
      </c>
      <c r="B6" s="254" t="s">
        <v>364</v>
      </c>
      <c r="C6" s="283">
        <v>43952</v>
      </c>
      <c r="D6" s="283">
        <v>43983</v>
      </c>
      <c r="E6" s="283">
        <v>44013</v>
      </c>
      <c r="F6" s="283">
        <v>44044</v>
      </c>
      <c r="G6" s="283">
        <v>44075</v>
      </c>
      <c r="H6" s="283">
        <v>44105</v>
      </c>
      <c r="I6" s="283">
        <v>44136</v>
      </c>
      <c r="J6" s="283">
        <v>44166</v>
      </c>
      <c r="K6" s="283">
        <v>44197</v>
      </c>
      <c r="L6" s="283">
        <v>44228</v>
      </c>
      <c r="M6" s="283">
        <v>44256</v>
      </c>
      <c r="N6" s="283">
        <v>44287</v>
      </c>
      <c r="O6" s="197"/>
      <c r="P6" s="197"/>
      <c r="Q6" s="210"/>
      <c r="R6" s="210"/>
      <c r="S6" s="210"/>
      <c r="T6" s="210"/>
      <c r="U6" s="210"/>
      <c r="V6" s="210"/>
    </row>
    <row r="7" spans="1:22" ht="18" customHeight="1" x14ac:dyDescent="0.25">
      <c r="A7" s="898" t="s">
        <v>346</v>
      </c>
      <c r="B7" s="263" t="s">
        <v>367</v>
      </c>
      <c r="C7" s="212">
        <v>2450.482</v>
      </c>
      <c r="D7" s="212">
        <f t="shared" ref="D7" si="0">+C8</f>
        <v>2960.4479999999999</v>
      </c>
      <c r="E7" s="212">
        <f t="shared" ref="E7" si="1">+D8</f>
        <v>2885.5940000000001</v>
      </c>
      <c r="F7" s="212">
        <f t="shared" ref="F7" si="2">+E8</f>
        <v>1287.9000000000001</v>
      </c>
      <c r="G7" s="212">
        <f t="shared" ref="G7" si="3">+F8</f>
        <v>1450.2950000000001</v>
      </c>
      <c r="H7" s="212">
        <f t="shared" ref="H7" si="4">+G8</f>
        <v>538.31600000000003</v>
      </c>
      <c r="I7" s="212">
        <f t="shared" ref="I7" si="5">+H8</f>
        <v>993.755</v>
      </c>
      <c r="J7" s="212">
        <f t="shared" ref="J7" si="6">+I8</f>
        <v>126.902</v>
      </c>
      <c r="K7" s="212">
        <f t="shared" ref="K7" si="7">+J8</f>
        <v>1691.0509999999999</v>
      </c>
      <c r="L7" s="212">
        <f t="shared" ref="L7" si="8">+K8</f>
        <v>316.49400000000003</v>
      </c>
      <c r="M7" s="212">
        <f t="shared" ref="M7" si="9">+L8</f>
        <v>522.47</v>
      </c>
      <c r="N7" s="212">
        <f t="shared" ref="N7" si="10">+M8</f>
        <v>393.435</v>
      </c>
      <c r="O7" s="615">
        <v>393.435</v>
      </c>
      <c r="P7" s="338">
        <f t="shared" ref="P7:P38" si="11">N7-O7</f>
        <v>0</v>
      </c>
      <c r="Q7" s="211"/>
      <c r="R7" s="211"/>
      <c r="S7" s="211"/>
      <c r="T7" s="211"/>
      <c r="U7" s="211"/>
      <c r="V7" s="211"/>
    </row>
    <row r="8" spans="1:22" ht="18" customHeight="1" x14ac:dyDescent="0.25">
      <c r="A8" s="900"/>
      <c r="B8" s="263" t="s">
        <v>368</v>
      </c>
      <c r="C8" s="213">
        <v>2960.4479999999999</v>
      </c>
      <c r="D8" s="608">
        <v>2885.5940000000001</v>
      </c>
      <c r="E8" s="608">
        <v>1287.9000000000001</v>
      </c>
      <c r="F8" s="608">
        <v>1450.2950000000001</v>
      </c>
      <c r="G8" s="608">
        <v>538.31600000000003</v>
      </c>
      <c r="H8" s="608">
        <v>993.755</v>
      </c>
      <c r="I8" s="608">
        <v>126.902</v>
      </c>
      <c r="J8" s="608">
        <v>1691.0509999999999</v>
      </c>
      <c r="K8" s="608">
        <v>316.49400000000003</v>
      </c>
      <c r="L8" s="608">
        <v>522.47</v>
      </c>
      <c r="M8" s="608">
        <v>393.435</v>
      </c>
      <c r="N8" s="608">
        <v>1946.7449999999999</v>
      </c>
      <c r="O8" s="659">
        <v>1946.7449999999999</v>
      </c>
      <c r="P8" s="768">
        <f t="shared" si="11"/>
        <v>0</v>
      </c>
      <c r="Q8" s="211"/>
      <c r="R8" s="211"/>
      <c r="S8" s="211"/>
      <c r="T8" s="211"/>
      <c r="U8" s="211"/>
    </row>
    <row r="9" spans="1:22" ht="18" customHeight="1" x14ac:dyDescent="0.25">
      <c r="A9" s="900"/>
      <c r="B9" s="263" t="s">
        <v>72</v>
      </c>
      <c r="C9" s="213">
        <v>75.965999999999994</v>
      </c>
      <c r="D9" s="213">
        <v>4071.991</v>
      </c>
      <c r="E9" s="213">
        <v>2435.1019999999999</v>
      </c>
      <c r="F9" s="213">
        <v>3705.0479999999998</v>
      </c>
      <c r="G9" s="213">
        <v>4551.7139999999999</v>
      </c>
      <c r="H9" s="213">
        <v>1779.33</v>
      </c>
      <c r="I9" s="213">
        <v>2918.1590000000001</v>
      </c>
      <c r="J9" s="213">
        <v>2153.5940000000001</v>
      </c>
      <c r="K9" s="213">
        <v>4432.37</v>
      </c>
      <c r="L9" s="213">
        <v>6594.7709999999997</v>
      </c>
      <c r="M9" s="213">
        <v>5529.22</v>
      </c>
      <c r="N9" s="213">
        <v>2759.9380000000001</v>
      </c>
      <c r="O9" s="615">
        <v>2759.9380000000001</v>
      </c>
      <c r="P9" s="338">
        <f t="shared" si="11"/>
        <v>0</v>
      </c>
      <c r="Q9" s="211"/>
      <c r="R9" s="211"/>
      <c r="S9" s="211"/>
      <c r="T9" s="211"/>
      <c r="U9" s="211"/>
    </row>
    <row r="10" spans="1:22" ht="18" customHeight="1" x14ac:dyDescent="0.25">
      <c r="A10" s="900"/>
      <c r="B10" s="263" t="s">
        <v>101</v>
      </c>
      <c r="C10" s="213">
        <v>0.81299999999999994</v>
      </c>
      <c r="D10" s="213">
        <v>21.603999999999999</v>
      </c>
      <c r="E10" s="213">
        <v>13.148999999999999</v>
      </c>
      <c r="F10" s="213">
        <v>19.341999999999999</v>
      </c>
      <c r="G10" s="213">
        <v>30.658999999999999</v>
      </c>
      <c r="H10" s="213">
        <v>17.87</v>
      </c>
      <c r="I10" s="213">
        <v>66.072000000000003</v>
      </c>
      <c r="J10" s="213">
        <v>11.506</v>
      </c>
      <c r="K10" s="213">
        <v>23.238</v>
      </c>
      <c r="L10" s="213">
        <v>31.981000000000002</v>
      </c>
      <c r="M10" s="213">
        <v>25.437000000000001</v>
      </c>
      <c r="N10" s="213">
        <v>14.254</v>
      </c>
      <c r="O10" s="615">
        <v>14.254</v>
      </c>
      <c r="P10" s="338">
        <f t="shared" si="11"/>
        <v>0</v>
      </c>
      <c r="Q10" s="211"/>
      <c r="R10" s="211"/>
      <c r="S10" s="211"/>
      <c r="T10" s="211"/>
      <c r="U10" s="211"/>
    </row>
    <row r="11" spans="1:22" ht="18" customHeight="1" x14ac:dyDescent="0.25">
      <c r="A11" s="900"/>
      <c r="B11" s="263" t="s">
        <v>60</v>
      </c>
      <c r="C11" s="213">
        <v>587.26</v>
      </c>
      <c r="D11" s="213">
        <v>4003.42</v>
      </c>
      <c r="E11" s="213">
        <v>855</v>
      </c>
      <c r="F11" s="213">
        <v>3891.16</v>
      </c>
      <c r="G11" s="213">
        <v>3644.12</v>
      </c>
      <c r="H11" s="213">
        <v>2236.0100000000002</v>
      </c>
      <c r="I11" s="213">
        <v>2049.6999999999998</v>
      </c>
      <c r="J11" s="213">
        <v>3728.98</v>
      </c>
      <c r="K11" s="213">
        <v>3062.68</v>
      </c>
      <c r="L11" s="213">
        <v>6806.34</v>
      </c>
      <c r="M11" s="213">
        <v>5402.7</v>
      </c>
      <c r="N11" s="213">
        <v>4314.8599999999997</v>
      </c>
      <c r="O11" s="615">
        <v>4314.8599999999997</v>
      </c>
      <c r="P11" s="338">
        <f t="shared" si="11"/>
        <v>0</v>
      </c>
      <c r="Q11" s="211"/>
      <c r="R11" s="211"/>
      <c r="S11" s="211"/>
      <c r="T11" s="211"/>
      <c r="U11" s="211"/>
    </row>
    <row r="12" spans="1:22" ht="18" customHeight="1" x14ac:dyDescent="0.25">
      <c r="A12" s="900"/>
      <c r="B12" s="263" t="s">
        <v>531</v>
      </c>
      <c r="C12" s="608">
        <v>0</v>
      </c>
      <c r="D12" s="608">
        <v>0</v>
      </c>
      <c r="E12" s="608">
        <v>16.619</v>
      </c>
      <c r="F12" s="608">
        <v>22.17</v>
      </c>
      <c r="G12" s="608">
        <v>0</v>
      </c>
      <c r="H12" s="608">
        <v>0</v>
      </c>
      <c r="I12" s="608">
        <v>0</v>
      </c>
      <c r="J12" s="608">
        <v>0</v>
      </c>
      <c r="K12" s="608">
        <v>0</v>
      </c>
      <c r="L12" s="608">
        <v>0</v>
      </c>
      <c r="M12" s="608">
        <v>0</v>
      </c>
      <c r="N12" s="608">
        <v>0</v>
      </c>
      <c r="O12" s="615">
        <v>0</v>
      </c>
      <c r="P12" s="338">
        <f t="shared" si="11"/>
        <v>0</v>
      </c>
      <c r="Q12" s="211"/>
      <c r="R12" s="211"/>
      <c r="S12" s="211"/>
      <c r="T12" s="211"/>
      <c r="U12" s="211"/>
    </row>
    <row r="13" spans="1:22" ht="21.75" customHeight="1" thickBot="1" x14ac:dyDescent="0.3">
      <c r="A13" s="901"/>
      <c r="B13" s="264" t="s">
        <v>107</v>
      </c>
      <c r="C13" s="610">
        <f t="shared" ref="C13:J13" si="12">+C8-(C7-C9-C12+C11)</f>
        <v>-1.3279999999999745</v>
      </c>
      <c r="D13" s="610">
        <f t="shared" si="12"/>
        <v>-6.2829999999999018</v>
      </c>
      <c r="E13" s="610">
        <f t="shared" si="12"/>
        <v>-0.97299999999995634</v>
      </c>
      <c r="F13" s="610">
        <f t="shared" si="12"/>
        <v>-1.5470000000000255</v>
      </c>
      <c r="G13" s="610">
        <f t="shared" si="12"/>
        <v>-4.3849999999999909</v>
      </c>
      <c r="H13" s="610">
        <f t="shared" si="12"/>
        <v>-1.2410000000003265</v>
      </c>
      <c r="I13" s="610">
        <f t="shared" si="12"/>
        <v>1.6060000000001793</v>
      </c>
      <c r="J13" s="610">
        <f t="shared" si="12"/>
        <v>-11.23700000000008</v>
      </c>
      <c r="K13" s="610">
        <f>+K8-(K7-K9-K12+K11)</f>
        <v>-4.8669999999998481</v>
      </c>
      <c r="L13" s="610">
        <v>-5.593</v>
      </c>
      <c r="M13" s="610">
        <v>-2.5150000000000001</v>
      </c>
      <c r="N13" s="610">
        <v>-1.6120000000000001</v>
      </c>
      <c r="O13" s="615">
        <v>-1.6120000000000001</v>
      </c>
      <c r="P13" s="338">
        <f t="shared" si="11"/>
        <v>0</v>
      </c>
      <c r="Q13" s="211"/>
      <c r="R13" s="211"/>
      <c r="S13" s="211"/>
      <c r="T13" s="211"/>
      <c r="U13" s="211"/>
    </row>
    <row r="14" spans="1:22" ht="18" customHeight="1" x14ac:dyDescent="0.25">
      <c r="A14" s="898" t="s">
        <v>363</v>
      </c>
      <c r="B14" s="263" t="s">
        <v>369</v>
      </c>
      <c r="C14" s="212">
        <v>1575.9829999999999</v>
      </c>
      <c r="D14" s="212">
        <f t="shared" ref="D14" si="13">+C15</f>
        <v>2119.2559999999999</v>
      </c>
      <c r="E14" s="212">
        <f t="shared" ref="E14" si="14">+D15</f>
        <v>1100.6590000000001</v>
      </c>
      <c r="F14" s="212">
        <f t="shared" ref="F14" si="15">+E15</f>
        <v>586.86</v>
      </c>
      <c r="G14" s="212">
        <f t="shared" ref="G14" si="16">+F15</f>
        <v>183.57</v>
      </c>
      <c r="H14" s="212">
        <f t="shared" ref="H14" si="17">+G15</f>
        <v>207.774</v>
      </c>
      <c r="I14" s="212">
        <f t="shared" ref="I14" si="18">+H15</f>
        <v>1200.5070000000001</v>
      </c>
      <c r="J14" s="212">
        <f t="shared" ref="J14" si="19">+I15</f>
        <v>179.07</v>
      </c>
      <c r="K14" s="212">
        <f t="shared" ref="K14" si="20">+J15</f>
        <v>569.88599999999997</v>
      </c>
      <c r="L14" s="212">
        <f t="shared" ref="L14" si="21">+K15</f>
        <v>747.96500000000003</v>
      </c>
      <c r="M14" s="212">
        <f t="shared" ref="M14" si="22">+L15</f>
        <v>140.81399999999999</v>
      </c>
      <c r="N14" s="212">
        <f t="shared" ref="N14" si="23">+M15</f>
        <v>580.54300000000001</v>
      </c>
      <c r="O14" s="615">
        <v>580.54300000000001</v>
      </c>
      <c r="P14" s="338">
        <f t="shared" si="11"/>
        <v>0</v>
      </c>
      <c r="Q14" s="211"/>
      <c r="R14" s="211"/>
      <c r="S14" s="211"/>
      <c r="T14" s="211"/>
      <c r="U14" s="211"/>
    </row>
    <row r="15" spans="1:22" ht="18" customHeight="1" x14ac:dyDescent="0.25">
      <c r="A15" s="900"/>
      <c r="B15" s="263" t="s">
        <v>370</v>
      </c>
      <c r="C15" s="213">
        <v>2119.2559999999999</v>
      </c>
      <c r="D15" s="608">
        <v>1100.6590000000001</v>
      </c>
      <c r="E15" s="608">
        <v>586.86</v>
      </c>
      <c r="F15" s="608">
        <v>183.57</v>
      </c>
      <c r="G15" s="608">
        <v>207.774</v>
      </c>
      <c r="H15" s="608">
        <v>1200.5070000000001</v>
      </c>
      <c r="I15" s="608">
        <v>179.07</v>
      </c>
      <c r="J15" s="608">
        <v>569.88599999999997</v>
      </c>
      <c r="K15" s="608">
        <v>747.96500000000003</v>
      </c>
      <c r="L15" s="608">
        <v>140.81399999999999</v>
      </c>
      <c r="M15" s="608">
        <v>580.54300000000001</v>
      </c>
      <c r="N15" s="608">
        <v>305.80799999999999</v>
      </c>
      <c r="O15" s="659">
        <v>305.80799999999999</v>
      </c>
      <c r="P15" s="768">
        <f t="shared" si="11"/>
        <v>0</v>
      </c>
      <c r="Q15" s="211"/>
      <c r="R15" s="211"/>
      <c r="S15" s="211"/>
      <c r="T15" s="211"/>
      <c r="U15" s="211"/>
    </row>
    <row r="16" spans="1:22" ht="18" customHeight="1" x14ac:dyDescent="0.25">
      <c r="A16" s="900"/>
      <c r="B16" s="263" t="s">
        <v>61</v>
      </c>
      <c r="C16" s="213">
        <v>5953.2439999999997</v>
      </c>
      <c r="D16" s="608">
        <v>3916.5239999999999</v>
      </c>
      <c r="E16" s="608">
        <v>7860.3909999999996</v>
      </c>
      <c r="F16" s="608">
        <v>6204.9269999999997</v>
      </c>
      <c r="G16" s="608">
        <v>5535.07</v>
      </c>
      <c r="H16" s="608">
        <v>9479.7250000000004</v>
      </c>
      <c r="I16" s="608">
        <v>7282.02</v>
      </c>
      <c r="J16" s="608">
        <v>7326.9489999999996</v>
      </c>
      <c r="K16" s="608">
        <v>7670.8159999999998</v>
      </c>
      <c r="L16" s="608">
        <v>5998.5910000000003</v>
      </c>
      <c r="M16" s="608">
        <v>8126.9679999999998</v>
      </c>
      <c r="N16" s="608">
        <v>8493.5040000000008</v>
      </c>
      <c r="O16" s="659">
        <v>8493.5040000000008</v>
      </c>
      <c r="P16" s="768">
        <f t="shared" si="11"/>
        <v>0</v>
      </c>
      <c r="Q16" s="211"/>
      <c r="R16" s="211"/>
      <c r="S16" s="211"/>
      <c r="T16" s="211"/>
      <c r="U16" s="211"/>
    </row>
    <row r="17" spans="1:21" ht="18" customHeight="1" x14ac:dyDescent="0.25">
      <c r="A17" s="900"/>
      <c r="B17" s="263" t="s">
        <v>322</v>
      </c>
      <c r="C17" s="213">
        <v>5455.91</v>
      </c>
      <c r="D17" s="608">
        <v>4956.5360000000001</v>
      </c>
      <c r="E17" s="608">
        <v>8388.09</v>
      </c>
      <c r="F17" s="608">
        <v>6616.34</v>
      </c>
      <c r="G17" s="608">
        <v>5518.17</v>
      </c>
      <c r="H17" s="608">
        <v>8495.4500000000007</v>
      </c>
      <c r="I17" s="608">
        <v>8310.75</v>
      </c>
      <c r="J17" s="608">
        <v>6860.63</v>
      </c>
      <c r="K17" s="608">
        <v>7501.54</v>
      </c>
      <c r="L17" s="608">
        <v>6633.21</v>
      </c>
      <c r="M17" s="608">
        <v>7711.28</v>
      </c>
      <c r="N17" s="608">
        <v>8112.51</v>
      </c>
      <c r="O17" s="659">
        <v>8112.51</v>
      </c>
      <c r="P17" s="768">
        <f t="shared" si="11"/>
        <v>0</v>
      </c>
      <c r="Q17" s="211"/>
      <c r="R17" s="211"/>
      <c r="S17" s="211"/>
      <c r="T17" s="211"/>
      <c r="U17" s="211"/>
    </row>
    <row r="18" spans="1:21" ht="18" customHeight="1" x14ac:dyDescent="0.25">
      <c r="A18" s="900"/>
      <c r="B18" s="263" t="s">
        <v>323</v>
      </c>
      <c r="C18" s="213">
        <v>0</v>
      </c>
      <c r="D18" s="608">
        <v>0</v>
      </c>
      <c r="E18" s="608">
        <v>0</v>
      </c>
      <c r="F18" s="608">
        <v>0</v>
      </c>
      <c r="G18" s="608">
        <v>0</v>
      </c>
      <c r="H18" s="608">
        <v>0</v>
      </c>
      <c r="I18" s="608">
        <v>0</v>
      </c>
      <c r="J18" s="608">
        <v>89.575000000000003</v>
      </c>
      <c r="K18" s="608">
        <v>0</v>
      </c>
      <c r="L18" s="608">
        <v>0</v>
      </c>
      <c r="M18" s="608">
        <v>0</v>
      </c>
      <c r="N18" s="608">
        <v>668.59100000000001</v>
      </c>
      <c r="O18" s="659">
        <v>668.59100000000001</v>
      </c>
      <c r="P18" s="768">
        <f t="shared" si="11"/>
        <v>0</v>
      </c>
      <c r="Q18" s="211"/>
      <c r="R18" s="211"/>
      <c r="S18" s="211"/>
      <c r="T18" s="211"/>
      <c r="U18" s="211"/>
    </row>
    <row r="19" spans="1:21" ht="18" customHeight="1" thickBot="1" x14ac:dyDescent="0.3">
      <c r="A19" s="901"/>
      <c r="B19" s="265" t="s">
        <v>321</v>
      </c>
      <c r="C19" s="215">
        <v>75.197999999999993</v>
      </c>
      <c r="D19" s="610">
        <v>527.64200000000005</v>
      </c>
      <c r="E19" s="610">
        <v>45.972999999999999</v>
      </c>
      <c r="F19" s="610">
        <v>519.91600000000005</v>
      </c>
      <c r="G19" s="610">
        <v>1194.8430000000001</v>
      </c>
      <c r="H19" s="610">
        <v>59.896999999999998</v>
      </c>
      <c r="I19" s="610">
        <v>1165.2080000000001</v>
      </c>
      <c r="J19" s="610">
        <v>179.34200000000001</v>
      </c>
      <c r="K19" s="610">
        <v>40.405000000000001</v>
      </c>
      <c r="L19" s="610">
        <v>1454.5360000000001</v>
      </c>
      <c r="M19" s="610">
        <v>155.29599999999999</v>
      </c>
      <c r="N19" s="610">
        <v>868.25599999999997</v>
      </c>
      <c r="O19" s="659">
        <v>868.25599999999997</v>
      </c>
      <c r="P19" s="768">
        <f t="shared" si="11"/>
        <v>0</v>
      </c>
      <c r="Q19" s="211"/>
      <c r="R19" s="211"/>
      <c r="S19" s="211"/>
      <c r="T19" s="211"/>
      <c r="U19" s="211"/>
    </row>
    <row r="20" spans="1:21" ht="18" customHeight="1" x14ac:dyDescent="0.25">
      <c r="A20" s="890" t="s">
        <v>350</v>
      </c>
      <c r="B20" s="266" t="s">
        <v>369</v>
      </c>
      <c r="C20" s="212">
        <v>107.05800000000001</v>
      </c>
      <c r="D20" s="609">
        <f t="shared" ref="D20" si="24">+C21</f>
        <v>437.35300000000001</v>
      </c>
      <c r="E20" s="609">
        <f t="shared" ref="E20" si="25">+D21</f>
        <v>360.53800000000001</v>
      </c>
      <c r="F20" s="609">
        <f t="shared" ref="F20" si="26">+E21</f>
        <v>407.358</v>
      </c>
      <c r="G20" s="609">
        <f t="shared" ref="G20" si="27">+F21</f>
        <v>273.40199999999999</v>
      </c>
      <c r="H20" s="609">
        <f t="shared" ref="H20" si="28">+G21</f>
        <v>256.41899999999998</v>
      </c>
      <c r="I20" s="609">
        <f t="shared" ref="I20" si="29">+H21</f>
        <v>374.68599999999998</v>
      </c>
      <c r="J20" s="609">
        <f t="shared" ref="J20" si="30">+I21</f>
        <v>239.00399999999999</v>
      </c>
      <c r="K20" s="609">
        <f t="shared" ref="K20" si="31">+J21</f>
        <v>275.78300000000002</v>
      </c>
      <c r="L20" s="609">
        <f t="shared" ref="L20" si="32">+K21</f>
        <v>208.61199999999999</v>
      </c>
      <c r="M20" s="609">
        <f t="shared" ref="M20" si="33">+L21</f>
        <v>367.58300000000003</v>
      </c>
      <c r="N20" s="609">
        <f t="shared" ref="N20" si="34">+M21</f>
        <v>267.988</v>
      </c>
      <c r="O20" s="769">
        <v>267.988</v>
      </c>
      <c r="P20" s="768">
        <f t="shared" si="11"/>
        <v>0</v>
      </c>
    </row>
    <row r="21" spans="1:21" ht="18" customHeight="1" x14ac:dyDescent="0.25">
      <c r="A21" s="891"/>
      <c r="B21" s="263" t="s">
        <v>370</v>
      </c>
      <c r="C21" s="213">
        <v>437.35300000000001</v>
      </c>
      <c r="D21" s="608">
        <v>360.53800000000001</v>
      </c>
      <c r="E21" s="608">
        <v>407.358</v>
      </c>
      <c r="F21" s="608">
        <v>273.40199999999999</v>
      </c>
      <c r="G21" s="608">
        <v>256.41899999999998</v>
      </c>
      <c r="H21" s="608">
        <v>374.68599999999998</v>
      </c>
      <c r="I21" s="608">
        <v>239.00399999999999</v>
      </c>
      <c r="J21" s="608">
        <v>275.78300000000002</v>
      </c>
      <c r="K21" s="608">
        <v>208.61199999999999</v>
      </c>
      <c r="L21" s="608">
        <v>367.58300000000003</v>
      </c>
      <c r="M21" s="608">
        <v>267.988</v>
      </c>
      <c r="N21" s="608">
        <v>309.34800000000001</v>
      </c>
      <c r="O21" s="769">
        <v>309.34800000000001</v>
      </c>
      <c r="P21" s="768">
        <f t="shared" si="11"/>
        <v>0</v>
      </c>
    </row>
    <row r="22" spans="1:21" ht="18" customHeight="1" x14ac:dyDescent="0.25">
      <c r="A22" s="891"/>
      <c r="B22" s="263" t="s">
        <v>448</v>
      </c>
      <c r="C22" s="608">
        <v>969.6</v>
      </c>
      <c r="D22" s="608">
        <v>453.17</v>
      </c>
      <c r="E22" s="608">
        <v>1213.732</v>
      </c>
      <c r="F22" s="608">
        <v>649.29200000000003</v>
      </c>
      <c r="G22" s="608">
        <v>574.80399999999997</v>
      </c>
      <c r="H22" s="608">
        <v>840.48800000000006</v>
      </c>
      <c r="I22" s="608">
        <v>891.29600000000005</v>
      </c>
      <c r="J22" s="608">
        <v>503.404</v>
      </c>
      <c r="K22" s="608">
        <v>632.80700000000002</v>
      </c>
      <c r="L22" s="608">
        <v>796.90899999999999</v>
      </c>
      <c r="M22" s="608">
        <v>625.66399999999999</v>
      </c>
      <c r="N22" s="608">
        <v>444.24</v>
      </c>
      <c r="O22" s="615">
        <v>444.24</v>
      </c>
      <c r="P22" s="338">
        <f t="shared" si="11"/>
        <v>0</v>
      </c>
    </row>
    <row r="23" spans="1:21" ht="18" customHeight="1" x14ac:dyDescent="0.25">
      <c r="A23" s="891"/>
      <c r="B23" s="263" t="s">
        <v>284</v>
      </c>
      <c r="C23" s="213">
        <v>0</v>
      </c>
      <c r="D23" s="213">
        <v>0</v>
      </c>
      <c r="E23" s="213">
        <v>0</v>
      </c>
      <c r="F23" s="213">
        <v>0</v>
      </c>
      <c r="G23" s="213">
        <v>0</v>
      </c>
      <c r="H23" s="213">
        <v>0</v>
      </c>
      <c r="I23" s="213">
        <v>0</v>
      </c>
      <c r="J23" s="213">
        <v>0</v>
      </c>
      <c r="K23" s="213">
        <v>0</v>
      </c>
      <c r="L23" s="213">
        <v>0</v>
      </c>
      <c r="M23" s="213">
        <v>0</v>
      </c>
      <c r="N23" s="213">
        <v>0</v>
      </c>
      <c r="O23" s="615">
        <v>0</v>
      </c>
      <c r="P23" s="338">
        <f t="shared" si="11"/>
        <v>0</v>
      </c>
    </row>
    <row r="24" spans="1:21" ht="18" customHeight="1" x14ac:dyDescent="0.25">
      <c r="A24" s="891"/>
      <c r="B24" s="263" t="s">
        <v>445</v>
      </c>
      <c r="C24" s="213">
        <v>0</v>
      </c>
      <c r="D24" s="213">
        <v>0</v>
      </c>
      <c r="E24" s="213">
        <v>0</v>
      </c>
      <c r="F24" s="213">
        <v>0</v>
      </c>
      <c r="G24" s="213">
        <v>0</v>
      </c>
      <c r="H24" s="213">
        <v>0</v>
      </c>
      <c r="I24" s="213">
        <v>0</v>
      </c>
      <c r="J24" s="213">
        <v>0</v>
      </c>
      <c r="K24" s="213">
        <v>0</v>
      </c>
      <c r="L24" s="213">
        <v>0</v>
      </c>
      <c r="M24" s="213">
        <v>0</v>
      </c>
      <c r="N24" s="213">
        <v>0</v>
      </c>
      <c r="O24" s="615">
        <v>0</v>
      </c>
      <c r="P24" s="338">
        <f t="shared" si="11"/>
        <v>0</v>
      </c>
    </row>
    <row r="25" spans="1:21" ht="21" customHeight="1" thickBot="1" x14ac:dyDescent="0.3">
      <c r="A25" s="889"/>
      <c r="B25" s="264" t="s">
        <v>449</v>
      </c>
      <c r="C25" s="215">
        <v>638.95000000000005</v>
      </c>
      <c r="D25" s="215">
        <v>529.44000000000005</v>
      </c>
      <c r="E25" s="215">
        <v>1167.5999999999999</v>
      </c>
      <c r="F25" s="215">
        <v>783.8</v>
      </c>
      <c r="G25" s="215">
        <v>592.54999999999995</v>
      </c>
      <c r="H25" s="215">
        <v>722.71</v>
      </c>
      <c r="I25" s="215">
        <v>1027.56</v>
      </c>
      <c r="J25" s="215">
        <v>465.82</v>
      </c>
      <c r="K25" s="215">
        <v>700.88</v>
      </c>
      <c r="L25" s="215">
        <v>638.30999999999995</v>
      </c>
      <c r="M25" s="215">
        <v>725.94</v>
      </c>
      <c r="N25" s="215">
        <v>403.31</v>
      </c>
      <c r="O25" s="615">
        <v>403.31</v>
      </c>
      <c r="P25" s="338">
        <f t="shared" si="11"/>
        <v>0</v>
      </c>
    </row>
    <row r="26" spans="1:21" ht="18" customHeight="1" x14ac:dyDescent="0.25">
      <c r="A26" s="898" t="s">
        <v>184</v>
      </c>
      <c r="B26" s="266" t="s">
        <v>369</v>
      </c>
      <c r="C26" s="212">
        <v>338.15</v>
      </c>
      <c r="D26" s="212">
        <f t="shared" ref="D26" si="35">+C27</f>
        <v>264.57799999999997</v>
      </c>
      <c r="E26" s="212">
        <f t="shared" ref="E26" si="36">+D27</f>
        <v>413.27100000000002</v>
      </c>
      <c r="F26" s="212">
        <f t="shared" ref="F26" si="37">+E27</f>
        <v>449.33600000000001</v>
      </c>
      <c r="G26" s="212">
        <f t="shared" ref="G26" si="38">+F27</f>
        <v>395.74</v>
      </c>
      <c r="H26" s="212">
        <f t="shared" ref="H26" si="39">+G27</f>
        <v>334.01499999999999</v>
      </c>
      <c r="I26" s="212">
        <f t="shared" ref="I26" si="40">+H27</f>
        <v>455.52100000000002</v>
      </c>
      <c r="J26" s="212">
        <f t="shared" ref="J26" si="41">+I27</f>
        <v>374.00900000000001</v>
      </c>
      <c r="K26" s="212">
        <f t="shared" ref="K26" si="42">+J27</f>
        <v>455.52100000000002</v>
      </c>
      <c r="L26" s="212">
        <f t="shared" ref="L26" si="43">+K27</f>
        <v>350.80799999999999</v>
      </c>
      <c r="M26" s="212">
        <f t="shared" ref="M26" si="44">+L27</f>
        <v>242.95</v>
      </c>
      <c r="N26" s="212">
        <f t="shared" ref="N26" si="45">+M27</f>
        <v>424.00900000000001</v>
      </c>
      <c r="O26" s="615">
        <v>424.00900000000001</v>
      </c>
      <c r="P26" s="338">
        <f t="shared" si="11"/>
        <v>0</v>
      </c>
      <c r="Q26" s="211"/>
      <c r="R26" s="211"/>
      <c r="S26" s="211"/>
      <c r="T26" s="211"/>
      <c r="U26" s="211"/>
    </row>
    <row r="27" spans="1:21" ht="18" customHeight="1" x14ac:dyDescent="0.25">
      <c r="A27" s="900"/>
      <c r="B27" s="263" t="s">
        <v>370</v>
      </c>
      <c r="C27" s="213">
        <v>264.57799999999997</v>
      </c>
      <c r="D27" s="608">
        <v>413.27100000000002</v>
      </c>
      <c r="E27" s="608">
        <v>449.33600000000001</v>
      </c>
      <c r="F27" s="608">
        <v>395.74</v>
      </c>
      <c r="G27" s="608">
        <v>334.01499999999999</v>
      </c>
      <c r="H27" s="608">
        <v>455.52100000000002</v>
      </c>
      <c r="I27" s="608">
        <v>374.00900000000001</v>
      </c>
      <c r="J27" s="608">
        <v>455.52100000000002</v>
      </c>
      <c r="K27" s="608">
        <v>350.80799999999999</v>
      </c>
      <c r="L27" s="608">
        <v>242.95</v>
      </c>
      <c r="M27" s="608">
        <v>424.00900000000001</v>
      </c>
      <c r="N27" s="608">
        <v>425.88499999999999</v>
      </c>
      <c r="O27" s="659">
        <v>425.88499999999999</v>
      </c>
      <c r="P27" s="768">
        <f t="shared" si="11"/>
        <v>0</v>
      </c>
      <c r="Q27" s="211"/>
      <c r="R27" s="211"/>
      <c r="S27" s="211"/>
      <c r="T27" s="211"/>
      <c r="U27" s="211"/>
    </row>
    <row r="28" spans="1:21" ht="18" customHeight="1" x14ac:dyDescent="0.25">
      <c r="A28" s="900"/>
      <c r="B28" s="263" t="s">
        <v>60</v>
      </c>
      <c r="C28" s="213">
        <v>524.33000000000004</v>
      </c>
      <c r="D28" s="608">
        <v>684.31</v>
      </c>
      <c r="E28" s="608">
        <v>994.18</v>
      </c>
      <c r="F28" s="608">
        <v>648.92999999999995</v>
      </c>
      <c r="G28" s="608">
        <v>525.83000000000004</v>
      </c>
      <c r="H28" s="608">
        <v>1026.21</v>
      </c>
      <c r="I28" s="608">
        <v>843.66</v>
      </c>
      <c r="J28" s="608">
        <v>837.58</v>
      </c>
      <c r="K28" s="608">
        <v>710.27</v>
      </c>
      <c r="L28" s="608">
        <v>621.70000000000005</v>
      </c>
      <c r="M28" s="608">
        <v>1021.94</v>
      </c>
      <c r="N28" s="608">
        <v>981.8</v>
      </c>
      <c r="O28" s="659">
        <v>981.8</v>
      </c>
      <c r="P28" s="768">
        <f t="shared" si="11"/>
        <v>0</v>
      </c>
      <c r="Q28" s="211"/>
      <c r="R28" s="211"/>
      <c r="S28" s="211"/>
      <c r="T28" s="211"/>
      <c r="U28" s="211"/>
    </row>
    <row r="29" spans="1:21" ht="18" customHeight="1" x14ac:dyDescent="0.25">
      <c r="A29" s="900"/>
      <c r="B29" s="263" t="s">
        <v>322</v>
      </c>
      <c r="C29" s="608">
        <v>597.04999999999995</v>
      </c>
      <c r="D29" s="608">
        <v>536.09</v>
      </c>
      <c r="E29" s="608">
        <v>957.31</v>
      </c>
      <c r="F29" s="608">
        <v>701.96</v>
      </c>
      <c r="G29" s="608">
        <v>586.78</v>
      </c>
      <c r="H29" s="608">
        <v>903.84</v>
      </c>
      <c r="I29" s="608">
        <v>924.64</v>
      </c>
      <c r="J29" s="608">
        <v>739.94500000000005</v>
      </c>
      <c r="K29" s="608">
        <v>814.04</v>
      </c>
      <c r="L29" s="608">
        <v>728.68</v>
      </c>
      <c r="M29" s="608">
        <v>840.01</v>
      </c>
      <c r="N29" s="608">
        <v>884.71299999999997</v>
      </c>
      <c r="O29" s="659">
        <v>884.71299999999997</v>
      </c>
      <c r="P29" s="768">
        <f t="shared" si="11"/>
        <v>0</v>
      </c>
      <c r="Q29" s="211"/>
      <c r="R29" s="211"/>
      <c r="S29" s="211"/>
      <c r="T29" s="211"/>
      <c r="U29" s="211"/>
    </row>
    <row r="30" spans="1:21" ht="18" customHeight="1" x14ac:dyDescent="0.25">
      <c r="A30" s="900"/>
      <c r="B30" s="263" t="s">
        <v>323</v>
      </c>
      <c r="C30" s="608">
        <v>0</v>
      </c>
      <c r="D30" s="608">
        <v>0</v>
      </c>
      <c r="E30" s="608">
        <v>0</v>
      </c>
      <c r="F30" s="608">
        <v>0</v>
      </c>
      <c r="G30" s="608">
        <v>0</v>
      </c>
      <c r="H30" s="608">
        <v>0</v>
      </c>
      <c r="I30" s="608">
        <v>0</v>
      </c>
      <c r="J30" s="608">
        <v>15.115</v>
      </c>
      <c r="K30" s="608">
        <v>0</v>
      </c>
      <c r="L30" s="608">
        <v>0</v>
      </c>
      <c r="M30" s="608">
        <v>0</v>
      </c>
      <c r="N30" s="608">
        <v>94.247</v>
      </c>
      <c r="O30" s="659">
        <v>94.247</v>
      </c>
      <c r="P30" s="768">
        <f t="shared" si="11"/>
        <v>0</v>
      </c>
      <c r="Q30" s="211"/>
      <c r="R30" s="211"/>
      <c r="S30" s="211"/>
      <c r="T30" s="211"/>
      <c r="U30" s="211"/>
    </row>
    <row r="31" spans="1:21" ht="18" customHeight="1" x14ac:dyDescent="0.25">
      <c r="A31" s="900"/>
      <c r="B31" s="263" t="s">
        <v>502</v>
      </c>
      <c r="C31" s="213">
        <v>0</v>
      </c>
      <c r="D31" s="608">
        <v>0</v>
      </c>
      <c r="E31" s="608">
        <v>0</v>
      </c>
      <c r="F31" s="608">
        <v>0</v>
      </c>
      <c r="G31" s="608">
        <v>0</v>
      </c>
      <c r="H31" s="608">
        <v>0</v>
      </c>
      <c r="I31" s="608">
        <v>0</v>
      </c>
      <c r="J31" s="608">
        <v>0</v>
      </c>
      <c r="K31" s="608">
        <v>0</v>
      </c>
      <c r="L31" s="608">
        <v>0</v>
      </c>
      <c r="M31" s="608">
        <v>0</v>
      </c>
      <c r="N31" s="608">
        <v>0</v>
      </c>
      <c r="O31" s="659">
        <v>0</v>
      </c>
      <c r="P31" s="768">
        <f t="shared" si="11"/>
        <v>0</v>
      </c>
      <c r="Q31" s="211"/>
      <c r="R31" s="211"/>
      <c r="S31" s="211"/>
      <c r="T31" s="211"/>
      <c r="U31" s="211"/>
    </row>
    <row r="32" spans="1:21" ht="18" customHeight="1" thickBot="1" x14ac:dyDescent="0.3">
      <c r="A32" s="901"/>
      <c r="B32" s="267" t="s">
        <v>108</v>
      </c>
      <c r="C32" s="215">
        <f t="shared" ref="C32:J32" si="46">+C26+C28-C29-C27-C30+C31</f>
        <v>0.85200000000008913</v>
      </c>
      <c r="D32" s="610">
        <f t="shared" si="46"/>
        <v>-0.47300000000012687</v>
      </c>
      <c r="E32" s="610">
        <f t="shared" si="46"/>
        <v>0.80500000000006366</v>
      </c>
      <c r="F32" s="610">
        <f t="shared" si="46"/>
        <v>0.56600000000003092</v>
      </c>
      <c r="G32" s="610">
        <f t="shared" si="46"/>
        <v>0.77500000000009095</v>
      </c>
      <c r="H32" s="610">
        <f t="shared" si="46"/>
        <v>0.86399999999986221</v>
      </c>
      <c r="I32" s="610">
        <f t="shared" si="46"/>
        <v>0.53200000000003911</v>
      </c>
      <c r="J32" s="610">
        <f t="shared" si="46"/>
        <v>1.0079999999998766</v>
      </c>
      <c r="K32" s="610">
        <f>+K26+K28-K29-K27-K30+K31</f>
        <v>0.94299999999998363</v>
      </c>
      <c r="L32" s="610">
        <f>+L26+L28-L29-L27-L30+L31</f>
        <v>0.87800000000009959</v>
      </c>
      <c r="M32" s="610">
        <f>+M26+M28-M29-M27-M30+M31</f>
        <v>0.87100000000009459</v>
      </c>
      <c r="N32" s="610">
        <f>+N26+N28-N29-N27-N30+N31</f>
        <v>0.96400000000001285</v>
      </c>
      <c r="O32" s="659">
        <v>0.96400000000001285</v>
      </c>
      <c r="P32" s="768">
        <f t="shared" si="11"/>
        <v>0</v>
      </c>
      <c r="Q32" s="211"/>
      <c r="R32" s="211"/>
      <c r="S32" s="211"/>
      <c r="T32" s="211"/>
      <c r="U32" s="211"/>
    </row>
    <row r="33" spans="1:21" ht="18" customHeight="1" x14ac:dyDescent="0.25">
      <c r="A33" s="898" t="s">
        <v>348</v>
      </c>
      <c r="B33" s="266" t="s">
        <v>369</v>
      </c>
      <c r="C33" s="212">
        <v>220.994</v>
      </c>
      <c r="D33" s="609">
        <f t="shared" ref="D33" si="47">+C34</f>
        <v>237.154</v>
      </c>
      <c r="E33" s="609">
        <f t="shared" ref="E33" si="48">+D34</f>
        <v>193.42400000000001</v>
      </c>
      <c r="F33" s="609">
        <f t="shared" ref="F33" si="49">+E34</f>
        <v>154.67400000000001</v>
      </c>
      <c r="G33" s="609">
        <f t="shared" ref="G33" si="50">+F34</f>
        <v>151.684</v>
      </c>
      <c r="H33" s="609">
        <f t="shared" ref="H33" si="51">+G34</f>
        <v>162.864</v>
      </c>
      <c r="I33" s="609">
        <f t="shared" ref="I33" si="52">+H34</f>
        <v>189.60400000000001</v>
      </c>
      <c r="J33" s="609">
        <f t="shared" ref="J33" si="53">+I34</f>
        <v>162.26400000000001</v>
      </c>
      <c r="K33" s="609">
        <f t="shared" ref="K33" si="54">+J34</f>
        <v>162.10400000000001</v>
      </c>
      <c r="L33" s="609">
        <f t="shared" ref="L33" si="55">+K34</f>
        <v>121.764</v>
      </c>
      <c r="M33" s="609">
        <f t="shared" ref="M33" si="56">+L34</f>
        <v>192.22300000000001</v>
      </c>
      <c r="N33" s="609">
        <f t="shared" ref="N33" si="57">+M34</f>
        <v>171.839</v>
      </c>
      <c r="O33" s="659">
        <v>171.839</v>
      </c>
      <c r="P33" s="768">
        <f t="shared" si="11"/>
        <v>0</v>
      </c>
      <c r="Q33" s="211"/>
      <c r="R33" s="211"/>
      <c r="S33" s="211"/>
      <c r="T33" s="211"/>
      <c r="U33" s="211"/>
    </row>
    <row r="34" spans="1:21" ht="18" customHeight="1" x14ac:dyDescent="0.25">
      <c r="A34" s="900"/>
      <c r="B34" s="263" t="s">
        <v>370</v>
      </c>
      <c r="C34" s="213">
        <v>237.154</v>
      </c>
      <c r="D34" s="608">
        <v>193.42400000000001</v>
      </c>
      <c r="E34" s="608">
        <v>154.67400000000001</v>
      </c>
      <c r="F34" s="608">
        <v>151.684</v>
      </c>
      <c r="G34" s="608">
        <v>162.864</v>
      </c>
      <c r="H34" s="608">
        <v>189.60400000000001</v>
      </c>
      <c r="I34" s="608">
        <v>162.26400000000001</v>
      </c>
      <c r="J34" s="608">
        <v>162.10400000000001</v>
      </c>
      <c r="K34" s="608">
        <v>121.764</v>
      </c>
      <c r="L34" s="608">
        <v>192.22300000000001</v>
      </c>
      <c r="M34" s="608">
        <v>171.839</v>
      </c>
      <c r="N34" s="608">
        <v>194.75800000000001</v>
      </c>
      <c r="O34" s="659">
        <v>194.75800000000001</v>
      </c>
      <c r="P34" s="768">
        <f t="shared" si="11"/>
        <v>0</v>
      </c>
      <c r="Q34" s="211"/>
      <c r="R34" s="211"/>
      <c r="S34" s="211"/>
      <c r="T34" s="211"/>
      <c r="U34" s="211"/>
    </row>
    <row r="35" spans="1:21" ht="18" customHeight="1" x14ac:dyDescent="0.25">
      <c r="A35" s="900"/>
      <c r="B35" s="263" t="s">
        <v>322</v>
      </c>
      <c r="C35" s="213">
        <v>115.11</v>
      </c>
      <c r="D35" s="608">
        <v>109.86</v>
      </c>
      <c r="E35" s="608">
        <v>191.67</v>
      </c>
      <c r="F35" s="608">
        <v>156.29</v>
      </c>
      <c r="G35" s="608">
        <v>120.82</v>
      </c>
      <c r="H35" s="608">
        <v>177.16</v>
      </c>
      <c r="I35" s="608">
        <v>162.80000000000001</v>
      </c>
      <c r="J35" s="608">
        <v>132.66999999999999</v>
      </c>
      <c r="K35" s="608">
        <v>151.88</v>
      </c>
      <c r="L35" s="608">
        <v>131.31100000000001</v>
      </c>
      <c r="M35" s="608">
        <v>177.56399999999999</v>
      </c>
      <c r="N35" s="608">
        <v>179.37700000000001</v>
      </c>
      <c r="O35" s="659">
        <v>179.37700000000001</v>
      </c>
      <c r="P35" s="768">
        <f t="shared" si="11"/>
        <v>0</v>
      </c>
      <c r="Q35" s="211"/>
      <c r="R35" s="211"/>
      <c r="S35" s="211"/>
      <c r="T35" s="211"/>
      <c r="U35" s="211"/>
    </row>
    <row r="36" spans="1:21" ht="18" customHeight="1" x14ac:dyDescent="0.25">
      <c r="A36" s="900"/>
      <c r="B36" s="263" t="s">
        <v>323</v>
      </c>
      <c r="C36" s="213">
        <v>0</v>
      </c>
      <c r="D36" s="608">
        <v>0</v>
      </c>
      <c r="E36" s="608">
        <v>0</v>
      </c>
      <c r="F36" s="608">
        <v>0</v>
      </c>
      <c r="G36" s="608">
        <v>0</v>
      </c>
      <c r="H36" s="608">
        <v>0</v>
      </c>
      <c r="I36" s="608">
        <v>0</v>
      </c>
      <c r="J36" s="608">
        <v>1.55</v>
      </c>
      <c r="K36" s="608">
        <v>0</v>
      </c>
      <c r="L36" s="608">
        <v>0</v>
      </c>
      <c r="M36" s="608">
        <v>0</v>
      </c>
      <c r="N36" s="608">
        <v>14.784000000000001</v>
      </c>
      <c r="O36" s="659">
        <v>14.784000000000001</v>
      </c>
      <c r="P36" s="768">
        <f t="shared" si="11"/>
        <v>0</v>
      </c>
      <c r="Q36" s="211"/>
      <c r="R36" s="211"/>
      <c r="S36" s="211"/>
      <c r="T36" s="211"/>
      <c r="U36" s="211"/>
    </row>
    <row r="37" spans="1:21" ht="18" customHeight="1" x14ac:dyDescent="0.25">
      <c r="A37" s="900"/>
      <c r="B37" s="263" t="s">
        <v>60</v>
      </c>
      <c r="C37" s="213">
        <v>131.27000000000001</v>
      </c>
      <c r="D37" s="608">
        <v>66.13</v>
      </c>
      <c r="E37" s="608">
        <v>152.91999999999999</v>
      </c>
      <c r="F37" s="608">
        <v>153.30000000000001</v>
      </c>
      <c r="G37" s="608">
        <v>132</v>
      </c>
      <c r="H37" s="608">
        <v>203.9</v>
      </c>
      <c r="I37" s="608">
        <v>135.46</v>
      </c>
      <c r="J37" s="608">
        <v>134.06</v>
      </c>
      <c r="K37" s="608">
        <v>111.54</v>
      </c>
      <c r="L37" s="608">
        <v>201.77</v>
      </c>
      <c r="M37" s="608">
        <v>157.18</v>
      </c>
      <c r="N37" s="608">
        <v>217.08</v>
      </c>
      <c r="O37" s="659">
        <v>217.08</v>
      </c>
      <c r="P37" s="768">
        <f t="shared" si="11"/>
        <v>0</v>
      </c>
      <c r="Q37" s="211"/>
      <c r="R37" s="211"/>
      <c r="S37" s="211"/>
      <c r="T37" s="211"/>
      <c r="U37" s="211"/>
    </row>
    <row r="38" spans="1:21" ht="18" customHeight="1" thickBot="1" x14ac:dyDescent="0.3">
      <c r="A38" s="901"/>
      <c r="B38" s="267" t="s">
        <v>108</v>
      </c>
      <c r="C38" s="215">
        <f t="shared" ref="C38:J38" si="58">C33+C37-C35-C34-C36</f>
        <v>0</v>
      </c>
      <c r="D38" s="610">
        <f t="shared" si="58"/>
        <v>-2.8421709430404007E-14</v>
      </c>
      <c r="E38" s="610">
        <f t="shared" si="58"/>
        <v>0</v>
      </c>
      <c r="F38" s="610">
        <f t="shared" si="58"/>
        <v>5.6843418860808015E-14</v>
      </c>
      <c r="G38" s="610">
        <f t="shared" si="58"/>
        <v>-2.8421709430404007E-14</v>
      </c>
      <c r="H38" s="610">
        <f t="shared" si="58"/>
        <v>0</v>
      </c>
      <c r="I38" s="610">
        <f t="shared" si="58"/>
        <v>0</v>
      </c>
      <c r="J38" s="610">
        <f t="shared" si="58"/>
        <v>1.1324274851176597E-14</v>
      </c>
      <c r="K38" s="610">
        <f>K33+K37-K35-K34-K36</f>
        <v>1.4210854715202004E-14</v>
      </c>
      <c r="L38" s="610">
        <f>L33+L37-L35-L34-L36</f>
        <v>-2.8421709430404007E-14</v>
      </c>
      <c r="M38" s="610">
        <f>M33+M37-M35-M34-M36</f>
        <v>2.8421709430404007E-14</v>
      </c>
      <c r="N38" s="610">
        <f>N33+N37-N35-N34-N36</f>
        <v>-3.730349362740526E-14</v>
      </c>
      <c r="O38" s="659">
        <v>0</v>
      </c>
      <c r="P38" s="768">
        <f t="shared" si="11"/>
        <v>-3.730349362740526E-14</v>
      </c>
      <c r="Q38" s="211"/>
      <c r="R38" s="211"/>
      <c r="S38" s="211"/>
      <c r="T38" s="211"/>
      <c r="U38" s="211"/>
    </row>
    <row r="39" spans="1:21" ht="18" customHeight="1" x14ac:dyDescent="0.25">
      <c r="A39" s="898" t="s">
        <v>362</v>
      </c>
      <c r="B39" s="266" t="s">
        <v>369</v>
      </c>
      <c r="C39" s="212">
        <v>33.281999999999996</v>
      </c>
      <c r="D39" s="609">
        <f t="shared" ref="D39" si="59">+C40</f>
        <v>26.338999999999999</v>
      </c>
      <c r="E39" s="609">
        <f t="shared" ref="E39" si="60">+D40</f>
        <v>23.931999999999999</v>
      </c>
      <c r="F39" s="609">
        <f t="shared" ref="F39" si="61">+E40</f>
        <v>36.305999999999997</v>
      </c>
      <c r="G39" s="609">
        <f t="shared" ref="G39" si="62">+F40</f>
        <v>70.72</v>
      </c>
      <c r="H39" s="609">
        <f t="shared" ref="H39" si="63">+G40</f>
        <v>61.91</v>
      </c>
      <c r="I39" s="609">
        <f t="shared" ref="I39" si="64">+H40</f>
        <v>50.262999999999998</v>
      </c>
      <c r="J39" s="609">
        <f t="shared" ref="J39" si="65">+I40</f>
        <v>46.633000000000003</v>
      </c>
      <c r="K39" s="609">
        <f t="shared" ref="K39" si="66">+J40</f>
        <v>60.307000000000002</v>
      </c>
      <c r="L39" s="609">
        <f t="shared" ref="L39" si="67">+K40</f>
        <v>30.036000000000001</v>
      </c>
      <c r="M39" s="609">
        <f t="shared" ref="M39" si="68">+L40</f>
        <v>46.633000000000003</v>
      </c>
      <c r="N39" s="609">
        <f t="shared" ref="N39" si="69">+M40</f>
        <v>35.598999999999997</v>
      </c>
      <c r="O39" s="659">
        <v>35.598999999999997</v>
      </c>
      <c r="P39" s="768">
        <f t="shared" ref="P39:P70" si="70">N39-O39</f>
        <v>0</v>
      </c>
      <c r="Q39" s="211"/>
      <c r="R39" s="211"/>
      <c r="S39" s="211"/>
      <c r="T39" s="211"/>
      <c r="U39" s="211"/>
    </row>
    <row r="40" spans="1:21" ht="18" customHeight="1" x14ac:dyDescent="0.25">
      <c r="A40" s="900"/>
      <c r="B40" s="263" t="s">
        <v>370</v>
      </c>
      <c r="C40" s="213">
        <v>26.338999999999999</v>
      </c>
      <c r="D40" s="608">
        <v>23.931999999999999</v>
      </c>
      <c r="E40" s="608">
        <v>36.305999999999997</v>
      </c>
      <c r="F40" s="608">
        <v>70.72</v>
      </c>
      <c r="G40" s="608">
        <v>61.91</v>
      </c>
      <c r="H40" s="608">
        <v>50.262999999999998</v>
      </c>
      <c r="I40" s="608">
        <v>46.633000000000003</v>
      </c>
      <c r="J40" s="608">
        <v>60.307000000000002</v>
      </c>
      <c r="K40" s="608">
        <v>30.036000000000001</v>
      </c>
      <c r="L40" s="608">
        <v>46.633000000000003</v>
      </c>
      <c r="M40" s="608">
        <v>35.598999999999997</v>
      </c>
      <c r="N40" s="608">
        <v>46.633000000000003</v>
      </c>
      <c r="O40" s="659">
        <v>46.633000000000003</v>
      </c>
      <c r="P40" s="768">
        <f t="shared" si="70"/>
        <v>0</v>
      </c>
      <c r="Q40" s="211"/>
      <c r="R40" s="211"/>
      <c r="S40" s="211"/>
      <c r="T40" s="211"/>
      <c r="U40" s="211"/>
    </row>
    <row r="41" spans="1:21" ht="18" customHeight="1" x14ac:dyDescent="0.25">
      <c r="A41" s="900"/>
      <c r="B41" s="263" t="s">
        <v>514</v>
      </c>
      <c r="C41" s="608">
        <v>71.843000000000004</v>
      </c>
      <c r="D41" s="608">
        <v>68.466999999999999</v>
      </c>
      <c r="E41" s="608">
        <v>118.996</v>
      </c>
      <c r="F41" s="608">
        <v>96.945999999999998</v>
      </c>
      <c r="G41" s="608">
        <v>74.53</v>
      </c>
      <c r="H41" s="608">
        <v>109.28700000000001</v>
      </c>
      <c r="I41" s="608">
        <v>101.38</v>
      </c>
      <c r="J41" s="608">
        <v>83.495999999999995</v>
      </c>
      <c r="K41" s="608">
        <v>95.710999999999999</v>
      </c>
      <c r="L41" s="608">
        <v>82.332999999999998</v>
      </c>
      <c r="M41" s="608">
        <v>109.434</v>
      </c>
      <c r="N41" s="608">
        <v>111.20099999999999</v>
      </c>
      <c r="O41" s="659">
        <v>120.386</v>
      </c>
      <c r="P41" s="338">
        <f t="shared" si="70"/>
        <v>-9.1850000000000023</v>
      </c>
      <c r="Q41" s="211">
        <v>120.386</v>
      </c>
      <c r="R41" s="818">
        <f>(ROUND((13.3*$N$69),0))/1000</f>
        <v>111.20099999999999</v>
      </c>
      <c r="S41" s="211"/>
      <c r="T41" s="211"/>
      <c r="U41" s="211"/>
    </row>
    <row r="42" spans="1:21" s="614" customFormat="1" ht="18" customHeight="1" x14ac:dyDescent="0.25">
      <c r="A42" s="900"/>
      <c r="B42" s="263" t="s">
        <v>515</v>
      </c>
      <c r="C42" s="608">
        <v>0</v>
      </c>
      <c r="D42" s="608">
        <v>0</v>
      </c>
      <c r="E42" s="608">
        <v>0</v>
      </c>
      <c r="F42" s="608">
        <v>0</v>
      </c>
      <c r="G42" s="608">
        <v>0</v>
      </c>
      <c r="H42" s="608">
        <v>0</v>
      </c>
      <c r="I42" s="608">
        <v>0</v>
      </c>
      <c r="J42" s="608">
        <v>0</v>
      </c>
      <c r="K42" s="608">
        <v>0</v>
      </c>
      <c r="L42" s="608">
        <v>0</v>
      </c>
      <c r="M42" s="608">
        <v>0</v>
      </c>
      <c r="N42" s="608">
        <v>9.1850000000000023</v>
      </c>
      <c r="O42" s="615">
        <v>0</v>
      </c>
      <c r="P42" s="338">
        <f t="shared" si="70"/>
        <v>9.1850000000000023</v>
      </c>
      <c r="Q42" s="615"/>
      <c r="R42" s="818">
        <f>Q41-R41</f>
        <v>9.1850000000000023</v>
      </c>
      <c r="S42" s="615"/>
      <c r="T42" s="615"/>
      <c r="U42" s="615"/>
    </row>
    <row r="43" spans="1:21" ht="18" customHeight="1" x14ac:dyDescent="0.25">
      <c r="A43" s="900"/>
      <c r="B43" s="263" t="s">
        <v>60</v>
      </c>
      <c r="C43" s="213">
        <v>64.900000000000006</v>
      </c>
      <c r="D43" s="213">
        <v>66.06</v>
      </c>
      <c r="E43" s="213">
        <v>131.37</v>
      </c>
      <c r="F43" s="213">
        <v>131.36000000000001</v>
      </c>
      <c r="G43" s="213">
        <v>65.72</v>
      </c>
      <c r="H43" s="213">
        <v>97.64</v>
      </c>
      <c r="I43" s="213">
        <v>97.75</v>
      </c>
      <c r="J43" s="213">
        <v>97.17</v>
      </c>
      <c r="K43" s="213">
        <v>65.44</v>
      </c>
      <c r="L43" s="213">
        <v>98.93</v>
      </c>
      <c r="M43" s="213">
        <v>98.4</v>
      </c>
      <c r="N43" s="213">
        <v>131.41999999999999</v>
      </c>
      <c r="O43" s="659">
        <v>131.41999999999999</v>
      </c>
      <c r="P43" s="338">
        <f t="shared" si="70"/>
        <v>0</v>
      </c>
      <c r="Q43" s="211"/>
      <c r="R43" s="211"/>
      <c r="S43" s="211"/>
      <c r="T43" s="211"/>
      <c r="U43" s="211"/>
    </row>
    <row r="44" spans="1:21" ht="18" customHeight="1" thickBot="1" x14ac:dyDescent="0.3">
      <c r="A44" s="901"/>
      <c r="B44" s="267" t="s">
        <v>108</v>
      </c>
      <c r="C44" s="215">
        <f t="shared" ref="C44:J44" si="71">C39+C43-C41-C42-C40</f>
        <v>0</v>
      </c>
      <c r="D44" s="215">
        <f t="shared" si="71"/>
        <v>0</v>
      </c>
      <c r="E44" s="215">
        <f t="shared" si="71"/>
        <v>0</v>
      </c>
      <c r="F44" s="215">
        <f t="shared" si="71"/>
        <v>0</v>
      </c>
      <c r="G44" s="215">
        <f t="shared" si="71"/>
        <v>0</v>
      </c>
      <c r="H44" s="215">
        <f t="shared" si="71"/>
        <v>0</v>
      </c>
      <c r="I44" s="215">
        <f t="shared" si="71"/>
        <v>0</v>
      </c>
      <c r="J44" s="215">
        <f t="shared" si="71"/>
        <v>0</v>
      </c>
      <c r="K44" s="215">
        <f>K39+K43-K41-K42-K40</f>
        <v>0</v>
      </c>
      <c r="L44" s="215">
        <f>L39+L43-L41-L42-L40</f>
        <v>0</v>
      </c>
      <c r="M44" s="215">
        <f>M39+M43-M41-M42-M40</f>
        <v>0</v>
      </c>
      <c r="N44" s="215">
        <f>N39+N43-N41-N42-N40</f>
        <v>0</v>
      </c>
      <c r="O44" s="615">
        <v>0</v>
      </c>
      <c r="P44" s="338">
        <f t="shared" si="70"/>
        <v>0</v>
      </c>
      <c r="Q44" s="211"/>
      <c r="R44" s="211"/>
      <c r="S44" s="211"/>
      <c r="T44" s="211"/>
      <c r="U44" s="211"/>
    </row>
    <row r="45" spans="1:21" ht="18" customHeight="1" x14ac:dyDescent="0.25">
      <c r="A45" s="898" t="s">
        <v>361</v>
      </c>
      <c r="B45" s="266" t="s">
        <v>369</v>
      </c>
      <c r="C45" s="212">
        <v>9.4109999999999996</v>
      </c>
      <c r="D45" s="212">
        <f t="shared" ref="D45" si="72">+C46</f>
        <v>12.519</v>
      </c>
      <c r="E45" s="212">
        <f t="shared" ref="E45" si="73">+D46</f>
        <v>8.6639999999999997</v>
      </c>
      <c r="F45" s="212">
        <f t="shared" ref="F45" si="74">+E46</f>
        <v>9.6739999999999995</v>
      </c>
      <c r="G45" s="212">
        <f t="shared" ref="G45" si="75">+F46</f>
        <v>11.077999999999999</v>
      </c>
      <c r="H45" s="212">
        <f t="shared" ref="H45" si="76">+G46</f>
        <v>13.217000000000001</v>
      </c>
      <c r="I45" s="212">
        <f t="shared" ref="I45" si="77">+H46</f>
        <v>13.525</v>
      </c>
      <c r="J45" s="212">
        <f t="shared" ref="J45" si="78">+I46</f>
        <v>13.534000000000001</v>
      </c>
      <c r="K45" s="212">
        <f t="shared" ref="K45" si="79">+J46</f>
        <v>7.726</v>
      </c>
      <c r="L45" s="212">
        <f t="shared" ref="L45" si="80">+K46</f>
        <v>7.9480000000000004</v>
      </c>
      <c r="M45" s="212">
        <f t="shared" ref="M45" si="81">+L46</f>
        <v>8.94</v>
      </c>
      <c r="N45" s="212">
        <f t="shared" ref="N45" si="82">+M46</f>
        <v>7.4269999999999996</v>
      </c>
      <c r="O45" s="615">
        <v>7.4269999999999996</v>
      </c>
      <c r="P45" s="338">
        <f t="shared" si="70"/>
        <v>0</v>
      </c>
      <c r="Q45" s="211"/>
      <c r="R45" s="211"/>
      <c r="S45" s="211"/>
      <c r="T45" s="211"/>
      <c r="U45" s="211"/>
    </row>
    <row r="46" spans="1:21" ht="18" customHeight="1" x14ac:dyDescent="0.25">
      <c r="A46" s="900"/>
      <c r="B46" s="263" t="s">
        <v>370</v>
      </c>
      <c r="C46" s="214">
        <v>12.519</v>
      </c>
      <c r="D46" s="770">
        <v>8.6639999999999997</v>
      </c>
      <c r="E46" s="770">
        <v>9.6739999999999995</v>
      </c>
      <c r="F46" s="770">
        <v>11.077999999999999</v>
      </c>
      <c r="G46" s="770">
        <v>13.217000000000001</v>
      </c>
      <c r="H46" s="770">
        <v>13.525</v>
      </c>
      <c r="I46" s="770">
        <v>13.534000000000001</v>
      </c>
      <c r="J46" s="770">
        <v>7.726</v>
      </c>
      <c r="K46" s="770">
        <v>7.9480000000000004</v>
      </c>
      <c r="L46" s="770">
        <v>8.94</v>
      </c>
      <c r="M46" s="770">
        <v>7.4269999999999996</v>
      </c>
      <c r="N46" s="770">
        <v>12.853999999999999</v>
      </c>
      <c r="O46" s="659">
        <v>12.853999999999999</v>
      </c>
      <c r="P46" s="768">
        <f t="shared" si="70"/>
        <v>0</v>
      </c>
      <c r="Q46" s="211"/>
      <c r="R46" s="211"/>
      <c r="S46" s="211"/>
      <c r="T46" s="211"/>
      <c r="U46" s="211"/>
    </row>
    <row r="47" spans="1:21" ht="18" customHeight="1" x14ac:dyDescent="0.25">
      <c r="A47" s="900"/>
      <c r="B47" s="263" t="s">
        <v>514</v>
      </c>
      <c r="C47" s="608">
        <v>4.9119999999999999</v>
      </c>
      <c r="D47" s="608">
        <v>3.855</v>
      </c>
      <c r="E47" s="608">
        <v>6.99</v>
      </c>
      <c r="F47" s="608">
        <v>6.5659999999999998</v>
      </c>
      <c r="G47" s="608">
        <v>5.5910000000000002</v>
      </c>
      <c r="H47" s="608">
        <v>7.6020000000000003</v>
      </c>
      <c r="I47" s="608">
        <v>7.9610000000000003</v>
      </c>
      <c r="J47" s="608">
        <v>5.8079999999999998</v>
      </c>
      <c r="K47" s="608">
        <v>7.7679999999999998</v>
      </c>
      <c r="L47" s="608">
        <v>6.9779999999999998</v>
      </c>
      <c r="M47" s="608">
        <v>9.4930000000000003</v>
      </c>
      <c r="N47" s="608">
        <v>9.6150000000000002</v>
      </c>
      <c r="O47" s="615">
        <v>10.563000000000001</v>
      </c>
      <c r="P47" s="338">
        <f t="shared" si="70"/>
        <v>-0.9480000000000004</v>
      </c>
      <c r="Q47" s="211">
        <v>10.563000000000001</v>
      </c>
      <c r="R47" s="818">
        <f>(ROUND((1.15*$N$69),0))/1000</f>
        <v>9.6150000000000002</v>
      </c>
      <c r="S47" s="211"/>
      <c r="T47" s="211"/>
      <c r="U47" s="211"/>
    </row>
    <row r="48" spans="1:21" s="614" customFormat="1" ht="18" customHeight="1" x14ac:dyDescent="0.25">
      <c r="A48" s="900"/>
      <c r="B48" s="263" t="s">
        <v>515</v>
      </c>
      <c r="C48" s="608">
        <v>0</v>
      </c>
      <c r="D48" s="608">
        <v>0</v>
      </c>
      <c r="E48" s="608">
        <v>0</v>
      </c>
      <c r="F48" s="608">
        <v>0</v>
      </c>
      <c r="G48" s="608">
        <v>0</v>
      </c>
      <c r="H48" s="608">
        <v>0</v>
      </c>
      <c r="I48" s="608">
        <v>0</v>
      </c>
      <c r="J48" s="608">
        <v>0</v>
      </c>
      <c r="K48" s="608">
        <v>0</v>
      </c>
      <c r="L48" s="608">
        <v>0</v>
      </c>
      <c r="M48" s="608">
        <v>0</v>
      </c>
      <c r="N48" s="608">
        <v>0.9480000000000004</v>
      </c>
      <c r="O48" s="615">
        <v>0</v>
      </c>
      <c r="P48" s="338">
        <f t="shared" si="70"/>
        <v>0.9480000000000004</v>
      </c>
      <c r="Q48" s="615"/>
      <c r="R48" s="818">
        <f>Q47-R47</f>
        <v>0.9480000000000004</v>
      </c>
      <c r="S48" s="615"/>
      <c r="T48" s="615"/>
      <c r="U48" s="615"/>
    </row>
    <row r="49" spans="1:21" ht="18" customHeight="1" x14ac:dyDescent="0.25">
      <c r="A49" s="900"/>
      <c r="B49" s="263" t="s">
        <v>60</v>
      </c>
      <c r="C49" s="213">
        <v>8.02</v>
      </c>
      <c r="D49" s="213">
        <v>0</v>
      </c>
      <c r="E49" s="213">
        <v>8</v>
      </c>
      <c r="F49" s="213">
        <v>7.97</v>
      </c>
      <c r="G49" s="213">
        <v>7.73</v>
      </c>
      <c r="H49" s="213">
        <v>7.91</v>
      </c>
      <c r="I49" s="213">
        <v>7.97</v>
      </c>
      <c r="J49" s="213">
        <v>0</v>
      </c>
      <c r="K49" s="213">
        <v>7.99</v>
      </c>
      <c r="L49" s="213">
        <v>7.97</v>
      </c>
      <c r="M49" s="213">
        <v>7.98</v>
      </c>
      <c r="N49" s="213">
        <v>15.99</v>
      </c>
      <c r="O49" s="615">
        <v>15.99</v>
      </c>
      <c r="P49" s="338">
        <f t="shared" si="70"/>
        <v>0</v>
      </c>
      <c r="Q49" s="211"/>
      <c r="R49" s="211"/>
      <c r="S49" s="211"/>
      <c r="T49" s="211"/>
      <c r="U49" s="211"/>
    </row>
    <row r="50" spans="1:21" ht="18" customHeight="1" thickBot="1" x14ac:dyDescent="0.3">
      <c r="A50" s="901"/>
      <c r="B50" s="267" t="s">
        <v>108</v>
      </c>
      <c r="C50" s="215">
        <f t="shared" ref="C50:J50" si="83">C45+C49-C47-C48-C46</f>
        <v>0</v>
      </c>
      <c r="D50" s="215">
        <f t="shared" si="83"/>
        <v>0</v>
      </c>
      <c r="E50" s="215">
        <f t="shared" si="83"/>
        <v>0</v>
      </c>
      <c r="F50" s="215">
        <f t="shared" si="83"/>
        <v>0</v>
      </c>
      <c r="G50" s="215">
        <f t="shared" si="83"/>
        <v>0</v>
      </c>
      <c r="H50" s="215">
        <f t="shared" si="83"/>
        <v>0</v>
      </c>
      <c r="I50" s="215">
        <f t="shared" si="83"/>
        <v>0</v>
      </c>
      <c r="J50" s="215">
        <f t="shared" si="83"/>
        <v>0</v>
      </c>
      <c r="K50" s="215">
        <f>K45+K49-K47-K48-K46</f>
        <v>0</v>
      </c>
      <c r="L50" s="215">
        <f>L45+L49-L47-L48-L46</f>
        <v>0</v>
      </c>
      <c r="M50" s="215">
        <f>M45+M49-M47-M48-M46</f>
        <v>0</v>
      </c>
      <c r="N50" s="215">
        <f>N45+N49-N47-N48-N46</f>
        <v>0</v>
      </c>
      <c r="O50" s="615">
        <v>0</v>
      </c>
      <c r="P50" s="338">
        <f t="shared" si="70"/>
        <v>0</v>
      </c>
      <c r="Q50" s="211"/>
      <c r="R50" s="211"/>
      <c r="S50" s="211"/>
      <c r="T50" s="211"/>
      <c r="U50" s="211"/>
    </row>
    <row r="51" spans="1:21" ht="18" customHeight="1" x14ac:dyDescent="0.25">
      <c r="A51" s="898" t="s">
        <v>360</v>
      </c>
      <c r="B51" s="266" t="s">
        <v>369</v>
      </c>
      <c r="C51" s="212">
        <v>18.125</v>
      </c>
      <c r="D51" s="212">
        <f t="shared" ref="D51" si="84">+C52</f>
        <v>14.525</v>
      </c>
      <c r="E51" s="212">
        <f t="shared" ref="E51" si="85">+D52</f>
        <v>12</v>
      </c>
      <c r="F51" s="212">
        <f t="shared" ref="F51" si="86">+E52</f>
        <v>7.25</v>
      </c>
      <c r="G51" s="212">
        <f t="shared" ref="G51" si="87">+F52</f>
        <v>10</v>
      </c>
      <c r="H51" s="212">
        <f t="shared" ref="H51" si="88">+G52</f>
        <v>7.2</v>
      </c>
      <c r="I51" s="212">
        <f t="shared" ref="I51" si="89">+H52</f>
        <v>10.775</v>
      </c>
      <c r="J51" s="212">
        <f t="shared" ref="J51" si="90">+I52</f>
        <v>5.0250000000000004</v>
      </c>
      <c r="K51" s="212">
        <f t="shared" ref="K51" si="91">+J52</f>
        <v>10.074999999999999</v>
      </c>
      <c r="L51" s="212">
        <f t="shared" ref="L51" si="92">+K52</f>
        <v>13.675000000000001</v>
      </c>
      <c r="M51" s="212">
        <f t="shared" ref="M51" si="93">+L52</f>
        <v>11.875</v>
      </c>
      <c r="N51" s="212">
        <f t="shared" ref="N51" si="94">+M52</f>
        <v>4.2</v>
      </c>
      <c r="O51" s="615">
        <v>4.2</v>
      </c>
      <c r="P51" s="338">
        <f t="shared" si="70"/>
        <v>0</v>
      </c>
      <c r="Q51" s="211"/>
      <c r="R51" s="211"/>
      <c r="S51" s="211"/>
      <c r="T51" s="211"/>
      <c r="U51" s="211"/>
    </row>
    <row r="52" spans="1:21" ht="18" customHeight="1" x14ac:dyDescent="0.25">
      <c r="A52" s="900"/>
      <c r="B52" s="263" t="s">
        <v>370</v>
      </c>
      <c r="C52" s="608">
        <v>14.525</v>
      </c>
      <c r="D52" s="608">
        <v>12</v>
      </c>
      <c r="E52" s="608">
        <v>7.25</v>
      </c>
      <c r="F52" s="608">
        <v>10</v>
      </c>
      <c r="G52" s="608">
        <v>7.2</v>
      </c>
      <c r="H52" s="608">
        <v>10.775</v>
      </c>
      <c r="I52" s="608">
        <v>5.0250000000000004</v>
      </c>
      <c r="J52" s="608">
        <v>10.074999999999999</v>
      </c>
      <c r="K52" s="608">
        <v>13.675000000000001</v>
      </c>
      <c r="L52" s="608">
        <v>11.875</v>
      </c>
      <c r="M52" s="608">
        <v>4.2</v>
      </c>
      <c r="N52" s="608">
        <v>3.8</v>
      </c>
      <c r="O52" s="615">
        <v>3.8</v>
      </c>
      <c r="P52" s="338">
        <f t="shared" si="70"/>
        <v>0</v>
      </c>
      <c r="Q52" s="211"/>
      <c r="R52" s="211"/>
      <c r="S52" s="211"/>
      <c r="T52" s="211"/>
      <c r="U52" s="211"/>
    </row>
    <row r="53" spans="1:21" ht="18" customHeight="1" x14ac:dyDescent="0.25">
      <c r="A53" s="900"/>
      <c r="B53" s="263" t="s">
        <v>514</v>
      </c>
      <c r="C53" s="608">
        <v>3.6</v>
      </c>
      <c r="D53" s="608">
        <v>2.5249999999999999</v>
      </c>
      <c r="E53" s="608">
        <v>4.75</v>
      </c>
      <c r="F53" s="608">
        <v>4</v>
      </c>
      <c r="G53" s="608">
        <v>3.55</v>
      </c>
      <c r="H53" s="608">
        <v>6.4249999999999998</v>
      </c>
      <c r="I53" s="608">
        <v>5.75</v>
      </c>
      <c r="J53" s="608">
        <v>4.95</v>
      </c>
      <c r="K53" s="608">
        <v>6.4</v>
      </c>
      <c r="L53" s="608">
        <v>6.3</v>
      </c>
      <c r="M53" s="608">
        <v>11.975</v>
      </c>
      <c r="N53" s="608">
        <v>8.6</v>
      </c>
      <c r="O53" s="615">
        <v>8.6</v>
      </c>
      <c r="P53" s="338">
        <f t="shared" si="70"/>
        <v>0</v>
      </c>
      <c r="Q53" s="211"/>
      <c r="R53" s="211"/>
      <c r="S53" s="211"/>
      <c r="T53" s="211"/>
      <c r="U53" s="211"/>
    </row>
    <row r="54" spans="1:21" s="614" customFormat="1" ht="18" customHeight="1" x14ac:dyDescent="0.25">
      <c r="A54" s="900"/>
      <c r="B54" s="263" t="s">
        <v>515</v>
      </c>
      <c r="C54" s="608">
        <v>0</v>
      </c>
      <c r="D54" s="608">
        <v>0</v>
      </c>
      <c r="E54" s="608">
        <v>0</v>
      </c>
      <c r="F54" s="608">
        <v>0</v>
      </c>
      <c r="G54" s="608">
        <v>0</v>
      </c>
      <c r="H54" s="608">
        <v>0</v>
      </c>
      <c r="I54" s="608">
        <v>0</v>
      </c>
      <c r="J54" s="608">
        <v>0</v>
      </c>
      <c r="K54" s="608">
        <v>0</v>
      </c>
      <c r="L54" s="608">
        <v>0</v>
      </c>
      <c r="M54" s="608">
        <v>0</v>
      </c>
      <c r="N54" s="608">
        <v>0.4</v>
      </c>
      <c r="O54" s="615">
        <v>0.4</v>
      </c>
      <c r="P54" s="338">
        <f t="shared" si="70"/>
        <v>0</v>
      </c>
      <c r="Q54" s="615"/>
      <c r="R54" s="615"/>
      <c r="S54" s="615"/>
      <c r="T54" s="615"/>
      <c r="U54" s="615"/>
    </row>
    <row r="55" spans="1:21" ht="18" customHeight="1" x14ac:dyDescent="0.25">
      <c r="A55" s="900"/>
      <c r="B55" s="263" t="s">
        <v>60</v>
      </c>
      <c r="C55" s="213">
        <v>0</v>
      </c>
      <c r="D55" s="213">
        <v>0</v>
      </c>
      <c r="E55" s="213">
        <v>0</v>
      </c>
      <c r="F55" s="213">
        <v>6.75</v>
      </c>
      <c r="G55" s="213">
        <v>0.75</v>
      </c>
      <c r="H55" s="213">
        <v>10</v>
      </c>
      <c r="I55" s="213">
        <v>0</v>
      </c>
      <c r="J55" s="213">
        <v>10</v>
      </c>
      <c r="K55" s="213">
        <v>10</v>
      </c>
      <c r="L55" s="213">
        <v>4.5</v>
      </c>
      <c r="M55" s="213">
        <v>4.3</v>
      </c>
      <c r="N55" s="213">
        <v>8.6</v>
      </c>
      <c r="O55" s="615">
        <v>8.6</v>
      </c>
      <c r="P55" s="338">
        <f t="shared" si="70"/>
        <v>0</v>
      </c>
      <c r="Q55" s="211"/>
      <c r="R55" s="211"/>
      <c r="S55" s="211"/>
      <c r="T55" s="211"/>
      <c r="U55" s="211"/>
    </row>
    <row r="56" spans="1:21" ht="18" customHeight="1" thickBot="1" x14ac:dyDescent="0.3">
      <c r="A56" s="901"/>
      <c r="B56" s="267" t="s">
        <v>108</v>
      </c>
      <c r="C56" s="215">
        <f t="shared" ref="C56:J56" si="95">C51+C55-C53-C54-C52</f>
        <v>0</v>
      </c>
      <c r="D56" s="215">
        <f t="shared" si="95"/>
        <v>0</v>
      </c>
      <c r="E56" s="215">
        <f t="shared" si="95"/>
        <v>0</v>
      </c>
      <c r="F56" s="215">
        <f t="shared" si="95"/>
        <v>0</v>
      </c>
      <c r="G56" s="215">
        <f t="shared" si="95"/>
        <v>0</v>
      </c>
      <c r="H56" s="215">
        <f t="shared" si="95"/>
        <v>0</v>
      </c>
      <c r="I56" s="215">
        <f t="shared" si="95"/>
        <v>0</v>
      </c>
      <c r="J56" s="215">
        <f t="shared" si="95"/>
        <v>0</v>
      </c>
      <c r="K56" s="215">
        <f>K51+K55-K53-K54-K52</f>
        <v>0</v>
      </c>
      <c r="L56" s="215">
        <f>L51+L55-L53-L54-L52</f>
        <v>0</v>
      </c>
      <c r="M56" s="215">
        <f>M51+M55-M53-M54-M52</f>
        <v>0</v>
      </c>
      <c r="N56" s="215">
        <f>N51+N55-N53-N54-N52</f>
        <v>0</v>
      </c>
      <c r="O56" s="615">
        <v>0</v>
      </c>
      <c r="P56" s="338">
        <f t="shared" si="70"/>
        <v>0</v>
      </c>
      <c r="Q56" s="211"/>
      <c r="R56" s="211"/>
      <c r="S56" s="211"/>
      <c r="T56" s="211"/>
      <c r="U56" s="211"/>
    </row>
    <row r="57" spans="1:21" ht="18" customHeight="1" x14ac:dyDescent="0.25">
      <c r="A57" s="913" t="s">
        <v>359</v>
      </c>
      <c r="B57" s="263" t="s">
        <v>369</v>
      </c>
      <c r="C57" s="212">
        <v>12.51</v>
      </c>
      <c r="D57" s="212">
        <f t="shared" ref="D57" si="96">+C58</f>
        <v>11.21</v>
      </c>
      <c r="E57" s="212">
        <f t="shared" ref="E57" si="97">+D58</f>
        <v>14.45</v>
      </c>
      <c r="F57" s="212">
        <f t="shared" ref="F57" si="98">+E58</f>
        <v>8.24</v>
      </c>
      <c r="G57" s="212">
        <f t="shared" ref="G57" si="99">+F58</f>
        <v>16.850000000000001</v>
      </c>
      <c r="H57" s="212">
        <f t="shared" ref="H57" si="100">+G58</f>
        <v>12.65</v>
      </c>
      <c r="I57" s="212">
        <f t="shared" ref="I57" si="101">+H58</f>
        <v>12.82</v>
      </c>
      <c r="J57" s="212">
        <f t="shared" ref="J57" si="102">+I58</f>
        <v>16.100000000000001</v>
      </c>
      <c r="K57" s="212">
        <f t="shared" ref="K57" si="103">+J58</f>
        <v>7.14</v>
      </c>
      <c r="L57" s="212">
        <f t="shared" ref="L57" si="104">+K58</f>
        <v>5.13</v>
      </c>
      <c r="M57" s="212">
        <f t="shared" ref="M57" si="105">+L58</f>
        <v>10.91</v>
      </c>
      <c r="N57" s="212">
        <f t="shared" ref="N57" si="106">+M58</f>
        <v>3.55</v>
      </c>
      <c r="O57" s="615">
        <v>3.55</v>
      </c>
      <c r="P57" s="338">
        <f t="shared" si="70"/>
        <v>0</v>
      </c>
      <c r="Q57" s="211"/>
      <c r="R57" s="211"/>
      <c r="S57" s="211"/>
      <c r="T57" s="211"/>
      <c r="U57" s="211"/>
    </row>
    <row r="58" spans="1:21" ht="18" customHeight="1" x14ac:dyDescent="0.25">
      <c r="A58" s="914"/>
      <c r="B58" s="263" t="s">
        <v>370</v>
      </c>
      <c r="C58" s="213">
        <v>11.21</v>
      </c>
      <c r="D58" s="213">
        <v>14.45</v>
      </c>
      <c r="E58" s="213">
        <v>8.24</v>
      </c>
      <c r="F58" s="213">
        <v>16.850000000000001</v>
      </c>
      <c r="G58" s="213">
        <v>12.65</v>
      </c>
      <c r="H58" s="213">
        <v>12.82</v>
      </c>
      <c r="I58" s="213">
        <v>16.100000000000001</v>
      </c>
      <c r="J58" s="213">
        <v>7.14</v>
      </c>
      <c r="K58" s="213">
        <v>5.13</v>
      </c>
      <c r="L58" s="213">
        <v>10.91</v>
      </c>
      <c r="M58" s="213">
        <v>3.55</v>
      </c>
      <c r="N58" s="213">
        <v>12.59</v>
      </c>
      <c r="O58" s="615">
        <v>12.59</v>
      </c>
      <c r="P58" s="338">
        <f t="shared" si="70"/>
        <v>0</v>
      </c>
      <c r="Q58" s="211"/>
      <c r="R58" s="211"/>
      <c r="S58" s="211"/>
      <c r="T58" s="211"/>
      <c r="U58" s="211"/>
    </row>
    <row r="59" spans="1:21" ht="18" customHeight="1" x14ac:dyDescent="0.25">
      <c r="A59" s="914"/>
      <c r="B59" s="263" t="s">
        <v>447</v>
      </c>
      <c r="C59" s="213">
        <v>11.42</v>
      </c>
      <c r="D59" s="213">
        <v>10.02</v>
      </c>
      <c r="E59" s="213">
        <v>16.690000000000001</v>
      </c>
      <c r="F59" s="213">
        <v>15</v>
      </c>
      <c r="G59" s="213">
        <v>15.43</v>
      </c>
      <c r="H59" s="213">
        <v>22</v>
      </c>
      <c r="I59" s="213">
        <v>21.91</v>
      </c>
      <c r="J59" s="213">
        <v>21.03</v>
      </c>
      <c r="K59" s="213">
        <v>21.87</v>
      </c>
      <c r="L59" s="213">
        <v>18.18</v>
      </c>
      <c r="M59" s="213">
        <v>19.739999999999998</v>
      </c>
      <c r="N59" s="213">
        <v>20.81</v>
      </c>
      <c r="O59" s="615">
        <v>20.81</v>
      </c>
      <c r="P59" s="338">
        <f t="shared" si="70"/>
        <v>0</v>
      </c>
      <c r="Q59" s="211"/>
      <c r="R59" s="211"/>
      <c r="S59" s="211"/>
      <c r="T59" s="211"/>
      <c r="U59" s="211"/>
    </row>
    <row r="60" spans="1:21" ht="18" customHeight="1" x14ac:dyDescent="0.25">
      <c r="A60" s="914"/>
      <c r="B60" s="263" t="s">
        <v>60</v>
      </c>
      <c r="C60" s="213">
        <v>10.119999999999999</v>
      </c>
      <c r="D60" s="213">
        <v>13.26</v>
      </c>
      <c r="E60" s="213">
        <v>10.48</v>
      </c>
      <c r="F60" s="213">
        <v>23.61</v>
      </c>
      <c r="G60" s="213">
        <v>11.23</v>
      </c>
      <c r="H60" s="213">
        <v>22.17</v>
      </c>
      <c r="I60" s="213">
        <v>25.19</v>
      </c>
      <c r="J60" s="213">
        <v>12.07</v>
      </c>
      <c r="K60" s="213">
        <v>19.86</v>
      </c>
      <c r="L60" s="213">
        <v>23.96</v>
      </c>
      <c r="M60" s="213">
        <v>12.38</v>
      </c>
      <c r="N60" s="213">
        <v>29.85</v>
      </c>
      <c r="O60" s="615">
        <v>29.85</v>
      </c>
      <c r="P60" s="338">
        <f t="shared" si="70"/>
        <v>0</v>
      </c>
      <c r="Q60" s="211"/>
      <c r="R60" s="211"/>
      <c r="S60" s="211"/>
      <c r="T60" s="211"/>
      <c r="U60" s="211"/>
    </row>
    <row r="61" spans="1:21" ht="18" customHeight="1" thickBot="1" x14ac:dyDescent="0.3">
      <c r="A61" s="915"/>
      <c r="B61" s="267" t="s">
        <v>108</v>
      </c>
      <c r="C61" s="215">
        <f t="shared" ref="C61:J61" si="107">+C58-(C57-C59+C60)</f>
        <v>0</v>
      </c>
      <c r="D61" s="215">
        <f t="shared" si="107"/>
        <v>0</v>
      </c>
      <c r="E61" s="215">
        <f t="shared" si="107"/>
        <v>0</v>
      </c>
      <c r="F61" s="215">
        <f t="shared" si="107"/>
        <v>0</v>
      </c>
      <c r="G61" s="215">
        <f t="shared" si="107"/>
        <v>0</v>
      </c>
      <c r="H61" s="215">
        <f t="shared" si="107"/>
        <v>0</v>
      </c>
      <c r="I61" s="215">
        <f t="shared" si="107"/>
        <v>0</v>
      </c>
      <c r="J61" s="215">
        <f t="shared" si="107"/>
        <v>0</v>
      </c>
      <c r="K61" s="215">
        <f>+K58-(K57-K59+K60)</f>
        <v>0</v>
      </c>
      <c r="L61" s="215">
        <f>+L58-(L57-L59+L60)</f>
        <v>0</v>
      </c>
      <c r="M61" s="215">
        <f>+M58-(M57-M59+M60)</f>
        <v>0</v>
      </c>
      <c r="N61" s="215">
        <f>+N58-(N57-N59+N60)</f>
        <v>0</v>
      </c>
      <c r="O61" s="615">
        <v>0</v>
      </c>
      <c r="P61" s="338">
        <f t="shared" si="70"/>
        <v>0</v>
      </c>
      <c r="Q61" s="211"/>
      <c r="R61" s="211"/>
      <c r="S61" s="211"/>
      <c r="T61" s="211"/>
      <c r="U61" s="211"/>
    </row>
    <row r="62" spans="1:21" ht="18" customHeight="1" x14ac:dyDescent="0.25">
      <c r="A62" s="898" t="s">
        <v>358</v>
      </c>
      <c r="B62" s="263" t="s">
        <v>369</v>
      </c>
      <c r="C62" s="212">
        <v>0</v>
      </c>
      <c r="D62" s="212">
        <f t="shared" ref="D62" si="108">+C63</f>
        <v>0</v>
      </c>
      <c r="E62" s="212">
        <f t="shared" ref="E62" si="109">+D63</f>
        <v>0</v>
      </c>
      <c r="F62" s="212">
        <f t="shared" ref="F62" si="110">+E63</f>
        <v>0</v>
      </c>
      <c r="G62" s="212">
        <f t="shared" ref="G62" si="111">+F63</f>
        <v>0</v>
      </c>
      <c r="H62" s="212">
        <f t="shared" ref="H62" si="112">+G63</f>
        <v>0</v>
      </c>
      <c r="I62" s="212">
        <f t="shared" ref="I62" si="113">+H63</f>
        <v>0</v>
      </c>
      <c r="J62" s="212">
        <f t="shared" ref="J62" si="114">+I63</f>
        <v>0</v>
      </c>
      <c r="K62" s="212">
        <f t="shared" ref="K62" si="115">+J63</f>
        <v>0</v>
      </c>
      <c r="L62" s="212">
        <f t="shared" ref="L62" si="116">+K63</f>
        <v>0</v>
      </c>
      <c r="M62" s="212">
        <f t="shared" ref="M62" si="117">+L63</f>
        <v>0</v>
      </c>
      <c r="N62" s="212">
        <f t="shared" ref="N62" si="118">+M63</f>
        <v>0</v>
      </c>
      <c r="O62" s="615">
        <v>0</v>
      </c>
      <c r="P62" s="338">
        <f t="shared" si="70"/>
        <v>0</v>
      </c>
      <c r="Q62" s="211"/>
      <c r="R62" s="211"/>
      <c r="S62" s="211"/>
      <c r="T62" s="211"/>
      <c r="U62" s="211"/>
    </row>
    <row r="63" spans="1:21" ht="18" customHeight="1" x14ac:dyDescent="0.25">
      <c r="A63" s="900"/>
      <c r="B63" s="263" t="s">
        <v>370</v>
      </c>
      <c r="C63" s="542">
        <v>0</v>
      </c>
      <c r="D63" s="542">
        <v>0</v>
      </c>
      <c r="E63" s="542">
        <v>0</v>
      </c>
      <c r="F63" s="542">
        <v>0</v>
      </c>
      <c r="G63" s="542">
        <v>0</v>
      </c>
      <c r="H63" s="542">
        <v>0</v>
      </c>
      <c r="I63" s="542">
        <v>0</v>
      </c>
      <c r="J63" s="542">
        <v>0</v>
      </c>
      <c r="K63" s="542">
        <v>0</v>
      </c>
      <c r="L63" s="542">
        <v>0</v>
      </c>
      <c r="M63" s="542">
        <v>0</v>
      </c>
      <c r="N63" s="542">
        <v>0</v>
      </c>
      <c r="O63" s="615">
        <v>0</v>
      </c>
      <c r="P63" s="338">
        <f t="shared" si="70"/>
        <v>0</v>
      </c>
      <c r="Q63" s="211"/>
      <c r="R63" s="211"/>
      <c r="S63" s="211"/>
      <c r="T63" s="211"/>
      <c r="U63" s="211"/>
    </row>
    <row r="64" spans="1:21" ht="18" customHeight="1" x14ac:dyDescent="0.25">
      <c r="A64" s="900"/>
      <c r="B64" s="263" t="s">
        <v>62</v>
      </c>
      <c r="C64" s="542">
        <v>0</v>
      </c>
      <c r="D64" s="542">
        <v>0</v>
      </c>
      <c r="E64" s="542">
        <v>0</v>
      </c>
      <c r="F64" s="542">
        <v>0</v>
      </c>
      <c r="G64" s="542">
        <v>0</v>
      </c>
      <c r="H64" s="542">
        <v>0</v>
      </c>
      <c r="I64" s="542">
        <v>0</v>
      </c>
      <c r="J64" s="542">
        <v>0</v>
      </c>
      <c r="K64" s="542">
        <v>0</v>
      </c>
      <c r="L64" s="542">
        <v>0</v>
      </c>
      <c r="M64" s="542">
        <v>0</v>
      </c>
      <c r="N64" s="542">
        <v>0</v>
      </c>
      <c r="O64" s="615">
        <v>0</v>
      </c>
      <c r="P64" s="338">
        <f t="shared" si="70"/>
        <v>0</v>
      </c>
      <c r="Q64" s="211"/>
      <c r="R64" s="211"/>
      <c r="S64" s="211"/>
      <c r="T64" s="211"/>
      <c r="U64" s="211"/>
    </row>
    <row r="65" spans="1:21" ht="18" customHeight="1" x14ac:dyDescent="0.25">
      <c r="A65" s="900"/>
      <c r="B65" s="263" t="s">
        <v>60</v>
      </c>
      <c r="C65" s="542">
        <v>0</v>
      </c>
      <c r="D65" s="542">
        <v>0</v>
      </c>
      <c r="E65" s="542">
        <v>0</v>
      </c>
      <c r="F65" s="542">
        <v>0</v>
      </c>
      <c r="G65" s="542">
        <v>0</v>
      </c>
      <c r="H65" s="542">
        <v>0</v>
      </c>
      <c r="I65" s="542">
        <v>0</v>
      </c>
      <c r="J65" s="542">
        <v>0</v>
      </c>
      <c r="K65" s="542">
        <v>0</v>
      </c>
      <c r="L65" s="542">
        <v>0</v>
      </c>
      <c r="M65" s="542">
        <v>0</v>
      </c>
      <c r="N65" s="542">
        <v>0</v>
      </c>
      <c r="O65" s="615">
        <v>0</v>
      </c>
      <c r="P65" s="338">
        <f t="shared" si="70"/>
        <v>0</v>
      </c>
      <c r="Q65" s="211"/>
      <c r="R65" s="211"/>
      <c r="S65" s="211"/>
      <c r="T65" s="211"/>
      <c r="U65" s="211"/>
    </row>
    <row r="66" spans="1:21" ht="18" customHeight="1" thickBot="1" x14ac:dyDescent="0.3">
      <c r="A66" s="901"/>
      <c r="B66" s="267" t="s">
        <v>108</v>
      </c>
      <c r="C66" s="215">
        <f t="shared" ref="C66:J66" si="119">C62+C65-C64-C63</f>
        <v>0</v>
      </c>
      <c r="D66" s="215">
        <f t="shared" si="119"/>
        <v>0</v>
      </c>
      <c r="E66" s="215">
        <f t="shared" si="119"/>
        <v>0</v>
      </c>
      <c r="F66" s="215">
        <f t="shared" si="119"/>
        <v>0</v>
      </c>
      <c r="G66" s="215">
        <f t="shared" si="119"/>
        <v>0</v>
      </c>
      <c r="H66" s="215">
        <f t="shared" si="119"/>
        <v>0</v>
      </c>
      <c r="I66" s="215">
        <f t="shared" si="119"/>
        <v>0</v>
      </c>
      <c r="J66" s="215">
        <f t="shared" si="119"/>
        <v>0</v>
      </c>
      <c r="K66" s="215">
        <f>K62+K65-K64-K63</f>
        <v>0</v>
      </c>
      <c r="L66" s="215">
        <f>L62+L65-L64-L63</f>
        <v>0</v>
      </c>
      <c r="M66" s="215">
        <f>M62+M65-M64-M63</f>
        <v>0</v>
      </c>
      <c r="N66" s="215">
        <f>N62+N65-N64-N63</f>
        <v>0</v>
      </c>
      <c r="O66" s="615">
        <v>0</v>
      </c>
      <c r="P66" s="338">
        <f t="shared" si="70"/>
        <v>0</v>
      </c>
      <c r="Q66" s="211"/>
      <c r="R66" s="211"/>
      <c r="S66" s="211"/>
      <c r="T66" s="211"/>
      <c r="U66" s="211"/>
    </row>
    <row r="67" spans="1:21" ht="18" customHeight="1" x14ac:dyDescent="0.25">
      <c r="A67" s="913" t="s">
        <v>357</v>
      </c>
      <c r="B67" s="266" t="s">
        <v>369</v>
      </c>
      <c r="C67" s="212">
        <v>5653.4979999999996</v>
      </c>
      <c r="D67" s="212">
        <f t="shared" ref="D67" si="120">+C68</f>
        <v>5652.6030000000001</v>
      </c>
      <c r="E67" s="212">
        <f t="shared" ref="E67" si="121">+D68</f>
        <v>4701.4179999999997</v>
      </c>
      <c r="F67" s="212">
        <f t="shared" ref="F67" si="122">+E68</f>
        <v>6075.8770000000004</v>
      </c>
      <c r="G67" s="212">
        <f t="shared" ref="G67" si="123">+F68</f>
        <v>5410.4390000000003</v>
      </c>
      <c r="H67" s="212">
        <f t="shared" ref="H67" si="124">+G68</f>
        <v>2929.0709999999999</v>
      </c>
      <c r="I67" s="212">
        <f t="shared" ref="I67" si="125">+H68</f>
        <v>2748.886</v>
      </c>
      <c r="J67" s="212">
        <f t="shared" ref="J67" si="126">+I68</f>
        <v>3203.8339999999998</v>
      </c>
      <c r="K67" s="212">
        <f t="shared" ref="K67" si="127">+J68</f>
        <v>1641.7149999999999</v>
      </c>
      <c r="L67" s="212">
        <f t="shared" ref="L67" si="128">+K68</f>
        <v>2193.817</v>
      </c>
      <c r="M67" s="212">
        <f t="shared" ref="M67" si="129">+L68</f>
        <v>2136.0419999999999</v>
      </c>
      <c r="N67" s="212">
        <f t="shared" ref="N67" si="130">+M68</f>
        <v>2407.6309999999999</v>
      </c>
      <c r="O67" s="615">
        <v>2407.6309999999999</v>
      </c>
      <c r="P67" s="338">
        <f t="shared" si="70"/>
        <v>0</v>
      </c>
      <c r="Q67" s="211"/>
      <c r="R67" s="211"/>
      <c r="S67" s="211"/>
      <c r="T67" s="211"/>
      <c r="U67" s="211"/>
    </row>
    <row r="68" spans="1:21" ht="18" customHeight="1" x14ac:dyDescent="0.25">
      <c r="A68" s="914"/>
      <c r="B68" s="263" t="s">
        <v>370</v>
      </c>
      <c r="C68" s="608">
        <v>5652.6030000000001</v>
      </c>
      <c r="D68" s="608">
        <v>4701.4179999999997</v>
      </c>
      <c r="E68" s="608">
        <v>6075.8770000000004</v>
      </c>
      <c r="F68" s="608">
        <v>5410.4390000000003</v>
      </c>
      <c r="G68" s="608">
        <v>2929.0709999999999</v>
      </c>
      <c r="H68" s="608">
        <v>2748.886</v>
      </c>
      <c r="I68" s="608">
        <v>3203.8339999999998</v>
      </c>
      <c r="J68" s="608">
        <v>1641.7149999999999</v>
      </c>
      <c r="K68" s="608">
        <v>2193.817</v>
      </c>
      <c r="L68" s="608">
        <v>2136.0419999999999</v>
      </c>
      <c r="M68" s="608">
        <v>2407.6309999999999</v>
      </c>
      <c r="N68" s="608">
        <v>1336.91</v>
      </c>
      <c r="O68" s="659">
        <v>1336.91</v>
      </c>
      <c r="P68" s="768">
        <f t="shared" si="70"/>
        <v>0</v>
      </c>
      <c r="Q68" s="211"/>
      <c r="R68" s="211"/>
      <c r="S68" s="211"/>
      <c r="T68" s="211"/>
      <c r="U68" s="211"/>
    </row>
    <row r="69" spans="1:21" ht="18" customHeight="1" x14ac:dyDescent="0.25">
      <c r="A69" s="914"/>
      <c r="B69" s="263" t="s">
        <v>325</v>
      </c>
      <c r="C69" s="608">
        <v>5964.8959999999997</v>
      </c>
      <c r="D69" s="608">
        <v>5355.1750000000002</v>
      </c>
      <c r="E69" s="608">
        <v>9342.1239999999998</v>
      </c>
      <c r="F69" s="608">
        <v>7241.7730000000001</v>
      </c>
      <c r="G69" s="608">
        <v>5968.9849999999997</v>
      </c>
      <c r="H69" s="608">
        <v>9049.3320000000003</v>
      </c>
      <c r="I69" s="608">
        <v>9116.6720000000005</v>
      </c>
      <c r="J69" s="608">
        <v>7164.6769999999997</v>
      </c>
      <c r="K69" s="608">
        <v>8011.2389999999996</v>
      </c>
      <c r="L69" s="608">
        <v>7086.6459999999997</v>
      </c>
      <c r="M69" s="608">
        <v>8166.1139999999996</v>
      </c>
      <c r="N69" s="608">
        <v>8361.0120000000006</v>
      </c>
      <c r="O69" s="659">
        <v>8361.0120000000006</v>
      </c>
      <c r="P69" s="768">
        <f t="shared" si="70"/>
        <v>0</v>
      </c>
      <c r="Q69" s="211"/>
      <c r="R69" s="211"/>
      <c r="S69" s="211"/>
      <c r="T69" s="211"/>
      <c r="U69" s="211"/>
    </row>
    <row r="70" spans="1:21" ht="18" customHeight="1" x14ac:dyDescent="0.25">
      <c r="A70" s="914"/>
      <c r="B70" s="263" t="s">
        <v>324</v>
      </c>
      <c r="C70" s="608">
        <v>0</v>
      </c>
      <c r="D70" s="608">
        <v>0</v>
      </c>
      <c r="E70" s="608">
        <v>0</v>
      </c>
      <c r="F70" s="608">
        <v>0</v>
      </c>
      <c r="G70" s="608">
        <v>0</v>
      </c>
      <c r="H70" s="608">
        <v>0</v>
      </c>
      <c r="I70" s="608">
        <v>0</v>
      </c>
      <c r="J70" s="608">
        <v>94.534000000000006</v>
      </c>
      <c r="K70" s="608">
        <v>0</v>
      </c>
      <c r="L70" s="608">
        <v>0</v>
      </c>
      <c r="M70" s="608">
        <v>0</v>
      </c>
      <c r="N70" s="608">
        <v>662.71500000000003</v>
      </c>
      <c r="O70" s="659">
        <v>662.71500000000003</v>
      </c>
      <c r="P70" s="768">
        <f t="shared" si="70"/>
        <v>0</v>
      </c>
      <c r="Q70" s="211"/>
      <c r="R70" s="211"/>
      <c r="S70" s="211"/>
      <c r="T70" s="211"/>
      <c r="U70" s="211"/>
    </row>
    <row r="71" spans="1:21" ht="18" customHeight="1" x14ac:dyDescent="0.25">
      <c r="A71" s="914"/>
      <c r="B71" s="263" t="s">
        <v>73</v>
      </c>
      <c r="C71" s="608">
        <v>28.65</v>
      </c>
      <c r="D71" s="608">
        <v>0</v>
      </c>
      <c r="E71" s="608">
        <v>0</v>
      </c>
      <c r="F71" s="608">
        <v>0</v>
      </c>
      <c r="G71" s="608">
        <v>0</v>
      </c>
      <c r="H71" s="608">
        <v>0</v>
      </c>
      <c r="I71" s="608">
        <v>0</v>
      </c>
      <c r="J71" s="608">
        <v>0</v>
      </c>
      <c r="K71" s="608">
        <v>0</v>
      </c>
      <c r="L71" s="608">
        <v>10.94</v>
      </c>
      <c r="M71" s="608">
        <v>0</v>
      </c>
      <c r="N71" s="608">
        <v>0</v>
      </c>
      <c r="O71" s="659">
        <v>0</v>
      </c>
      <c r="P71" s="768">
        <f t="shared" ref="P71:P102" si="131">N71-O71</f>
        <v>0</v>
      </c>
      <c r="Q71" s="211"/>
      <c r="R71" s="211"/>
      <c r="S71" s="211"/>
      <c r="T71" s="211"/>
      <c r="U71" s="211"/>
    </row>
    <row r="72" spans="1:21" ht="18" customHeight="1" x14ac:dyDescent="0.25">
      <c r="A72" s="914"/>
      <c r="B72" s="263" t="s">
        <v>71</v>
      </c>
      <c r="C72" s="608">
        <f>5940.62-C74</f>
        <v>5923.41</v>
      </c>
      <c r="D72" s="608">
        <v>6289.57</v>
      </c>
      <c r="E72" s="608">
        <v>7957.11</v>
      </c>
      <c r="F72" s="608">
        <v>7893.75</v>
      </c>
      <c r="G72" s="608">
        <v>8481.65</v>
      </c>
      <c r="H72" s="608">
        <v>9217.2099999999991</v>
      </c>
      <c r="I72" s="608">
        <v>8630.48</v>
      </c>
      <c r="J72" s="608">
        <v>8799.2900000000009</v>
      </c>
      <c r="K72" s="608">
        <v>7451.32</v>
      </c>
      <c r="L72" s="608">
        <v>7124.58</v>
      </c>
      <c r="M72" s="608">
        <v>7874.72</v>
      </c>
      <c r="N72" s="608">
        <v>10063.34</v>
      </c>
      <c r="O72" s="659">
        <v>10063.34</v>
      </c>
      <c r="P72" s="768">
        <f t="shared" si="131"/>
        <v>0</v>
      </c>
      <c r="Q72" s="211"/>
      <c r="R72" s="211"/>
      <c r="S72" s="211"/>
      <c r="T72" s="211"/>
      <c r="U72" s="211"/>
    </row>
    <row r="73" spans="1:21" ht="18" customHeight="1" x14ac:dyDescent="0.25">
      <c r="A73" s="914"/>
      <c r="B73" s="263" t="s">
        <v>406</v>
      </c>
      <c r="C73" s="213">
        <v>144.49400000000003</v>
      </c>
      <c r="D73" s="608">
        <v>83.284999999999997</v>
      </c>
      <c r="E73" s="608">
        <v>69.48599999999999</v>
      </c>
      <c r="F73" s="608">
        <v>187.29699999999997</v>
      </c>
      <c r="G73" s="608">
        <v>115.485</v>
      </c>
      <c r="H73" s="608">
        <v>201.708</v>
      </c>
      <c r="I73" s="608">
        <v>60.538000000000004</v>
      </c>
      <c r="J73" s="608">
        <v>135.31299999999999</v>
      </c>
      <c r="K73" s="608">
        <v>101.521</v>
      </c>
      <c r="L73" s="608">
        <v>35.923999999999999</v>
      </c>
      <c r="M73" s="608">
        <v>243.64600000000002</v>
      </c>
      <c r="N73" s="608">
        <v>205.43799999999999</v>
      </c>
      <c r="O73" s="659">
        <v>205.43799999999999</v>
      </c>
      <c r="P73" s="768">
        <f t="shared" si="131"/>
        <v>0</v>
      </c>
      <c r="Q73" s="211"/>
      <c r="R73" s="211"/>
      <c r="S73" s="211"/>
      <c r="T73" s="211"/>
      <c r="U73" s="211"/>
    </row>
    <row r="74" spans="1:21" ht="18" customHeight="1" thickBot="1" x14ac:dyDescent="0.3">
      <c r="A74" s="915"/>
      <c r="B74" s="264" t="s">
        <v>450</v>
      </c>
      <c r="C74" s="213">
        <v>17.21</v>
      </c>
      <c r="D74" s="608">
        <v>0</v>
      </c>
      <c r="E74" s="608">
        <v>0</v>
      </c>
      <c r="F74" s="608">
        <v>0</v>
      </c>
      <c r="G74" s="608">
        <v>48.18</v>
      </c>
      <c r="H74" s="608">
        <v>2.91</v>
      </c>
      <c r="I74" s="608">
        <v>0</v>
      </c>
      <c r="J74" s="608">
        <v>0</v>
      </c>
      <c r="K74" s="608">
        <v>0</v>
      </c>
      <c r="L74" s="608">
        <v>6.3</v>
      </c>
      <c r="M74" s="608">
        <v>0</v>
      </c>
      <c r="N74" s="608">
        <v>0</v>
      </c>
      <c r="O74" s="659">
        <v>0</v>
      </c>
      <c r="P74" s="768">
        <f t="shared" si="131"/>
        <v>0</v>
      </c>
      <c r="Q74" s="211"/>
      <c r="R74" s="211"/>
      <c r="S74" s="211"/>
      <c r="T74" s="211"/>
      <c r="U74" s="211"/>
    </row>
    <row r="75" spans="1:21" ht="18" customHeight="1" x14ac:dyDescent="0.25">
      <c r="A75" s="890" t="s">
        <v>343</v>
      </c>
      <c r="B75" s="263" t="s">
        <v>369</v>
      </c>
      <c r="C75" s="609">
        <v>227.708</v>
      </c>
      <c r="D75" s="609">
        <f t="shared" ref="D75" si="132">+C76</f>
        <v>147.85599999999999</v>
      </c>
      <c r="E75" s="609">
        <f t="shared" ref="E75" si="133">+D76</f>
        <v>177.37</v>
      </c>
      <c r="F75" s="609">
        <f t="shared" ref="F75" si="134">+E76</f>
        <v>252.11199999999999</v>
      </c>
      <c r="G75" s="609">
        <f t="shared" ref="G75" si="135">+F76</f>
        <v>636.26599999999996</v>
      </c>
      <c r="H75" s="609">
        <f t="shared" ref="H75" si="136">+G76</f>
        <v>565.00599999999997</v>
      </c>
      <c r="I75" s="609">
        <f t="shared" ref="I75" si="137">+H76</f>
        <v>402.48899999999998</v>
      </c>
      <c r="J75" s="609">
        <f t="shared" ref="J75" si="138">+I76</f>
        <v>319.54000000000002</v>
      </c>
      <c r="K75" s="609">
        <f t="shared" ref="K75" si="139">+J76</f>
        <v>362.94200000000001</v>
      </c>
      <c r="L75" s="609">
        <f t="shared" ref="L75" si="140">+K76</f>
        <v>188.96</v>
      </c>
      <c r="M75" s="609">
        <f t="shared" ref="M75" si="141">+L76</f>
        <v>254.49799999999999</v>
      </c>
      <c r="N75" s="609">
        <f t="shared" ref="N75" si="142">+M76</f>
        <v>465.66500000000002</v>
      </c>
      <c r="O75" s="659">
        <v>465.66500000000002</v>
      </c>
      <c r="P75" s="768">
        <f t="shared" si="131"/>
        <v>0</v>
      </c>
      <c r="Q75" s="211"/>
      <c r="R75" s="211"/>
      <c r="S75" s="211"/>
      <c r="T75" s="211"/>
      <c r="U75" s="211"/>
    </row>
    <row r="76" spans="1:21" ht="18" customHeight="1" x14ac:dyDescent="0.25">
      <c r="A76" s="910"/>
      <c r="B76" s="263" t="s">
        <v>370</v>
      </c>
      <c r="C76" s="608">
        <v>147.85599999999999</v>
      </c>
      <c r="D76" s="608">
        <v>177.37</v>
      </c>
      <c r="E76" s="608">
        <v>252.11199999999999</v>
      </c>
      <c r="F76" s="608">
        <v>636.26599999999996</v>
      </c>
      <c r="G76" s="608">
        <v>565.00599999999997</v>
      </c>
      <c r="H76" s="608">
        <v>402.48899999999998</v>
      </c>
      <c r="I76" s="608">
        <v>319.54000000000002</v>
      </c>
      <c r="J76" s="608">
        <v>362.94200000000001</v>
      </c>
      <c r="K76" s="608">
        <v>188.96</v>
      </c>
      <c r="L76" s="608">
        <v>254.49799999999999</v>
      </c>
      <c r="M76" s="608">
        <v>465.66500000000002</v>
      </c>
      <c r="N76" s="608">
        <v>338.69200000000001</v>
      </c>
      <c r="O76" s="659">
        <v>338.69200000000001</v>
      </c>
      <c r="P76" s="768">
        <f t="shared" si="131"/>
        <v>0</v>
      </c>
      <c r="Q76" s="211"/>
      <c r="R76" s="211"/>
      <c r="S76" s="211"/>
      <c r="T76" s="211"/>
      <c r="U76" s="211"/>
    </row>
    <row r="77" spans="1:21" ht="18" customHeight="1" x14ac:dyDescent="0.25">
      <c r="A77" s="910"/>
      <c r="B77" s="263" t="s">
        <v>325</v>
      </c>
      <c r="C77" s="608">
        <v>851.79300000000001</v>
      </c>
      <c r="D77" s="608">
        <v>750.63599999999997</v>
      </c>
      <c r="E77" s="608">
        <v>1332.741</v>
      </c>
      <c r="F77" s="608">
        <v>1024.184</v>
      </c>
      <c r="G77" s="608">
        <v>829.86199999999997</v>
      </c>
      <c r="H77" s="608">
        <v>1242.52</v>
      </c>
      <c r="I77" s="608">
        <v>1275.7550000000001</v>
      </c>
      <c r="J77" s="608">
        <v>1000.938</v>
      </c>
      <c r="K77" s="608">
        <v>1125.4929999999999</v>
      </c>
      <c r="L77" s="608">
        <v>979.22199999999998</v>
      </c>
      <c r="M77" s="608">
        <v>1167.3810000000001</v>
      </c>
      <c r="N77" s="608">
        <v>1278.04</v>
      </c>
      <c r="O77" s="615">
        <v>1278.04</v>
      </c>
      <c r="P77" s="338">
        <f t="shared" si="131"/>
        <v>0</v>
      </c>
      <c r="Q77" s="211"/>
      <c r="R77" s="211"/>
      <c r="S77" s="211"/>
      <c r="T77" s="211"/>
      <c r="U77" s="211"/>
    </row>
    <row r="78" spans="1:21" ht="18" customHeight="1" x14ac:dyDescent="0.25">
      <c r="A78" s="910"/>
      <c r="B78" s="263" t="s">
        <v>439</v>
      </c>
      <c r="C78" s="608">
        <v>0</v>
      </c>
      <c r="D78" s="608">
        <v>0</v>
      </c>
      <c r="E78" s="608">
        <v>0</v>
      </c>
      <c r="F78" s="608">
        <v>0</v>
      </c>
      <c r="G78" s="608">
        <v>0</v>
      </c>
      <c r="H78" s="608">
        <v>0</v>
      </c>
      <c r="I78" s="608">
        <v>0</v>
      </c>
      <c r="J78" s="608">
        <v>0</v>
      </c>
      <c r="K78" s="608">
        <v>0</v>
      </c>
      <c r="L78" s="608">
        <v>0</v>
      </c>
      <c r="M78" s="608">
        <v>0</v>
      </c>
      <c r="N78" s="608">
        <v>0</v>
      </c>
      <c r="O78" s="615">
        <v>0</v>
      </c>
      <c r="P78" s="338">
        <f t="shared" si="131"/>
        <v>0</v>
      </c>
      <c r="Q78" s="211"/>
      <c r="R78" s="211"/>
      <c r="S78" s="211"/>
      <c r="T78" s="211"/>
      <c r="U78" s="211"/>
    </row>
    <row r="79" spans="1:21" ht="18" customHeight="1" x14ac:dyDescent="0.25">
      <c r="A79" s="910"/>
      <c r="B79" s="263" t="s">
        <v>71</v>
      </c>
      <c r="C79" s="608">
        <v>788.30200000000002</v>
      </c>
      <c r="D79" s="608">
        <v>637.73900000000003</v>
      </c>
      <c r="E79" s="608">
        <v>685.78599999999994</v>
      </c>
      <c r="F79" s="608">
        <v>600.08500000000004</v>
      </c>
      <c r="G79" s="608">
        <v>801.12199999999996</v>
      </c>
      <c r="H79" s="608">
        <v>1155.037</v>
      </c>
      <c r="I79" s="608">
        <v>1050</v>
      </c>
      <c r="J79" s="608">
        <v>957.53599999999994</v>
      </c>
      <c r="K79" s="608">
        <v>990.11099999999999</v>
      </c>
      <c r="L79" s="608">
        <v>685.65800000000002</v>
      </c>
      <c r="M79" s="608">
        <v>956.21400000000006</v>
      </c>
      <c r="N79" s="608">
        <v>1405.0129999999999</v>
      </c>
      <c r="O79" s="659">
        <v>1405.0129999999999</v>
      </c>
      <c r="P79" s="338">
        <f t="shared" si="131"/>
        <v>0</v>
      </c>
      <c r="Q79" s="211"/>
      <c r="R79" s="211"/>
      <c r="S79" s="211"/>
      <c r="T79" s="211"/>
      <c r="U79" s="211"/>
    </row>
    <row r="80" spans="1:21" ht="18" customHeight="1" x14ac:dyDescent="0.25">
      <c r="A80" s="910"/>
      <c r="B80" s="263" t="s">
        <v>336</v>
      </c>
      <c r="C80" s="608">
        <v>143.34299999999999</v>
      </c>
      <c r="D80" s="608">
        <v>83.382999999999996</v>
      </c>
      <c r="E80" s="608">
        <v>572.21299999999997</v>
      </c>
      <c r="F80" s="608">
        <v>39.945</v>
      </c>
      <c r="G80" s="608">
        <v>100</v>
      </c>
      <c r="H80" s="608">
        <v>250</v>
      </c>
      <c r="I80" s="608">
        <v>308.70400000000001</v>
      </c>
      <c r="J80" s="608">
        <v>0</v>
      </c>
      <c r="K80" s="608">
        <v>309.36399999999998</v>
      </c>
      <c r="L80" s="608">
        <v>228.02600000000001</v>
      </c>
      <c r="M80" s="608">
        <v>0</v>
      </c>
      <c r="N80" s="608">
        <v>0</v>
      </c>
      <c r="O80" s="659">
        <v>0</v>
      </c>
      <c r="P80" s="338">
        <f t="shared" si="131"/>
        <v>0</v>
      </c>
      <c r="Q80" s="211"/>
      <c r="R80" s="211"/>
      <c r="S80" s="211"/>
      <c r="T80" s="211"/>
      <c r="U80" s="211"/>
    </row>
    <row r="81" spans="1:21" ht="18" customHeight="1" x14ac:dyDescent="0.25">
      <c r="A81" s="910"/>
      <c r="B81" s="263" t="s">
        <v>101</v>
      </c>
      <c r="C81" s="608">
        <v>57.337000000000003</v>
      </c>
      <c r="D81" s="608">
        <v>33.353000000000002</v>
      </c>
      <c r="E81" s="608">
        <v>228.88499999999999</v>
      </c>
      <c r="F81" s="608">
        <v>15.978</v>
      </c>
      <c r="G81" s="608">
        <v>40</v>
      </c>
      <c r="H81" s="608">
        <v>100</v>
      </c>
      <c r="I81" s="608">
        <v>123.482</v>
      </c>
      <c r="J81" s="608">
        <v>0</v>
      </c>
      <c r="K81" s="608">
        <v>123.746</v>
      </c>
      <c r="L81" s="608">
        <v>91.21</v>
      </c>
      <c r="M81" s="608">
        <v>0</v>
      </c>
      <c r="N81" s="608">
        <v>0</v>
      </c>
      <c r="O81" s="659">
        <v>0</v>
      </c>
      <c r="P81" s="338">
        <f t="shared" si="131"/>
        <v>0</v>
      </c>
      <c r="Q81" s="211"/>
      <c r="R81" s="211"/>
      <c r="S81" s="211"/>
      <c r="T81" s="211"/>
      <c r="U81" s="211"/>
    </row>
    <row r="82" spans="1:21" ht="18" customHeight="1" thickBot="1" x14ac:dyDescent="0.3">
      <c r="A82" s="911"/>
      <c r="B82" s="267" t="s">
        <v>108</v>
      </c>
      <c r="C82" s="610">
        <f t="shared" ref="C82:J82" si="143">-(C75+C77+C78-C79-C80-C76)</f>
        <v>2.8421709430404007E-14</v>
      </c>
      <c r="D82" s="610">
        <f t="shared" si="143"/>
        <v>5.6843418860808015E-14</v>
      </c>
      <c r="E82" s="610">
        <f t="shared" si="143"/>
        <v>2.8421709430404007E-14</v>
      </c>
      <c r="F82" s="610">
        <f t="shared" si="143"/>
        <v>0</v>
      </c>
      <c r="G82" s="610">
        <f t="shared" si="143"/>
        <v>0</v>
      </c>
      <c r="H82" s="610">
        <f t="shared" si="143"/>
        <v>1.7053025658242404E-13</v>
      </c>
      <c r="I82" s="610">
        <f t="shared" si="143"/>
        <v>-1.1368683772161603E-13</v>
      </c>
      <c r="J82" s="610">
        <f t="shared" si="143"/>
        <v>-1.1368683772161603E-13</v>
      </c>
      <c r="K82" s="610">
        <f>-(K75+K77+K78-K79-K80-K76)</f>
        <v>2.8421709430404007E-14</v>
      </c>
      <c r="L82" s="610">
        <f>-(L75+L77+L78-L79-L80-L76)</f>
        <v>0</v>
      </c>
      <c r="M82" s="610">
        <f>-(M75+M77+M78-M79-M80-M76)</f>
        <v>-5.6843418860808015E-14</v>
      </c>
      <c r="N82" s="610">
        <f>-(N75+N77+N78-N79-N80-N76)</f>
        <v>0</v>
      </c>
      <c r="O82" s="659">
        <v>0</v>
      </c>
      <c r="P82" s="338">
        <f t="shared" si="131"/>
        <v>0</v>
      </c>
      <c r="Q82" s="338"/>
      <c r="R82" s="338"/>
      <c r="S82" s="211"/>
      <c r="T82" s="211"/>
      <c r="U82" s="211"/>
    </row>
    <row r="83" spans="1:21" ht="18" customHeight="1" x14ac:dyDescent="0.25">
      <c r="A83" s="890" t="s">
        <v>334</v>
      </c>
      <c r="B83" s="266" t="s">
        <v>369</v>
      </c>
      <c r="C83" s="212">
        <v>210.41300000000001</v>
      </c>
      <c r="D83" s="212">
        <f t="shared" ref="D83" si="144">+C84</f>
        <v>140.958</v>
      </c>
      <c r="E83" s="212">
        <f t="shared" ref="E83" si="145">+D84</f>
        <v>122.188</v>
      </c>
      <c r="F83" s="212">
        <f t="shared" ref="F83" si="146">+E84</f>
        <v>129.28100000000001</v>
      </c>
      <c r="G83" s="212">
        <f t="shared" ref="G83" si="147">+F84</f>
        <v>197.49799999999999</v>
      </c>
      <c r="H83" s="212">
        <f t="shared" ref="H83" si="148">+G84</f>
        <v>174.352</v>
      </c>
      <c r="I83" s="212">
        <f t="shared" ref="I83" si="149">+H84</f>
        <v>127.09699999999999</v>
      </c>
      <c r="J83" s="212">
        <f t="shared" ref="J83" si="150">+I84</f>
        <v>114.238</v>
      </c>
      <c r="K83" s="212">
        <f t="shared" ref="K83" si="151">+J84</f>
        <v>120.01300000000001</v>
      </c>
      <c r="L83" s="212">
        <f t="shared" ref="L83" si="152">+K84</f>
        <v>224.36699999999999</v>
      </c>
      <c r="M83" s="212">
        <f t="shared" ref="M83" si="153">+L84</f>
        <v>133.696</v>
      </c>
      <c r="N83" s="212">
        <f t="shared" ref="N83" si="154">+M84</f>
        <v>112.155</v>
      </c>
      <c r="O83" s="659">
        <v>112.155</v>
      </c>
      <c r="P83" s="338">
        <f t="shared" si="131"/>
        <v>0</v>
      </c>
      <c r="Q83" s="338"/>
      <c r="R83" s="338"/>
    </row>
    <row r="84" spans="1:21" ht="18" customHeight="1" x14ac:dyDescent="0.25">
      <c r="A84" s="891"/>
      <c r="B84" s="263" t="s">
        <v>370</v>
      </c>
      <c r="C84" s="213">
        <v>140.958</v>
      </c>
      <c r="D84" s="608">
        <v>122.188</v>
      </c>
      <c r="E84" s="608">
        <v>129.28100000000001</v>
      </c>
      <c r="F84" s="608">
        <v>197.49799999999999</v>
      </c>
      <c r="G84" s="608">
        <v>174.352</v>
      </c>
      <c r="H84" s="608">
        <v>127.09699999999999</v>
      </c>
      <c r="I84" s="608">
        <v>114.238</v>
      </c>
      <c r="J84" s="608">
        <v>120.01300000000001</v>
      </c>
      <c r="K84" s="608">
        <v>224.36699999999999</v>
      </c>
      <c r="L84" s="608">
        <v>133.696</v>
      </c>
      <c r="M84" s="608">
        <v>112.155</v>
      </c>
      <c r="N84" s="608">
        <v>87.811000000000007</v>
      </c>
      <c r="O84" s="659">
        <v>87.811000000000007</v>
      </c>
      <c r="P84" s="768">
        <f t="shared" si="131"/>
        <v>0</v>
      </c>
    </row>
    <row r="85" spans="1:21" ht="18" customHeight="1" x14ac:dyDescent="0.25">
      <c r="A85" s="891"/>
      <c r="B85" s="263" t="s">
        <v>333</v>
      </c>
      <c r="C85" s="213">
        <v>90.457999999999998</v>
      </c>
      <c r="D85" s="608">
        <v>52.832999999999998</v>
      </c>
      <c r="E85" s="608">
        <v>196.696</v>
      </c>
      <c r="F85" s="608">
        <v>165.65600000000001</v>
      </c>
      <c r="G85" s="608">
        <v>64.905000000000001</v>
      </c>
      <c r="H85" s="608">
        <v>82.135999999999996</v>
      </c>
      <c r="I85" s="608">
        <v>125.134</v>
      </c>
      <c r="J85" s="608">
        <v>83.85</v>
      </c>
      <c r="K85" s="608">
        <v>202.23099999999999</v>
      </c>
      <c r="L85" s="608">
        <v>28.17</v>
      </c>
      <c r="M85" s="608">
        <v>73.822999999999993</v>
      </c>
      <c r="N85" s="608">
        <v>43.606000000000002</v>
      </c>
      <c r="O85" s="659">
        <v>43.606000000000002</v>
      </c>
      <c r="P85" s="768">
        <f t="shared" si="131"/>
        <v>0</v>
      </c>
    </row>
    <row r="86" spans="1:21" ht="18" customHeight="1" x14ac:dyDescent="0.25">
      <c r="A86" s="891"/>
      <c r="B86" s="263" t="s">
        <v>62</v>
      </c>
      <c r="C86" s="213">
        <v>159.93700000000001</v>
      </c>
      <c r="D86" s="608">
        <v>71.647999999999996</v>
      </c>
      <c r="E86" s="608">
        <v>189.69399999999999</v>
      </c>
      <c r="F86" s="608">
        <v>97.423000000000002</v>
      </c>
      <c r="G86" s="608">
        <v>88.105999999999995</v>
      </c>
      <c r="H86" s="608">
        <v>129.33799999999999</v>
      </c>
      <c r="I86" s="608">
        <v>137.869</v>
      </c>
      <c r="J86" s="608">
        <v>78.022000000000006</v>
      </c>
      <c r="K86" s="608">
        <v>97.947999999999993</v>
      </c>
      <c r="L86" s="608">
        <v>118.82</v>
      </c>
      <c r="M86" s="608">
        <v>95.424000000000007</v>
      </c>
      <c r="N86" s="608">
        <v>67.888999999999996</v>
      </c>
      <c r="O86" s="659">
        <v>67.888999999999996</v>
      </c>
      <c r="P86" s="768">
        <f t="shared" si="131"/>
        <v>0</v>
      </c>
    </row>
    <row r="87" spans="1:21" ht="18" customHeight="1" x14ac:dyDescent="0.25">
      <c r="A87" s="891"/>
      <c r="B87" s="263" t="s">
        <v>335</v>
      </c>
      <c r="C87" s="213">
        <v>3.2250000000000001</v>
      </c>
      <c r="D87" s="608">
        <v>0.42199999999999999</v>
      </c>
      <c r="E87" s="608">
        <v>147.054</v>
      </c>
      <c r="F87" s="608">
        <v>5.3650000000000002</v>
      </c>
      <c r="G87" s="608">
        <v>0.46</v>
      </c>
      <c r="H87" s="608">
        <v>68.323999999999998</v>
      </c>
      <c r="I87" s="608">
        <v>128.41200000000001</v>
      </c>
      <c r="J87" s="608">
        <v>44.561999999999998</v>
      </c>
      <c r="K87" s="608">
        <v>27.949000000000002</v>
      </c>
      <c r="L87" s="608">
        <v>136.595</v>
      </c>
      <c r="M87" s="608">
        <v>62.771999999999998</v>
      </c>
      <c r="N87" s="608">
        <v>19.166</v>
      </c>
      <c r="O87" s="659">
        <v>19.166</v>
      </c>
      <c r="P87" s="768">
        <f t="shared" si="131"/>
        <v>0</v>
      </c>
    </row>
    <row r="88" spans="1:21" ht="18" customHeight="1" thickBot="1" x14ac:dyDescent="0.3">
      <c r="A88" s="889"/>
      <c r="B88" s="267" t="s">
        <v>108</v>
      </c>
      <c r="C88" s="215">
        <f t="shared" ref="C88:J88" si="155">+C83+C85-C86-C84</f>
        <v>-2.4000000000029331E-2</v>
      </c>
      <c r="D88" s="610">
        <f t="shared" si="155"/>
        <v>-4.5000000000001705E-2</v>
      </c>
      <c r="E88" s="610">
        <f t="shared" si="155"/>
        <v>-9.0999999999979764E-2</v>
      </c>
      <c r="F88" s="610">
        <f t="shared" si="155"/>
        <v>1.6000000000019554E-2</v>
      </c>
      <c r="G88" s="610">
        <f t="shared" si="155"/>
        <v>-5.49999999999784E-2</v>
      </c>
      <c r="H88" s="610">
        <f t="shared" si="155"/>
        <v>5.3000000000011482E-2</v>
      </c>
      <c r="I88" s="610">
        <f t="shared" si="155"/>
        <v>0.12399999999999523</v>
      </c>
      <c r="J88" s="610">
        <f t="shared" si="155"/>
        <v>5.2999999999983061E-2</v>
      </c>
      <c r="K88" s="610">
        <f>+K83+K85-K86-K84</f>
        <v>-7.099999999994111E-2</v>
      </c>
      <c r="L88" s="610">
        <f>+L83+L85-L86-L84</f>
        <v>2.0999999999986585E-2</v>
      </c>
      <c r="M88" s="610">
        <f>+M83+M85-M86-M84</f>
        <v>-6.0000000000002274E-2</v>
      </c>
      <c r="N88" s="610">
        <f>+N83+N85-N86-N84</f>
        <v>6.0999999999992838E-2</v>
      </c>
      <c r="O88" s="659">
        <v>6.0999999999999999E-2</v>
      </c>
      <c r="P88" s="768">
        <f t="shared" si="131"/>
        <v>-7.1609385088322597E-15</v>
      </c>
    </row>
    <row r="89" spans="1:21" ht="18" customHeight="1" x14ac:dyDescent="0.25">
      <c r="A89" s="898" t="s">
        <v>356</v>
      </c>
      <c r="B89" s="266" t="s">
        <v>369</v>
      </c>
      <c r="C89" s="212">
        <v>56.685000000000002</v>
      </c>
      <c r="D89" s="609">
        <f t="shared" ref="D89" si="156">+C90</f>
        <v>71.17</v>
      </c>
      <c r="E89" s="609">
        <f t="shared" ref="E89" si="157">+D90</f>
        <v>65.808000000000007</v>
      </c>
      <c r="F89" s="609">
        <f t="shared" ref="F89" si="158">+E90</f>
        <v>100.968</v>
      </c>
      <c r="G89" s="609">
        <f t="shared" ref="G89" si="159">+F90</f>
        <v>43.448</v>
      </c>
      <c r="H89" s="609">
        <f t="shared" ref="H89" si="160">+G90</f>
        <v>73.900000000000006</v>
      </c>
      <c r="I89" s="609">
        <f t="shared" ref="I89" si="161">+H90</f>
        <v>76.759</v>
      </c>
      <c r="J89" s="609">
        <f t="shared" ref="J89" si="162">+I90</f>
        <v>93.275999999999996</v>
      </c>
      <c r="K89" s="609">
        <f t="shared" ref="K89" si="163">+J90</f>
        <v>77.024000000000001</v>
      </c>
      <c r="L89" s="609">
        <f t="shared" ref="L89" si="164">+K90</f>
        <v>62.558</v>
      </c>
      <c r="M89" s="609">
        <f t="shared" ref="M89" si="165">+L90</f>
        <v>53.347000000000001</v>
      </c>
      <c r="N89" s="609">
        <f t="shared" ref="N89" si="166">+M90</f>
        <v>116.474</v>
      </c>
      <c r="O89" s="705">
        <v>116.474</v>
      </c>
      <c r="P89" s="768">
        <f t="shared" si="131"/>
        <v>0</v>
      </c>
      <c r="Q89" s="211"/>
      <c r="R89" s="211"/>
      <c r="S89" s="211"/>
      <c r="T89" s="211"/>
      <c r="U89" s="211"/>
    </row>
    <row r="90" spans="1:21" ht="18" customHeight="1" x14ac:dyDescent="0.25">
      <c r="A90" s="900"/>
      <c r="B90" s="263" t="s">
        <v>370</v>
      </c>
      <c r="C90" s="213">
        <v>71.17</v>
      </c>
      <c r="D90" s="608">
        <v>65.808000000000007</v>
      </c>
      <c r="E90" s="608">
        <v>100.968</v>
      </c>
      <c r="F90" s="608">
        <v>43.448</v>
      </c>
      <c r="G90" s="608">
        <v>73.900000000000006</v>
      </c>
      <c r="H90" s="608">
        <v>76.759</v>
      </c>
      <c r="I90" s="608">
        <v>93.275999999999996</v>
      </c>
      <c r="J90" s="608">
        <v>77.024000000000001</v>
      </c>
      <c r="K90" s="608">
        <v>62.558</v>
      </c>
      <c r="L90" s="608">
        <v>53.347000000000001</v>
      </c>
      <c r="M90" s="608">
        <v>116.474</v>
      </c>
      <c r="N90" s="608">
        <v>90.799000000000007</v>
      </c>
      <c r="O90" s="659">
        <v>90.799000000000007</v>
      </c>
      <c r="P90" s="768">
        <f t="shared" si="131"/>
        <v>0</v>
      </c>
      <c r="Q90" s="211"/>
      <c r="R90" s="211"/>
      <c r="S90" s="211"/>
      <c r="T90" s="211"/>
      <c r="U90" s="211"/>
    </row>
    <row r="91" spans="1:21" ht="18" customHeight="1" x14ac:dyDescent="0.25">
      <c r="A91" s="900"/>
      <c r="B91" s="263" t="s">
        <v>446</v>
      </c>
      <c r="C91" s="608">
        <v>92.284999999999997</v>
      </c>
      <c r="D91" s="608">
        <v>93.308000000000007</v>
      </c>
      <c r="E91" s="608">
        <v>130.06</v>
      </c>
      <c r="F91" s="608">
        <v>80.52</v>
      </c>
      <c r="G91" s="608">
        <v>87.122</v>
      </c>
      <c r="H91" s="608">
        <v>120.32899999999999</v>
      </c>
      <c r="I91" s="608">
        <v>116.197</v>
      </c>
      <c r="J91" s="608">
        <v>112.148</v>
      </c>
      <c r="K91" s="608">
        <v>74.263999999999996</v>
      </c>
      <c r="L91" s="608">
        <v>101.649</v>
      </c>
      <c r="M91" s="608">
        <v>184.75700000000001</v>
      </c>
      <c r="N91" s="608">
        <v>142.61500000000001</v>
      </c>
      <c r="O91" s="659">
        <v>142.61500000000001</v>
      </c>
      <c r="P91" s="338">
        <f t="shared" si="131"/>
        <v>0</v>
      </c>
      <c r="Q91" s="211"/>
      <c r="R91" s="211"/>
      <c r="S91" s="211"/>
      <c r="T91" s="211"/>
      <c r="U91" s="211"/>
    </row>
    <row r="92" spans="1:21" ht="18" customHeight="1" x14ac:dyDescent="0.25">
      <c r="A92" s="900"/>
      <c r="B92" s="263" t="s">
        <v>71</v>
      </c>
      <c r="C92" s="213">
        <v>77.8</v>
      </c>
      <c r="D92" s="213">
        <v>98.67</v>
      </c>
      <c r="E92" s="213">
        <v>94.9</v>
      </c>
      <c r="F92" s="213">
        <v>109.89</v>
      </c>
      <c r="G92" s="213">
        <v>56.67</v>
      </c>
      <c r="H92" s="213">
        <v>117.47</v>
      </c>
      <c r="I92" s="213">
        <v>99.68</v>
      </c>
      <c r="J92" s="213">
        <v>128.4</v>
      </c>
      <c r="K92" s="213">
        <v>88.73</v>
      </c>
      <c r="L92" s="213">
        <v>110.86</v>
      </c>
      <c r="M92" s="213">
        <v>121.63</v>
      </c>
      <c r="N92" s="213">
        <v>168.29</v>
      </c>
      <c r="O92" s="659">
        <v>168.29</v>
      </c>
      <c r="P92" s="338">
        <f t="shared" si="131"/>
        <v>0</v>
      </c>
      <c r="Q92" s="211"/>
      <c r="R92" s="211"/>
      <c r="S92" s="211"/>
      <c r="T92" s="211"/>
      <c r="U92" s="211"/>
    </row>
    <row r="93" spans="1:21" ht="18" customHeight="1" x14ac:dyDescent="0.25">
      <c r="A93" s="900"/>
      <c r="B93" s="263" t="s">
        <v>532</v>
      </c>
      <c r="C93" s="213">
        <v>0</v>
      </c>
      <c r="D93" s="213">
        <v>0</v>
      </c>
      <c r="E93" s="213">
        <v>0</v>
      </c>
      <c r="F93" s="213">
        <v>28.15</v>
      </c>
      <c r="G93" s="213">
        <v>0</v>
      </c>
      <c r="H93" s="213">
        <v>0</v>
      </c>
      <c r="I93" s="213">
        <v>0</v>
      </c>
      <c r="J93" s="213">
        <v>0</v>
      </c>
      <c r="K93" s="213">
        <v>0</v>
      </c>
      <c r="L93" s="213">
        <v>0</v>
      </c>
      <c r="M93" s="213">
        <v>0</v>
      </c>
      <c r="N93" s="213">
        <v>0</v>
      </c>
      <c r="O93" s="659">
        <v>0</v>
      </c>
      <c r="P93" s="338">
        <f t="shared" si="131"/>
        <v>0</v>
      </c>
      <c r="Q93" s="211"/>
      <c r="R93" s="211"/>
      <c r="S93" s="211"/>
      <c r="T93" s="211"/>
      <c r="U93" s="211"/>
    </row>
    <row r="94" spans="1:21" ht="18" customHeight="1" thickBot="1" x14ac:dyDescent="0.3">
      <c r="A94" s="901"/>
      <c r="B94" s="264" t="s">
        <v>108</v>
      </c>
      <c r="C94" s="215">
        <f t="shared" ref="C94:E94" si="167">+C90-(C89+C91-C92-C93)</f>
        <v>0</v>
      </c>
      <c r="D94" s="215">
        <f t="shared" si="167"/>
        <v>0</v>
      </c>
      <c r="E94" s="215">
        <f t="shared" si="167"/>
        <v>0</v>
      </c>
      <c r="F94" s="215">
        <v>0</v>
      </c>
      <c r="G94" s="215">
        <v>0</v>
      </c>
      <c r="H94" s="215">
        <v>0</v>
      </c>
      <c r="I94" s="215">
        <v>0</v>
      </c>
      <c r="J94" s="215">
        <v>0</v>
      </c>
      <c r="K94" s="215">
        <v>0</v>
      </c>
      <c r="L94" s="215">
        <v>0</v>
      </c>
      <c r="M94" s="215">
        <v>0</v>
      </c>
      <c r="N94" s="215">
        <v>0</v>
      </c>
      <c r="O94" s="659">
        <v>0</v>
      </c>
      <c r="P94" s="338">
        <f t="shared" si="131"/>
        <v>0</v>
      </c>
      <c r="Q94" s="211"/>
      <c r="R94" s="211"/>
      <c r="S94" s="211"/>
      <c r="T94" s="211"/>
      <c r="U94" s="211"/>
    </row>
    <row r="95" spans="1:21" ht="18" customHeight="1" x14ac:dyDescent="0.25">
      <c r="A95" s="898" t="s">
        <v>419</v>
      </c>
      <c r="B95" s="266" t="s">
        <v>371</v>
      </c>
      <c r="C95" s="608">
        <v>499.74299999999999</v>
      </c>
      <c r="D95" s="608">
        <f t="shared" ref="D95" si="168">+C96</f>
        <v>79.63</v>
      </c>
      <c r="E95" s="608">
        <f t="shared" ref="E95" si="169">+D96</f>
        <v>161.47</v>
      </c>
      <c r="F95" s="608">
        <f t="shared" ref="F95" si="170">+E96</f>
        <v>69.34</v>
      </c>
      <c r="G95" s="608">
        <f t="shared" ref="G95" si="171">+F96</f>
        <v>260.005</v>
      </c>
      <c r="H95" s="608">
        <f t="shared" ref="H95" si="172">+G96</f>
        <v>298.125</v>
      </c>
      <c r="I95" s="608">
        <f t="shared" ref="I95" si="173">+H96</f>
        <v>138.44300000000001</v>
      </c>
      <c r="J95" s="608">
        <f t="shared" ref="J95" si="174">+I96</f>
        <v>80.423000000000002</v>
      </c>
      <c r="K95" s="608">
        <f t="shared" ref="K95" si="175">+J96</f>
        <v>170.88</v>
      </c>
      <c r="L95" s="608">
        <f t="shared" ref="L95" si="176">+K96</f>
        <v>268.75200000000001</v>
      </c>
      <c r="M95" s="608">
        <f t="shared" ref="M95" si="177">+L96</f>
        <v>199.10599999999999</v>
      </c>
      <c r="N95" s="608">
        <f t="shared" ref="N95" si="178">+M96</f>
        <v>234.62899999999999</v>
      </c>
      <c r="O95" s="659">
        <v>234.62899999999999</v>
      </c>
      <c r="P95" s="338">
        <f t="shared" si="131"/>
        <v>0</v>
      </c>
      <c r="Q95" s="211"/>
      <c r="R95" s="211"/>
      <c r="S95" s="211"/>
      <c r="T95" s="211"/>
      <c r="U95" s="211"/>
    </row>
    <row r="96" spans="1:21" ht="18" customHeight="1" x14ac:dyDescent="0.25">
      <c r="A96" s="900"/>
      <c r="B96" s="263" t="s">
        <v>372</v>
      </c>
      <c r="C96" s="608">
        <v>79.63</v>
      </c>
      <c r="D96" s="608">
        <v>161.47</v>
      </c>
      <c r="E96" s="608">
        <v>69.34</v>
      </c>
      <c r="F96" s="608">
        <v>260.005</v>
      </c>
      <c r="G96" s="608">
        <v>298.125</v>
      </c>
      <c r="H96" s="608">
        <v>138.44300000000001</v>
      </c>
      <c r="I96" s="608">
        <v>80.423000000000002</v>
      </c>
      <c r="J96" s="608">
        <v>170.88</v>
      </c>
      <c r="K96" s="608">
        <v>268.75200000000001</v>
      </c>
      <c r="L96" s="608">
        <v>199.10599999999999</v>
      </c>
      <c r="M96" s="608">
        <v>234.62899999999999</v>
      </c>
      <c r="N96" s="608">
        <v>201.63800000000001</v>
      </c>
      <c r="O96" s="659">
        <v>201.63800000000001</v>
      </c>
      <c r="P96" s="768">
        <f t="shared" si="131"/>
        <v>0</v>
      </c>
      <c r="Q96" s="211"/>
      <c r="R96" s="211"/>
      <c r="S96" s="211"/>
      <c r="T96" s="211"/>
      <c r="U96" s="211"/>
    </row>
    <row r="97" spans="1:21" ht="18" customHeight="1" x14ac:dyDescent="0.25">
      <c r="A97" s="900"/>
      <c r="B97" s="263" t="s">
        <v>326</v>
      </c>
      <c r="C97" s="608">
        <v>4.5229999999999997</v>
      </c>
      <c r="D97" s="608">
        <v>251.459</v>
      </c>
      <c r="E97" s="608">
        <v>195.636</v>
      </c>
      <c r="F97" s="608">
        <v>209.327</v>
      </c>
      <c r="G97" s="608">
        <v>203.387</v>
      </c>
      <c r="H97" s="608">
        <v>67.528999999999996</v>
      </c>
      <c r="I97" s="608">
        <v>129.64099999999999</v>
      </c>
      <c r="J97" s="608">
        <v>147.977</v>
      </c>
      <c r="K97" s="608">
        <v>212.047</v>
      </c>
      <c r="L97" s="608">
        <v>293.86500000000001</v>
      </c>
      <c r="M97" s="608">
        <v>261.44499999999999</v>
      </c>
      <c r="N97" s="608">
        <v>149.70400000000001</v>
      </c>
      <c r="O97" s="659">
        <v>149.70400000000001</v>
      </c>
      <c r="P97" s="768">
        <f t="shared" si="131"/>
        <v>0</v>
      </c>
      <c r="Q97" s="211"/>
      <c r="R97" s="211"/>
      <c r="S97" s="211"/>
      <c r="T97" s="211"/>
      <c r="U97" s="211"/>
    </row>
    <row r="98" spans="1:21" ht="18" customHeight="1" x14ac:dyDescent="0.25">
      <c r="A98" s="900"/>
      <c r="B98" s="263" t="s">
        <v>71</v>
      </c>
      <c r="C98" s="608">
        <v>0</v>
      </c>
      <c r="D98" s="608">
        <v>0</v>
      </c>
      <c r="E98" s="608">
        <v>0</v>
      </c>
      <c r="F98" s="608">
        <v>0</v>
      </c>
      <c r="G98" s="608">
        <v>0</v>
      </c>
      <c r="H98" s="608">
        <v>0</v>
      </c>
      <c r="I98" s="608">
        <v>0</v>
      </c>
      <c r="J98" s="608">
        <v>0</v>
      </c>
      <c r="K98" s="608">
        <v>0</v>
      </c>
      <c r="L98" s="608">
        <v>0</v>
      </c>
      <c r="M98" s="608">
        <v>0</v>
      </c>
      <c r="N98" s="608">
        <v>0</v>
      </c>
      <c r="O98" s="659">
        <v>0</v>
      </c>
      <c r="P98" s="768">
        <f t="shared" si="131"/>
        <v>0</v>
      </c>
      <c r="Q98" s="211"/>
      <c r="R98" s="211"/>
      <c r="S98" s="211"/>
      <c r="T98" s="211"/>
      <c r="U98" s="211"/>
    </row>
    <row r="99" spans="1:21" ht="18" customHeight="1" x14ac:dyDescent="0.25">
      <c r="A99" s="900"/>
      <c r="B99" s="263" t="s">
        <v>345</v>
      </c>
      <c r="C99" s="608">
        <v>0</v>
      </c>
      <c r="D99" s="608">
        <v>0</v>
      </c>
      <c r="E99" s="608">
        <v>0</v>
      </c>
      <c r="F99" s="608">
        <v>0</v>
      </c>
      <c r="G99" s="608">
        <v>0</v>
      </c>
      <c r="H99" s="608">
        <v>0</v>
      </c>
      <c r="I99" s="608">
        <v>0</v>
      </c>
      <c r="J99" s="608">
        <v>0</v>
      </c>
      <c r="K99" s="608">
        <v>0</v>
      </c>
      <c r="L99" s="608">
        <v>0</v>
      </c>
      <c r="M99" s="608">
        <v>0</v>
      </c>
      <c r="N99" s="608">
        <v>0</v>
      </c>
      <c r="O99" s="659">
        <v>0</v>
      </c>
      <c r="P99" s="768">
        <f t="shared" si="131"/>
        <v>0</v>
      </c>
      <c r="Q99" s="211"/>
      <c r="R99" s="211"/>
      <c r="S99" s="211"/>
      <c r="T99" s="211"/>
      <c r="U99" s="211"/>
    </row>
    <row r="100" spans="1:21" ht="18" customHeight="1" x14ac:dyDescent="0.25">
      <c r="A100" s="900"/>
      <c r="B100" s="263" t="s">
        <v>339</v>
      </c>
      <c r="C100" s="608">
        <v>869.42399999999998</v>
      </c>
      <c r="D100" s="608">
        <v>409.94200000000001</v>
      </c>
      <c r="E100" s="608">
        <v>1107.31</v>
      </c>
      <c r="F100" s="608">
        <v>595.34799999999996</v>
      </c>
      <c r="G100" s="608">
        <v>522.86800000000005</v>
      </c>
      <c r="H100" s="608">
        <v>768.04600000000005</v>
      </c>
      <c r="I100" s="608">
        <v>809.67</v>
      </c>
      <c r="J100" s="608">
        <v>462.40199999999999</v>
      </c>
      <c r="K100" s="608">
        <v>582.98599999999999</v>
      </c>
      <c r="L100" s="608">
        <v>726.67399999999998</v>
      </c>
      <c r="M100" s="608">
        <v>569.75199999999995</v>
      </c>
      <c r="N100" s="608">
        <v>404.488</v>
      </c>
      <c r="O100" s="659">
        <v>404.488</v>
      </c>
      <c r="P100" s="768">
        <f t="shared" si="131"/>
        <v>0</v>
      </c>
      <c r="Q100" s="211"/>
      <c r="R100" s="211"/>
      <c r="S100" s="211"/>
      <c r="T100" s="211"/>
      <c r="U100" s="211"/>
    </row>
    <row r="101" spans="1:21" ht="18" customHeight="1" x14ac:dyDescent="0.25">
      <c r="A101" s="900"/>
      <c r="B101" s="263" t="s">
        <v>456</v>
      </c>
      <c r="C101" s="608">
        <v>547.66800000000001</v>
      </c>
      <c r="D101" s="608">
        <v>342.62900000000002</v>
      </c>
      <c r="E101" s="608">
        <v>1145.3240000000001</v>
      </c>
      <c r="F101" s="608">
        <v>695.50199999999995</v>
      </c>
      <c r="G101" s="608">
        <v>609.04999999999995</v>
      </c>
      <c r="H101" s="608">
        <v>647.26499999999999</v>
      </c>
      <c r="I101" s="608">
        <v>707.36500000000001</v>
      </c>
      <c r="J101" s="608">
        <v>462.27800000000002</v>
      </c>
      <c r="K101" s="608">
        <v>814.58600000000001</v>
      </c>
      <c r="L101" s="608">
        <v>586.25400000000002</v>
      </c>
      <c r="M101" s="608">
        <v>592.29200000000003</v>
      </c>
      <c r="N101" s="608">
        <v>336.48099999999999</v>
      </c>
      <c r="O101" s="659">
        <v>336.48099999999999</v>
      </c>
      <c r="P101" s="768">
        <f t="shared" si="131"/>
        <v>0</v>
      </c>
      <c r="Q101" s="211"/>
      <c r="R101" s="211"/>
      <c r="S101" s="211"/>
      <c r="T101" s="211"/>
      <c r="U101" s="211"/>
    </row>
    <row r="102" spans="1:21" ht="21" customHeight="1" thickBot="1" x14ac:dyDescent="0.3">
      <c r="A102" s="901"/>
      <c r="B102" s="268" t="s">
        <v>108</v>
      </c>
      <c r="C102" s="607">
        <f>+C96-(C95+C97+C101-C98-C99-C100)+103.206</f>
        <v>0.32600000000000762</v>
      </c>
      <c r="D102" s="607">
        <f>+D96-(D95+D97+D101-D98-D99-D100)+101.475</f>
        <v>-0.83100000000007412</v>
      </c>
      <c r="E102" s="607">
        <f>+E96-(E95+E97+E101-E98-E99-E100)+326.473</f>
        <v>0.69299999999992679</v>
      </c>
      <c r="F102" s="607">
        <f>+F96-(F95+F97+F101-F98-F99-F100)+119.302</f>
        <v>0.48599999999997578</v>
      </c>
      <c r="G102" s="607">
        <f>+G96-(G95+G97+G101-G98-G99-G100)+250.843</f>
        <v>-0.60599999999996612</v>
      </c>
      <c r="H102" s="607">
        <f>+H96-(H95+H97+H101-H98-H99-H100)+105.472</f>
        <v>-0.95799999999992735</v>
      </c>
      <c r="I102" s="607">
        <f>+I96-(I95+I97+I101-I98-I99-I100)+85.656</f>
        <v>0.29999999999989768</v>
      </c>
      <c r="J102" s="607">
        <f>+J96-(J95+J97+J101-J98-J99-J100)+58.155</f>
        <v>0.75899999999998613</v>
      </c>
      <c r="K102" s="607">
        <f>+K96-(K95+K97+K101-K98-K99-K100)+226.107+120.176</f>
        <v>0.50800000000008083</v>
      </c>
      <c r="L102" s="607">
        <f>+L96-(L95+L97+L101-L98-L99-L100)+223.44</f>
        <v>0.34899999999987585</v>
      </c>
      <c r="M102" s="607">
        <f>+M96-(M95+M97+M101-M98-M99-M100)+247.943</f>
        <v>-0.51900000000011914</v>
      </c>
      <c r="N102" s="607">
        <f>+N96-(N95+N97+N101-N98-N99-N100)+114.079</f>
        <v>-0.60899999999996624</v>
      </c>
      <c r="O102" s="659">
        <v>-0.60899999999999999</v>
      </c>
      <c r="P102" s="768">
        <f t="shared" si="131"/>
        <v>3.3750779948604759E-14</v>
      </c>
      <c r="Q102" s="211"/>
      <c r="R102" s="211"/>
      <c r="S102" s="211"/>
      <c r="T102" s="211"/>
      <c r="U102" s="211"/>
    </row>
    <row r="103" spans="1:21" ht="18" customHeight="1" x14ac:dyDescent="0.25">
      <c r="A103" s="888" t="s">
        <v>78</v>
      </c>
      <c r="B103" s="266" t="s">
        <v>528</v>
      </c>
      <c r="C103" s="608">
        <v>0</v>
      </c>
      <c r="D103" s="608">
        <v>0</v>
      </c>
      <c r="E103" s="608">
        <v>0</v>
      </c>
      <c r="F103" s="608">
        <v>0</v>
      </c>
      <c r="G103" s="608">
        <v>0</v>
      </c>
      <c r="H103" s="608">
        <v>0</v>
      </c>
      <c r="I103" s="608">
        <v>0</v>
      </c>
      <c r="J103" s="608">
        <v>0</v>
      </c>
      <c r="K103" s="608">
        <v>0</v>
      </c>
      <c r="L103" s="608">
        <v>0</v>
      </c>
      <c r="M103" s="608">
        <v>0</v>
      </c>
      <c r="N103" s="608">
        <v>419.28</v>
      </c>
      <c r="O103" s="615">
        <v>419.28</v>
      </c>
      <c r="P103" s="338">
        <f t="shared" ref="P103:P115" si="179">N103-O103</f>
        <v>0</v>
      </c>
      <c r="Q103" s="211"/>
      <c r="R103" s="211"/>
      <c r="S103" s="211"/>
      <c r="T103" s="211"/>
      <c r="U103" s="211"/>
    </row>
    <row r="104" spans="1:21" ht="18" customHeight="1" x14ac:dyDescent="0.25">
      <c r="A104" s="891"/>
      <c r="B104" s="269" t="s">
        <v>378</v>
      </c>
      <c r="C104" s="608">
        <v>2221.6689999999999</v>
      </c>
      <c r="D104" s="608">
        <v>1977.2860000000001</v>
      </c>
      <c r="E104" s="608">
        <v>3461.9389999999999</v>
      </c>
      <c r="F104" s="608">
        <v>2678.1619999999998</v>
      </c>
      <c r="G104" s="608">
        <v>2187.7020000000002</v>
      </c>
      <c r="H104" s="608">
        <v>3187.7420000000002</v>
      </c>
      <c r="I104" s="608">
        <v>3195.7579999999998</v>
      </c>
      <c r="J104" s="608">
        <v>2536.1950000000002</v>
      </c>
      <c r="K104" s="608">
        <v>2764.1370000000002</v>
      </c>
      <c r="L104" s="608">
        <v>2528.1747568000001</v>
      </c>
      <c r="M104" s="608">
        <v>2834.4740000000002</v>
      </c>
      <c r="N104" s="608">
        <v>3157.75</v>
      </c>
      <c r="O104" s="615">
        <v>3157.75</v>
      </c>
      <c r="P104" s="338">
        <f t="shared" si="179"/>
        <v>0</v>
      </c>
      <c r="Q104" s="211"/>
      <c r="R104" s="211"/>
      <c r="S104" s="211"/>
      <c r="T104" s="211"/>
      <c r="U104" s="211"/>
    </row>
    <row r="105" spans="1:21" ht="18" customHeight="1" thickBot="1" x14ac:dyDescent="0.3">
      <c r="A105" s="889"/>
      <c r="B105" s="267" t="s">
        <v>366</v>
      </c>
      <c r="C105" s="694">
        <f t="shared" ref="C105:J105" si="180">C103+C104</f>
        <v>2221.6689999999999</v>
      </c>
      <c r="D105" s="694">
        <f t="shared" si="180"/>
        <v>1977.2860000000001</v>
      </c>
      <c r="E105" s="694">
        <f t="shared" si="180"/>
        <v>3461.9389999999999</v>
      </c>
      <c r="F105" s="694">
        <f t="shared" si="180"/>
        <v>2678.1619999999998</v>
      </c>
      <c r="G105" s="694">
        <f t="shared" si="180"/>
        <v>2187.7020000000002</v>
      </c>
      <c r="H105" s="694">
        <f t="shared" si="180"/>
        <v>3187.7420000000002</v>
      </c>
      <c r="I105" s="694">
        <f t="shared" si="180"/>
        <v>3195.7579999999998</v>
      </c>
      <c r="J105" s="694">
        <f t="shared" si="180"/>
        <v>2536.1950000000002</v>
      </c>
      <c r="K105" s="694">
        <f>K103+K104</f>
        <v>2764.1370000000002</v>
      </c>
      <c r="L105" s="694">
        <f>L103+L104</f>
        <v>2528.1747568000001</v>
      </c>
      <c r="M105" s="694">
        <f>M103+M104</f>
        <v>2834.4740000000002</v>
      </c>
      <c r="N105" s="694">
        <f>N103+N104</f>
        <v>3577.0299999999997</v>
      </c>
      <c r="O105" s="615">
        <v>3577.0303159999994</v>
      </c>
      <c r="P105" s="338">
        <f t="shared" si="179"/>
        <v>-3.1599999965692405E-4</v>
      </c>
      <c r="Q105" s="211"/>
      <c r="R105" s="211"/>
      <c r="S105" s="211"/>
      <c r="T105" s="211"/>
      <c r="U105" s="211"/>
    </row>
    <row r="106" spans="1:21" ht="18" customHeight="1" x14ac:dyDescent="0.25">
      <c r="A106" s="888" t="s">
        <v>306</v>
      </c>
      <c r="B106" s="263" t="s">
        <v>322</v>
      </c>
      <c r="C106" s="608">
        <v>249.471</v>
      </c>
      <c r="D106" s="608">
        <v>223.99600000000001</v>
      </c>
      <c r="E106" s="608">
        <v>373.38900000000001</v>
      </c>
      <c r="F106" s="608">
        <v>284.339</v>
      </c>
      <c r="G106" s="608">
        <v>232.89400000000001</v>
      </c>
      <c r="H106" s="608">
        <v>349.98500000000001</v>
      </c>
      <c r="I106" s="608">
        <v>365.94400000000002</v>
      </c>
      <c r="J106" s="608">
        <v>307.23899999999998</v>
      </c>
      <c r="K106" s="608">
        <v>336.63400000000001</v>
      </c>
      <c r="L106" s="608">
        <v>300.577</v>
      </c>
      <c r="M106" s="608">
        <v>349.00099999999998</v>
      </c>
      <c r="N106" s="608">
        <v>342.63400000000001</v>
      </c>
      <c r="O106" s="659">
        <v>369.01400000000001</v>
      </c>
      <c r="P106" s="768">
        <f t="shared" si="179"/>
        <v>-26.379999999999995</v>
      </c>
      <c r="Q106" s="211"/>
      <c r="R106" s="211"/>
      <c r="S106" s="211"/>
      <c r="T106" s="211"/>
      <c r="U106" s="211"/>
    </row>
    <row r="107" spans="1:21" ht="18" customHeight="1" x14ac:dyDescent="0.25">
      <c r="A107" s="891"/>
      <c r="B107" s="263" t="s">
        <v>323</v>
      </c>
      <c r="C107" s="608">
        <v>0</v>
      </c>
      <c r="D107" s="608">
        <v>0</v>
      </c>
      <c r="E107" s="608">
        <v>0</v>
      </c>
      <c r="F107" s="608">
        <v>0</v>
      </c>
      <c r="G107" s="608">
        <v>0</v>
      </c>
      <c r="H107" s="608">
        <v>0</v>
      </c>
      <c r="I107" s="608">
        <v>0</v>
      </c>
      <c r="J107" s="608">
        <v>4.9420000000000002</v>
      </c>
      <c r="K107" s="608">
        <v>0</v>
      </c>
      <c r="L107" s="608">
        <v>0</v>
      </c>
      <c r="M107" s="608">
        <v>0</v>
      </c>
      <c r="N107" s="608">
        <v>18.074999999999999</v>
      </c>
      <c r="O107" s="659">
        <v>0</v>
      </c>
      <c r="P107" s="768">
        <f t="shared" si="179"/>
        <v>18.074999999999999</v>
      </c>
      <c r="Q107" s="211"/>
      <c r="R107" s="211"/>
      <c r="S107" s="211"/>
      <c r="T107" s="211"/>
      <c r="U107" s="211"/>
    </row>
    <row r="108" spans="1:21" ht="18" customHeight="1" x14ac:dyDescent="0.25">
      <c r="A108" s="891"/>
      <c r="B108" s="263" t="s">
        <v>339</v>
      </c>
      <c r="C108" s="608">
        <v>37.688000000000002</v>
      </c>
      <c r="D108" s="608">
        <v>18.411000000000001</v>
      </c>
      <c r="E108" s="608">
        <v>46.738</v>
      </c>
      <c r="F108" s="608">
        <v>27.481999999999999</v>
      </c>
      <c r="G108" s="608">
        <v>21.9</v>
      </c>
      <c r="H108" s="608">
        <v>31.658000000000001</v>
      </c>
      <c r="I108" s="608">
        <v>34.82</v>
      </c>
      <c r="J108" s="608">
        <v>20.048999999999999</v>
      </c>
      <c r="K108" s="608">
        <v>25.04</v>
      </c>
      <c r="L108" s="608">
        <v>33.29</v>
      </c>
      <c r="M108" s="608">
        <v>26.795999999999999</v>
      </c>
      <c r="N108" s="608">
        <v>17.192</v>
      </c>
      <c r="O108" s="659">
        <v>8.8869999999999436</v>
      </c>
      <c r="P108" s="768">
        <f t="shared" si="179"/>
        <v>8.3050000000000566</v>
      </c>
      <c r="Q108" s="211"/>
      <c r="R108" s="211"/>
      <c r="S108" s="211"/>
      <c r="T108" s="211"/>
      <c r="U108" s="211"/>
    </row>
    <row r="109" spans="1:21" ht="18" customHeight="1" thickBot="1" x14ac:dyDescent="0.3">
      <c r="A109" s="889"/>
      <c r="B109" s="270" t="s">
        <v>366</v>
      </c>
      <c r="C109" s="694">
        <f t="shared" ref="C109:I109" si="181">SUM(C106:C108)</f>
        <v>287.15899999999999</v>
      </c>
      <c r="D109" s="694">
        <f t="shared" si="181"/>
        <v>242.40700000000001</v>
      </c>
      <c r="E109" s="694">
        <f t="shared" si="181"/>
        <v>420.12700000000001</v>
      </c>
      <c r="F109" s="694">
        <f t="shared" si="181"/>
        <v>311.82100000000003</v>
      </c>
      <c r="G109" s="694">
        <f t="shared" si="181"/>
        <v>254.79400000000001</v>
      </c>
      <c r="H109" s="694">
        <f t="shared" si="181"/>
        <v>381.64300000000003</v>
      </c>
      <c r="I109" s="694">
        <f t="shared" si="181"/>
        <v>400.76400000000001</v>
      </c>
      <c r="J109" s="694">
        <f>SUM(J106:J108)</f>
        <v>332.22999999999996</v>
      </c>
      <c r="K109" s="694">
        <f>SUM(K106:K108)</f>
        <v>361.67400000000004</v>
      </c>
      <c r="L109" s="694">
        <f>SUM(L106:L108)</f>
        <v>333.86700000000002</v>
      </c>
      <c r="M109" s="694">
        <f>SUM(M106:M108)</f>
        <v>375.79699999999997</v>
      </c>
      <c r="N109" s="694">
        <f>SUM(N106:N108)</f>
        <v>377.90100000000001</v>
      </c>
      <c r="O109" s="659">
        <v>377.90099999999995</v>
      </c>
      <c r="P109" s="768">
        <f t="shared" si="179"/>
        <v>0</v>
      </c>
      <c r="Q109" s="211"/>
      <c r="R109" s="211"/>
      <c r="S109" s="211"/>
      <c r="T109" s="211"/>
      <c r="U109" s="211"/>
    </row>
    <row r="110" spans="1:21" ht="18" customHeight="1" x14ac:dyDescent="0.25">
      <c r="A110" s="890" t="s">
        <v>374</v>
      </c>
      <c r="B110" s="263" t="s">
        <v>378</v>
      </c>
      <c r="C110" s="613">
        <v>165890</v>
      </c>
      <c r="D110" s="613">
        <v>143063</v>
      </c>
      <c r="E110" s="613">
        <v>244686</v>
      </c>
      <c r="F110" s="613">
        <v>189728</v>
      </c>
      <c r="G110" s="613">
        <v>153495</v>
      </c>
      <c r="H110" s="613">
        <v>222525</v>
      </c>
      <c r="I110" s="613">
        <v>240423</v>
      </c>
      <c r="J110" s="613">
        <v>185656</v>
      </c>
      <c r="K110" s="613">
        <v>213216</v>
      </c>
      <c r="L110" s="613">
        <v>194623</v>
      </c>
      <c r="M110" s="613">
        <v>227158</v>
      </c>
      <c r="N110" s="613">
        <v>196476</v>
      </c>
      <c r="O110" s="771">
        <v>196476</v>
      </c>
      <c r="P110" s="768">
        <f t="shared" si="179"/>
        <v>0</v>
      </c>
      <c r="Q110" s="211"/>
      <c r="R110" s="211"/>
      <c r="S110" s="211"/>
      <c r="T110" s="211"/>
      <c r="U110" s="211"/>
    </row>
    <row r="111" spans="1:21" ht="18" customHeight="1" x14ac:dyDescent="0.25">
      <c r="A111" s="891"/>
      <c r="B111" s="263" t="s">
        <v>375</v>
      </c>
      <c r="C111" s="613">
        <v>44289</v>
      </c>
      <c r="D111" s="613">
        <v>21915</v>
      </c>
      <c r="E111" s="613">
        <v>40611</v>
      </c>
      <c r="F111" s="613">
        <v>23950</v>
      </c>
      <c r="G111" s="613">
        <v>19992</v>
      </c>
      <c r="H111" s="613">
        <v>37654</v>
      </c>
      <c r="I111" s="613">
        <v>38994</v>
      </c>
      <c r="J111" s="613">
        <v>23494</v>
      </c>
      <c r="K111" s="613">
        <v>25990</v>
      </c>
      <c r="L111" s="613">
        <v>33869</v>
      </c>
      <c r="M111" s="613">
        <v>25902</v>
      </c>
      <c r="N111" s="613">
        <v>18925</v>
      </c>
      <c r="O111" s="771">
        <v>18925</v>
      </c>
      <c r="P111" s="768">
        <f t="shared" si="179"/>
        <v>0</v>
      </c>
      <c r="Q111" s="211"/>
      <c r="R111" s="211"/>
      <c r="S111" s="211"/>
      <c r="T111" s="211"/>
      <c r="U111" s="211"/>
    </row>
    <row r="112" spans="1:21" ht="18" customHeight="1" x14ac:dyDescent="0.25">
      <c r="A112" s="891"/>
      <c r="B112" s="263" t="s">
        <v>422</v>
      </c>
      <c r="C112" s="613">
        <v>25841</v>
      </c>
      <c r="D112" s="613">
        <v>60058</v>
      </c>
      <c r="E112" s="613">
        <v>97848</v>
      </c>
      <c r="F112" s="613">
        <v>76612</v>
      </c>
      <c r="G112" s="613">
        <v>705</v>
      </c>
      <c r="H112" s="613">
        <v>0</v>
      </c>
      <c r="I112" s="613">
        <v>85166</v>
      </c>
      <c r="J112" s="613">
        <v>77427</v>
      </c>
      <c r="K112" s="613">
        <v>83260</v>
      </c>
      <c r="L112" s="613">
        <v>80381</v>
      </c>
      <c r="M112" s="613">
        <v>95334</v>
      </c>
      <c r="N112" s="613">
        <v>97177</v>
      </c>
      <c r="O112" s="771">
        <v>97177</v>
      </c>
      <c r="P112" s="768">
        <f t="shared" si="179"/>
        <v>0</v>
      </c>
      <c r="Q112" s="211"/>
      <c r="R112" s="211"/>
      <c r="S112" s="211"/>
      <c r="T112" s="211"/>
      <c r="U112" s="211"/>
    </row>
    <row r="113" spans="1:21" ht="18" customHeight="1" thickBot="1" x14ac:dyDescent="0.3">
      <c r="A113" s="889"/>
      <c r="B113" s="270" t="s">
        <v>366</v>
      </c>
      <c r="C113" s="702">
        <f t="shared" ref="C113:E113" si="182">+SUM(C110:C112)</f>
        <v>236020</v>
      </c>
      <c r="D113" s="702">
        <f t="shared" si="182"/>
        <v>225036</v>
      </c>
      <c r="E113" s="702">
        <f t="shared" si="182"/>
        <v>383145</v>
      </c>
      <c r="F113" s="702">
        <f t="shared" ref="F113:K113" si="183">+SUM(F110:F112)</f>
        <v>290290</v>
      </c>
      <c r="G113" s="702">
        <f t="shared" si="183"/>
        <v>174192</v>
      </c>
      <c r="H113" s="702">
        <f t="shared" si="183"/>
        <v>260179</v>
      </c>
      <c r="I113" s="702">
        <f t="shared" si="183"/>
        <v>364583</v>
      </c>
      <c r="J113" s="702">
        <f t="shared" si="183"/>
        <v>286577</v>
      </c>
      <c r="K113" s="702">
        <f t="shared" si="183"/>
        <v>322466</v>
      </c>
      <c r="L113" s="702">
        <f t="shared" ref="L113:M113" si="184">+SUM(L110:L112)</f>
        <v>308873</v>
      </c>
      <c r="M113" s="702">
        <f t="shared" si="184"/>
        <v>348394</v>
      </c>
      <c r="N113" s="702">
        <f t="shared" ref="N113" si="185">+SUM(N110:N112)</f>
        <v>312578</v>
      </c>
      <c r="O113" s="771">
        <v>312578</v>
      </c>
      <c r="P113" s="768">
        <f t="shared" si="179"/>
        <v>0</v>
      </c>
      <c r="Q113" s="211"/>
      <c r="R113" s="211"/>
      <c r="S113" s="211"/>
      <c r="T113" s="211"/>
      <c r="U113" s="211"/>
    </row>
    <row r="114" spans="1:21" ht="18" customHeight="1" x14ac:dyDescent="0.25">
      <c r="A114" s="898" t="s">
        <v>312</v>
      </c>
      <c r="B114" s="266" t="s">
        <v>313</v>
      </c>
      <c r="C114" s="212">
        <v>706.07</v>
      </c>
      <c r="D114" s="212">
        <v>608.27</v>
      </c>
      <c r="E114" s="212">
        <v>869.19</v>
      </c>
      <c r="F114" s="212">
        <v>753.13</v>
      </c>
      <c r="G114" s="212">
        <v>591.42999999999995</v>
      </c>
      <c r="H114" s="212">
        <v>904.25</v>
      </c>
      <c r="I114" s="212">
        <v>893.77</v>
      </c>
      <c r="J114" s="212">
        <v>735.81</v>
      </c>
      <c r="K114" s="212">
        <v>789.86</v>
      </c>
      <c r="L114" s="212">
        <v>709.91</v>
      </c>
      <c r="M114" s="212">
        <v>1020.49</v>
      </c>
      <c r="N114" s="212">
        <v>1195.8900000000001</v>
      </c>
      <c r="O114" s="615">
        <v>1195.8900000000001</v>
      </c>
      <c r="P114" s="338">
        <f t="shared" si="179"/>
        <v>0</v>
      </c>
      <c r="Q114" s="211"/>
      <c r="R114" s="211"/>
      <c r="S114" s="211"/>
      <c r="T114" s="211"/>
      <c r="U114" s="211"/>
    </row>
    <row r="115" spans="1:21" ht="18" customHeight="1" thickBot="1" x14ac:dyDescent="0.3">
      <c r="A115" s="899"/>
      <c r="B115" s="267" t="s">
        <v>314</v>
      </c>
      <c r="C115" s="318">
        <v>21</v>
      </c>
      <c r="D115" s="318">
        <v>18</v>
      </c>
      <c r="E115" s="318">
        <v>26</v>
      </c>
      <c r="F115" s="318">
        <v>22</v>
      </c>
      <c r="G115" s="318">
        <v>17</v>
      </c>
      <c r="H115" s="318">
        <v>27</v>
      </c>
      <c r="I115" s="318">
        <v>26</v>
      </c>
      <c r="J115" s="318">
        <v>22</v>
      </c>
      <c r="K115" s="318">
        <v>23</v>
      </c>
      <c r="L115" s="318">
        <v>21</v>
      </c>
      <c r="M115" s="318">
        <v>30</v>
      </c>
      <c r="N115" s="318">
        <v>35</v>
      </c>
      <c r="O115" s="731">
        <v>35</v>
      </c>
      <c r="P115" s="338">
        <f t="shared" si="179"/>
        <v>0</v>
      </c>
      <c r="Q115" s="211"/>
      <c r="R115" s="211"/>
      <c r="S115" s="211"/>
      <c r="T115" s="211"/>
      <c r="U115" s="211"/>
    </row>
    <row r="116" spans="1:21" ht="17.25" thickBot="1" x14ac:dyDescent="0.3">
      <c r="C116" s="251"/>
      <c r="D116" s="251"/>
      <c r="E116" s="251"/>
      <c r="F116" s="251"/>
      <c r="G116" s="251"/>
      <c r="H116" s="251"/>
      <c r="I116" s="251"/>
      <c r="J116" s="251"/>
      <c r="K116" s="251"/>
      <c r="L116" s="251"/>
      <c r="M116" s="251"/>
      <c r="N116" s="251"/>
      <c r="O116" s="626"/>
      <c r="P116" s="338"/>
    </row>
    <row r="117" spans="1:21" x14ac:dyDescent="0.25">
      <c r="A117" s="888" t="s">
        <v>453</v>
      </c>
      <c r="B117" s="513" t="s">
        <v>452</v>
      </c>
      <c r="C117" s="514">
        <v>0</v>
      </c>
      <c r="D117" s="514">
        <v>0</v>
      </c>
      <c r="E117" s="514">
        <v>0</v>
      </c>
      <c r="F117" s="514">
        <v>0</v>
      </c>
      <c r="G117" s="514">
        <v>0</v>
      </c>
      <c r="H117" s="514">
        <v>0</v>
      </c>
      <c r="I117" s="514">
        <v>0</v>
      </c>
      <c r="J117" s="514">
        <v>0</v>
      </c>
      <c r="K117" s="514">
        <v>0</v>
      </c>
      <c r="L117" s="514">
        <v>0</v>
      </c>
      <c r="M117" s="514">
        <v>0</v>
      </c>
      <c r="N117" s="514">
        <v>0</v>
      </c>
      <c r="O117" s="615"/>
      <c r="P117" s="338"/>
    </row>
    <row r="118" spans="1:21" ht="17.25" thickBot="1" x14ac:dyDescent="0.3">
      <c r="A118" s="889"/>
      <c r="B118" s="267" t="s">
        <v>454</v>
      </c>
      <c r="C118" s="216">
        <f t="shared" ref="C118:J118" si="186">C77-C117</f>
        <v>851.79300000000001</v>
      </c>
      <c r="D118" s="216">
        <f t="shared" si="186"/>
        <v>750.63599999999997</v>
      </c>
      <c r="E118" s="216">
        <f t="shared" si="186"/>
        <v>1332.741</v>
      </c>
      <c r="F118" s="216">
        <f t="shared" si="186"/>
        <v>1024.184</v>
      </c>
      <c r="G118" s="216">
        <f t="shared" si="186"/>
        <v>829.86199999999997</v>
      </c>
      <c r="H118" s="216">
        <f t="shared" si="186"/>
        <v>1242.52</v>
      </c>
      <c r="I118" s="216">
        <f t="shared" si="186"/>
        <v>1275.7550000000001</v>
      </c>
      <c r="J118" s="216">
        <f t="shared" si="186"/>
        <v>1000.938</v>
      </c>
      <c r="K118" s="216">
        <f>K77-K117</f>
        <v>1125.4929999999999</v>
      </c>
      <c r="L118" s="216">
        <f>L77-L117</f>
        <v>979.22199999999998</v>
      </c>
      <c r="M118" s="216">
        <f>M77-M117</f>
        <v>1167.3810000000001</v>
      </c>
      <c r="N118" s="216">
        <f>N77-N117</f>
        <v>1278.04</v>
      </c>
      <c r="O118" s="614"/>
    </row>
    <row r="119" spans="1:21" x14ac:dyDescent="0.25">
      <c r="C119" s="211"/>
      <c r="D119" s="211"/>
      <c r="E119" s="211"/>
      <c r="F119" s="211"/>
      <c r="G119" s="211"/>
      <c r="H119" s="211"/>
      <c r="I119" s="211"/>
      <c r="J119" s="211"/>
      <c r="K119" s="211"/>
      <c r="L119" s="211"/>
      <c r="M119" s="211"/>
      <c r="N119" s="211"/>
    </row>
    <row r="120" spans="1:21" x14ac:dyDescent="0.25">
      <c r="C120" s="211"/>
      <c r="D120" s="211"/>
      <c r="E120" s="211"/>
      <c r="F120" s="211"/>
      <c r="G120" s="211"/>
      <c r="H120" s="211"/>
      <c r="I120" s="211"/>
      <c r="J120" s="211"/>
      <c r="K120" s="211"/>
      <c r="L120" s="211"/>
      <c r="M120" s="211"/>
      <c r="N120" s="211"/>
    </row>
    <row r="121" spans="1:21" x14ac:dyDescent="0.25">
      <c r="C121" s="211"/>
      <c r="D121" s="211"/>
      <c r="E121" s="506"/>
      <c r="F121" s="506"/>
      <c r="G121" s="506"/>
      <c r="H121" s="506"/>
      <c r="I121" s="507"/>
      <c r="J121" s="507"/>
      <c r="K121" s="507"/>
      <c r="L121" s="507"/>
      <c r="M121" s="507"/>
      <c r="N121" s="507"/>
      <c r="O121" s="507"/>
    </row>
    <row r="122" spans="1:21" x14ac:dyDescent="0.25">
      <c r="E122" s="506"/>
      <c r="F122" s="508"/>
      <c r="G122" s="508"/>
      <c r="H122" s="508"/>
      <c r="I122" s="509"/>
      <c r="J122" s="509"/>
      <c r="K122" s="509"/>
      <c r="L122" s="509"/>
      <c r="M122" s="509"/>
      <c r="N122" s="509"/>
      <c r="O122" s="509"/>
    </row>
    <row r="123" spans="1:21" x14ac:dyDescent="0.25">
      <c r="E123" s="506"/>
      <c r="F123" s="508"/>
      <c r="G123" s="508"/>
      <c r="H123" s="508"/>
      <c r="I123" s="509"/>
      <c r="J123" s="509"/>
      <c r="K123" s="509"/>
      <c r="L123" s="509"/>
      <c r="M123" s="509"/>
      <c r="N123" s="509"/>
      <c r="O123" s="509"/>
    </row>
    <row r="125" spans="1:21" x14ac:dyDescent="0.25">
      <c r="C125" s="211"/>
      <c r="D125" s="211"/>
      <c r="E125" s="211"/>
      <c r="F125" s="211"/>
      <c r="G125" s="211"/>
      <c r="H125" s="211"/>
      <c r="I125" s="211"/>
      <c r="J125" s="211"/>
      <c r="K125" s="211"/>
      <c r="L125" s="211"/>
      <c r="M125" s="211"/>
    </row>
    <row r="126" spans="1:21" x14ac:dyDescent="0.25">
      <c r="C126" s="211"/>
      <c r="D126" s="211"/>
      <c r="E126" s="211"/>
      <c r="F126" s="211"/>
      <c r="G126" s="211"/>
      <c r="H126" s="211"/>
      <c r="I126" s="211"/>
      <c r="J126" s="211"/>
      <c r="K126" s="211"/>
      <c r="L126" s="211"/>
      <c r="M126" s="211"/>
    </row>
    <row r="127" spans="1:21" x14ac:dyDescent="0.25">
      <c r="C127" s="211"/>
      <c r="D127" s="211"/>
      <c r="E127" s="211"/>
      <c r="F127" s="211"/>
      <c r="G127" s="211"/>
      <c r="H127" s="211"/>
      <c r="I127" s="211"/>
      <c r="J127" s="211"/>
      <c r="K127" s="211"/>
      <c r="L127" s="211"/>
      <c r="M127" s="211"/>
    </row>
    <row r="128" spans="1:21" x14ac:dyDescent="0.25">
      <c r="C128" s="211"/>
      <c r="D128" s="211"/>
      <c r="E128" s="211"/>
      <c r="F128" s="211"/>
      <c r="G128" s="211"/>
      <c r="H128" s="211"/>
      <c r="I128" s="211"/>
      <c r="J128" s="211"/>
      <c r="K128" s="211"/>
      <c r="L128" s="211"/>
      <c r="M128" s="211"/>
      <c r="N128" s="510"/>
    </row>
    <row r="129" spans="3:14" x14ac:dyDescent="0.25">
      <c r="C129" s="211"/>
      <c r="F129" s="510"/>
      <c r="G129" s="510"/>
      <c r="H129" s="510"/>
      <c r="I129" s="510"/>
      <c r="J129" s="510"/>
      <c r="K129" s="510"/>
      <c r="L129" s="510"/>
      <c r="M129" s="510"/>
      <c r="N129" s="510"/>
    </row>
  </sheetData>
  <mergeCells count="25">
    <mergeCell ref="C1:K4"/>
    <mergeCell ref="A45:A50"/>
    <mergeCell ref="A75:A82"/>
    <mergeCell ref="A89:A94"/>
    <mergeCell ref="L2:M2"/>
    <mergeCell ref="L3:M3"/>
    <mergeCell ref="L4:M4"/>
    <mergeCell ref="A83:A88"/>
    <mergeCell ref="A39:A44"/>
    <mergeCell ref="A7:A13"/>
    <mergeCell ref="A26:A32"/>
    <mergeCell ref="A14:A19"/>
    <mergeCell ref="A67:A74"/>
    <mergeCell ref="A33:A38"/>
    <mergeCell ref="A62:A66"/>
    <mergeCell ref="A57:A61"/>
    <mergeCell ref="A117:A118"/>
    <mergeCell ref="A20:A25"/>
    <mergeCell ref="A106:A109"/>
    <mergeCell ref="A110:A113"/>
    <mergeCell ref="A1:B4"/>
    <mergeCell ref="A114:A115"/>
    <mergeCell ref="A103:A105"/>
    <mergeCell ref="A95:A102"/>
    <mergeCell ref="A51:A56"/>
  </mergeCell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12"/>
  <dimension ref="B1:O17"/>
  <sheetViews>
    <sheetView showGridLines="0" topLeftCell="A10" zoomScaleNormal="100" workbookViewId="0">
      <selection activeCell="M15" sqref="M15"/>
    </sheetView>
  </sheetViews>
  <sheetFormatPr baseColWidth="10" defaultRowHeight="16.5" x14ac:dyDescent="0.25"/>
  <cols>
    <col min="1" max="1" width="2.85546875" style="614" customWidth="1"/>
    <col min="2" max="2" width="3.85546875" style="614" customWidth="1"/>
    <col min="3" max="3" width="8.140625" style="614" customWidth="1"/>
    <col min="4" max="4" width="15.140625" style="614" customWidth="1"/>
    <col min="5" max="6" width="11.42578125" style="614"/>
    <col min="7" max="7" width="7.28515625" style="614" customWidth="1"/>
    <col min="8" max="8" width="4.140625" style="614" customWidth="1"/>
    <col min="9" max="9" width="3.28515625" style="614" customWidth="1"/>
    <col min="10" max="10" width="5.42578125" style="614" hidden="1" customWidth="1"/>
    <col min="11" max="11" width="4.28515625" style="614" hidden="1" customWidth="1"/>
    <col min="12" max="12" width="23" style="614" bestFit="1" customWidth="1"/>
    <col min="13" max="13" width="95.5703125" style="614" customWidth="1"/>
    <col min="14" max="14" width="42.42578125" style="614" customWidth="1"/>
    <col min="15" max="16384" width="11.42578125" style="614"/>
  </cols>
  <sheetData>
    <row r="1" spans="2:15" ht="16.5" customHeight="1" x14ac:dyDescent="0.25">
      <c r="B1" s="892"/>
      <c r="C1" s="918"/>
      <c r="D1" s="893"/>
      <c r="E1" s="920" t="s">
        <v>260</v>
      </c>
      <c r="F1" s="921"/>
      <c r="G1" s="921"/>
      <c r="H1" s="921"/>
      <c r="I1" s="921"/>
      <c r="J1" s="921"/>
      <c r="K1" s="921"/>
      <c r="L1" s="921"/>
      <c r="M1" s="922"/>
      <c r="N1" s="459" t="s">
        <v>550</v>
      </c>
      <c r="O1" s="353"/>
    </row>
    <row r="2" spans="2:15" ht="16.5" customHeight="1" x14ac:dyDescent="0.25">
      <c r="B2" s="894"/>
      <c r="C2" s="846"/>
      <c r="D2" s="895"/>
      <c r="E2" s="923"/>
      <c r="F2" s="924"/>
      <c r="G2" s="924"/>
      <c r="H2" s="924"/>
      <c r="I2" s="924"/>
      <c r="J2" s="924"/>
      <c r="K2" s="924"/>
      <c r="L2" s="924"/>
      <c r="M2" s="925"/>
      <c r="N2" s="819" t="s">
        <v>533</v>
      </c>
      <c r="O2" s="820"/>
    </row>
    <row r="3" spans="2:15" ht="16.5" customHeight="1" x14ac:dyDescent="0.25">
      <c r="B3" s="894"/>
      <c r="C3" s="846"/>
      <c r="D3" s="895"/>
      <c r="E3" s="923"/>
      <c r="F3" s="924"/>
      <c r="G3" s="924"/>
      <c r="H3" s="924"/>
      <c r="I3" s="924"/>
      <c r="J3" s="924"/>
      <c r="K3" s="924"/>
      <c r="L3" s="924"/>
      <c r="M3" s="925"/>
      <c r="N3" s="819" t="s">
        <v>534</v>
      </c>
      <c r="O3" s="820"/>
    </row>
    <row r="4" spans="2:15" ht="17.25" customHeight="1" thickBot="1" x14ac:dyDescent="0.3">
      <c r="B4" s="896"/>
      <c r="C4" s="919"/>
      <c r="D4" s="897"/>
      <c r="E4" s="926"/>
      <c r="F4" s="927"/>
      <c r="G4" s="927"/>
      <c r="H4" s="927"/>
      <c r="I4" s="927"/>
      <c r="J4" s="927"/>
      <c r="K4" s="927"/>
      <c r="L4" s="927"/>
      <c r="M4" s="928"/>
      <c r="N4" s="667" t="s">
        <v>540</v>
      </c>
    </row>
    <row r="5" spans="2:15" ht="17.25" thickBot="1" x14ac:dyDescent="0.3"/>
    <row r="6" spans="2:15" ht="25.5" customHeight="1" thickBot="1" x14ac:dyDescent="0.3">
      <c r="B6" s="929" t="s">
        <v>504</v>
      </c>
      <c r="C6" s="930"/>
      <c r="D6" s="930"/>
      <c r="E6" s="930"/>
      <c r="F6" s="930"/>
      <c r="G6" s="930"/>
      <c r="H6" s="930"/>
      <c r="I6" s="930"/>
      <c r="J6" s="930"/>
      <c r="K6" s="931"/>
      <c r="L6" s="668" t="s">
        <v>77</v>
      </c>
      <c r="M6" s="669" t="s">
        <v>505</v>
      </c>
      <c r="N6" s="7"/>
    </row>
    <row r="7" spans="2:15" ht="39" customHeight="1" x14ac:dyDescent="0.25">
      <c r="B7" s="730">
        <v>1</v>
      </c>
      <c r="C7" s="932" t="str">
        <f>"La producción del mes en P1 + P2 fue de " &amp; TEXT(((RESUMEN!N11+RESUMEN!N17)/1000),"####0,#0") &amp; " Ton en especificaciones"</f>
        <v>La producción del mes en P1 + P2 fue de 9023,73 Ton en especificaciones</v>
      </c>
      <c r="D7" s="933"/>
      <c r="E7" s="933"/>
      <c r="F7" s="933"/>
      <c r="G7" s="933"/>
      <c r="H7" s="933"/>
      <c r="I7" s="933"/>
      <c r="J7" s="933"/>
      <c r="K7" s="934"/>
      <c r="L7" s="806" t="s">
        <v>554</v>
      </c>
      <c r="M7" s="1030" t="s">
        <v>555</v>
      </c>
    </row>
    <row r="8" spans="2:15" ht="68.25" customHeight="1" x14ac:dyDescent="0.25">
      <c r="B8" s="670">
        <v>2</v>
      </c>
      <c r="C8" s="935" t="str">
        <f>"El consumo de RBD de P1 fue de " &amp; TEXT(RESUMEN!G45,"####0,#0") &amp; "  kg/Ton B100 "</f>
        <v xml:space="preserve">El consumo de RBD de P1 fue de 970,28  kg/Ton B100 </v>
      </c>
      <c r="D8" s="936"/>
      <c r="E8" s="936"/>
      <c r="F8" s="936"/>
      <c r="G8" s="936"/>
      <c r="H8" s="936"/>
      <c r="I8" s="936"/>
      <c r="J8" s="936"/>
      <c r="K8" s="937"/>
      <c r="L8" s="671" t="s">
        <v>521</v>
      </c>
      <c r="M8" s="1031" t="s">
        <v>557</v>
      </c>
      <c r="N8" s="764"/>
    </row>
    <row r="9" spans="2:15" ht="86.25" customHeight="1" x14ac:dyDescent="0.25">
      <c r="B9" s="670">
        <v>3</v>
      </c>
      <c r="C9" s="935" t="str">
        <f>"El consumo de metanol en P1 fue de " &amp; TEXT(RESUMEN!G42,"####0,#0") &amp; "  kg/Ton B100"</f>
        <v>El consumo de metanol en P1 fue de 105,81  kg/Ton B100</v>
      </c>
      <c r="D9" s="936"/>
      <c r="E9" s="936"/>
      <c r="F9" s="936"/>
      <c r="G9" s="936"/>
      <c r="H9" s="936"/>
      <c r="I9" s="936"/>
      <c r="J9" s="936"/>
      <c r="K9" s="937"/>
      <c r="L9" s="671" t="s">
        <v>552</v>
      </c>
      <c r="M9" s="1031" t="s">
        <v>558</v>
      </c>
      <c r="N9" s="765"/>
    </row>
    <row r="10" spans="2:15" ht="67.5" customHeight="1" x14ac:dyDescent="0.25">
      <c r="B10" s="672">
        <v>4</v>
      </c>
      <c r="C10" s="935" t="str">
        <f>"El consumo de metilato de sodio en P1 fue de " &amp; TEXT(RESUMEN!G43,"####0,#0") &amp; "  kg/Ton B100"</f>
        <v>El consumo de metilato de sodio en P1 fue de 21,45  kg/Ton B100</v>
      </c>
      <c r="D10" s="936"/>
      <c r="E10" s="936"/>
      <c r="F10" s="936"/>
      <c r="G10" s="936"/>
      <c r="H10" s="936"/>
      <c r="I10" s="936"/>
      <c r="J10" s="936"/>
      <c r="K10" s="937"/>
      <c r="L10" s="671" t="s">
        <v>522</v>
      </c>
      <c r="M10" s="1031" t="s">
        <v>559</v>
      </c>
      <c r="N10" s="766"/>
    </row>
    <row r="11" spans="2:15" ht="53.25" customHeight="1" x14ac:dyDescent="0.25">
      <c r="B11" s="670">
        <v>5</v>
      </c>
      <c r="C11" s="935" t="str">
        <f>"El consumo de acido clorhídrico en P1 fue de " &amp; TEXT(RESUMEN!G47,"####0,#0") &amp; "  kg/Ton B100"</f>
        <v>El consumo de acido clorhídrico en P1 fue de 13,30  kg/Ton B100</v>
      </c>
      <c r="D11" s="936"/>
      <c r="E11" s="936"/>
      <c r="F11" s="936"/>
      <c r="G11" s="936"/>
      <c r="H11" s="936"/>
      <c r="I11" s="936"/>
      <c r="J11" s="936"/>
      <c r="K11" s="937"/>
      <c r="L11" s="671" t="s">
        <v>506</v>
      </c>
      <c r="M11" s="1032" t="s">
        <v>556</v>
      </c>
      <c r="N11" s="766"/>
    </row>
    <row r="12" spans="2:15" ht="66" customHeight="1" x14ac:dyDescent="0.25">
      <c r="B12" s="670">
        <v>6</v>
      </c>
      <c r="C12" s="935" t="str">
        <f>"El consumo de acido cítrico  en P1 fue de " &amp; TEXT(RESUMEN!G49,"####0,#0") &amp; "  kg/Ton B100"</f>
        <v>El consumo de acido cítrico  en P1 fue de 1,03  kg/Ton B100</v>
      </c>
      <c r="D12" s="936"/>
      <c r="E12" s="936"/>
      <c r="F12" s="936"/>
      <c r="G12" s="936"/>
      <c r="H12" s="936"/>
      <c r="I12" s="936"/>
      <c r="J12" s="936"/>
      <c r="K12" s="937"/>
      <c r="L12" s="671" t="s">
        <v>507</v>
      </c>
      <c r="M12" s="1031" t="s">
        <v>560</v>
      </c>
      <c r="N12" s="766"/>
    </row>
    <row r="13" spans="2:15" ht="51.75" customHeight="1" x14ac:dyDescent="0.25">
      <c r="B13" s="670">
        <v>7</v>
      </c>
      <c r="C13" s="935" t="str">
        <f>"El consumo de vapor en plantas fue de " &amp; TEXT(RESUMEN!G51,"####0,#0") &amp; "  kg/Ton B100"</f>
        <v>El consumo de vapor en plantas fue de 396,40  kg/Ton B100</v>
      </c>
      <c r="D13" s="936"/>
      <c r="E13" s="936"/>
      <c r="F13" s="936"/>
      <c r="G13" s="936"/>
      <c r="H13" s="936"/>
      <c r="I13" s="936"/>
      <c r="J13" s="936"/>
      <c r="K13" s="937"/>
      <c r="L13" s="671" t="s">
        <v>508</v>
      </c>
      <c r="M13" s="816" t="s">
        <v>561</v>
      </c>
      <c r="N13" s="733"/>
    </row>
    <row r="14" spans="2:15" ht="45" customHeight="1" x14ac:dyDescent="0.25">
      <c r="B14" s="670">
        <v>8</v>
      </c>
      <c r="C14" s="935" t="str">
        <f>"El consumo de energía eléctrica en P-1 fue de " &amp; TEXT(RESUMEN!G52,"####0,#0") &amp; " kWh/ton B100"</f>
        <v>El consumo de energía eléctrica en P-1 fue de 40,98 kWh/ton B100</v>
      </c>
      <c r="D14" s="936"/>
      <c r="E14" s="936"/>
      <c r="F14" s="936"/>
      <c r="G14" s="936"/>
      <c r="H14" s="936"/>
      <c r="I14" s="936"/>
      <c r="J14" s="936"/>
      <c r="K14" s="937"/>
      <c r="L14" s="671" t="s">
        <v>518</v>
      </c>
      <c r="M14" s="816" t="s">
        <v>562</v>
      </c>
      <c r="N14" s="734"/>
    </row>
    <row r="15" spans="2:15" ht="50.25" customHeight="1" thickBot="1" x14ac:dyDescent="0.3">
      <c r="B15" s="673">
        <v>9</v>
      </c>
      <c r="C15" s="916" t="s">
        <v>553</v>
      </c>
      <c r="D15" s="917"/>
      <c r="E15" s="917"/>
      <c r="F15" s="917"/>
      <c r="G15" s="917"/>
      <c r="H15" s="917"/>
      <c r="I15" s="917"/>
      <c r="J15" s="917"/>
      <c r="K15" s="917"/>
      <c r="L15" s="717" t="s">
        <v>530</v>
      </c>
      <c r="M15" s="817" t="s">
        <v>563</v>
      </c>
    </row>
    <row r="16" spans="2:15" ht="35.25" customHeight="1" x14ac:dyDescent="0.25"/>
    <row r="17" ht="35.25" customHeight="1" x14ac:dyDescent="0.25"/>
  </sheetData>
  <mergeCells count="14">
    <mergeCell ref="N2:O2"/>
    <mergeCell ref="N3:O3"/>
    <mergeCell ref="C15:K15"/>
    <mergeCell ref="B1:D4"/>
    <mergeCell ref="E1:M4"/>
    <mergeCell ref="B6:K6"/>
    <mergeCell ref="C7:K7"/>
    <mergeCell ref="C8:K8"/>
    <mergeCell ref="C9:K9"/>
    <mergeCell ref="C10:K10"/>
    <mergeCell ref="C11:K11"/>
    <mergeCell ref="C12:K12"/>
    <mergeCell ref="C13:K13"/>
    <mergeCell ref="C14:K14"/>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9"/>
  <dimension ref="A1:AL60"/>
  <sheetViews>
    <sheetView topLeftCell="A10" zoomScale="80" zoomScaleNormal="80" workbookViewId="0">
      <selection activeCell="D22" sqref="D22"/>
    </sheetView>
  </sheetViews>
  <sheetFormatPr baseColWidth="10" defaultRowHeight="15" x14ac:dyDescent="0.25"/>
  <cols>
    <col min="1" max="1" width="21.85546875" customWidth="1"/>
    <col min="2" max="2" width="13.7109375" customWidth="1"/>
    <col min="3" max="3" width="13.5703125" customWidth="1"/>
    <col min="4" max="4" width="14" customWidth="1"/>
    <col min="5" max="5" width="17.28515625" customWidth="1"/>
    <col min="6" max="6" width="13.7109375" customWidth="1"/>
    <col min="7" max="7" width="11.85546875" customWidth="1"/>
    <col min="8" max="8" width="14.140625" customWidth="1"/>
    <col min="9" max="9" width="14.5703125" customWidth="1"/>
    <col min="10" max="10" width="14.85546875" customWidth="1"/>
    <col min="11" max="12" width="14.28515625" bestFit="1" customWidth="1"/>
    <col min="13" max="13" width="15.7109375" customWidth="1"/>
  </cols>
  <sheetData>
    <row r="1" spans="1:38" s="289" customFormat="1" ht="16.5" customHeight="1" x14ac:dyDescent="0.25">
      <c r="A1" s="941"/>
      <c r="B1" s="902" t="s">
        <v>260</v>
      </c>
      <c r="C1" s="903"/>
      <c r="D1" s="903"/>
      <c r="E1" s="903"/>
      <c r="F1" s="903"/>
      <c r="G1" s="903"/>
      <c r="H1" s="903"/>
      <c r="I1" s="903"/>
      <c r="J1" s="903"/>
      <c r="K1" s="903"/>
      <c r="L1" s="903"/>
      <c r="M1" s="903"/>
      <c r="N1" s="903"/>
      <c r="O1" s="903"/>
      <c r="P1" s="904"/>
      <c r="Q1" s="459" t="s">
        <v>550</v>
      </c>
      <c r="R1" s="353"/>
      <c r="S1" s="290"/>
      <c r="T1" s="290"/>
      <c r="U1" s="290"/>
      <c r="V1" s="290"/>
      <c r="W1" s="290"/>
      <c r="X1" s="290"/>
      <c r="Y1" s="290"/>
      <c r="Z1" s="290"/>
      <c r="AA1" s="290"/>
      <c r="AB1" s="290"/>
      <c r="AC1" s="290"/>
      <c r="AD1" s="290"/>
      <c r="AE1" s="290"/>
      <c r="AF1" s="290"/>
      <c r="AG1" s="290"/>
      <c r="AH1" s="290"/>
      <c r="AI1" s="290"/>
      <c r="AJ1" s="290"/>
      <c r="AK1" s="290"/>
      <c r="AL1" s="290"/>
    </row>
    <row r="2" spans="1:38" s="289" customFormat="1" ht="16.5" customHeight="1" x14ac:dyDescent="0.25">
      <c r="A2" s="942"/>
      <c r="B2" s="905"/>
      <c r="C2" s="851"/>
      <c r="D2" s="851"/>
      <c r="E2" s="851"/>
      <c r="F2" s="851"/>
      <c r="G2" s="851"/>
      <c r="H2" s="851"/>
      <c r="I2" s="851"/>
      <c r="J2" s="851"/>
      <c r="K2" s="851"/>
      <c r="L2" s="851"/>
      <c r="M2" s="851"/>
      <c r="N2" s="851"/>
      <c r="O2" s="851"/>
      <c r="P2" s="906"/>
      <c r="Q2" s="819" t="s">
        <v>533</v>
      </c>
      <c r="R2" s="820"/>
      <c r="S2" s="290"/>
      <c r="T2" s="290"/>
      <c r="U2" s="290"/>
      <c r="V2" s="290"/>
      <c r="W2" s="290"/>
      <c r="X2" s="290"/>
      <c r="Y2" s="290"/>
      <c r="Z2" s="290"/>
      <c r="AA2" s="290"/>
      <c r="AB2" s="290"/>
      <c r="AC2" s="290"/>
      <c r="AD2" s="290"/>
      <c r="AE2" s="290"/>
      <c r="AF2" s="290"/>
      <c r="AG2" s="290"/>
      <c r="AH2" s="290"/>
      <c r="AI2" s="290"/>
      <c r="AJ2" s="290"/>
      <c r="AK2" s="290"/>
      <c r="AL2" s="290"/>
    </row>
    <row r="3" spans="1:38" s="289" customFormat="1" ht="16.5" customHeight="1" x14ac:dyDescent="0.25">
      <c r="A3" s="942"/>
      <c r="B3" s="905"/>
      <c r="C3" s="851"/>
      <c r="D3" s="851"/>
      <c r="E3" s="851"/>
      <c r="F3" s="851"/>
      <c r="G3" s="851"/>
      <c r="H3" s="851"/>
      <c r="I3" s="851"/>
      <c r="J3" s="851"/>
      <c r="K3" s="851"/>
      <c r="L3" s="851"/>
      <c r="M3" s="851"/>
      <c r="N3" s="851"/>
      <c r="O3" s="851"/>
      <c r="P3" s="906"/>
      <c r="Q3" s="819" t="s">
        <v>534</v>
      </c>
      <c r="R3" s="820"/>
      <c r="S3" s="290"/>
      <c r="T3" s="290"/>
      <c r="U3" s="290"/>
      <c r="V3" s="290"/>
      <c r="W3" s="290"/>
      <c r="X3" s="290"/>
      <c r="Y3" s="290"/>
      <c r="Z3" s="290"/>
      <c r="AA3" s="290"/>
      <c r="AB3" s="290"/>
      <c r="AC3" s="290"/>
      <c r="AD3" s="290"/>
      <c r="AE3" s="290"/>
      <c r="AF3" s="290"/>
      <c r="AG3" s="290"/>
      <c r="AH3" s="290"/>
      <c r="AI3" s="290"/>
      <c r="AJ3" s="290"/>
      <c r="AK3" s="290"/>
      <c r="AL3" s="290"/>
    </row>
    <row r="4" spans="1:38" s="289" customFormat="1" ht="20.25" customHeight="1" thickBot="1" x14ac:dyDescent="0.3">
      <c r="A4" s="943"/>
      <c r="B4" s="907"/>
      <c r="C4" s="908"/>
      <c r="D4" s="908"/>
      <c r="E4" s="908"/>
      <c r="F4" s="908"/>
      <c r="G4" s="908"/>
      <c r="H4" s="908"/>
      <c r="I4" s="908"/>
      <c r="J4" s="908"/>
      <c r="K4" s="908"/>
      <c r="L4" s="908"/>
      <c r="M4" s="908"/>
      <c r="N4" s="908"/>
      <c r="O4" s="908"/>
      <c r="P4" s="909"/>
      <c r="Q4" s="912" t="s">
        <v>541</v>
      </c>
      <c r="R4" s="857"/>
      <c r="S4" s="290"/>
      <c r="T4" s="290"/>
      <c r="U4" s="290"/>
      <c r="V4" s="290"/>
      <c r="W4" s="290"/>
      <c r="X4" s="290"/>
      <c r="Y4" s="290"/>
      <c r="Z4" s="290"/>
      <c r="AA4" s="290"/>
      <c r="AB4" s="290"/>
      <c r="AC4" s="290"/>
      <c r="AD4" s="290"/>
      <c r="AE4" s="290"/>
      <c r="AF4" s="290"/>
      <c r="AG4" s="290"/>
      <c r="AH4" s="290"/>
      <c r="AI4" s="290"/>
      <c r="AJ4" s="290"/>
      <c r="AK4" s="290"/>
      <c r="AL4" s="290"/>
    </row>
    <row r="16" spans="1:38" ht="15.75" thickBot="1" x14ac:dyDescent="0.3"/>
    <row r="17" spans="1:14" ht="15.75" thickBot="1" x14ac:dyDescent="0.3">
      <c r="A17" s="938">
        <v>2021</v>
      </c>
      <c r="B17" s="939"/>
      <c r="C17" s="939"/>
      <c r="D17" s="939"/>
      <c r="E17" s="939"/>
      <c r="F17" s="939"/>
      <c r="G17" s="939"/>
      <c r="H17" s="939"/>
      <c r="I17" s="939"/>
      <c r="J17" s="939"/>
      <c r="K17" s="939"/>
      <c r="L17" s="939"/>
      <c r="M17" s="940"/>
    </row>
    <row r="18" spans="1:14" ht="60.75" thickBot="1" x14ac:dyDescent="0.3">
      <c r="A18" s="200" t="s">
        <v>308</v>
      </c>
      <c r="B18" s="663" t="s">
        <v>316</v>
      </c>
      <c r="C18" s="663" t="s">
        <v>317</v>
      </c>
      <c r="D18" s="663" t="s">
        <v>318</v>
      </c>
      <c r="E18" s="663" t="s">
        <v>462</v>
      </c>
      <c r="F18" s="317" t="s">
        <v>420</v>
      </c>
      <c r="G18" s="317" t="s">
        <v>427</v>
      </c>
      <c r="H18" s="317" t="s">
        <v>421</v>
      </c>
      <c r="I18" s="201" t="s">
        <v>444</v>
      </c>
      <c r="J18" s="664" t="s">
        <v>440</v>
      </c>
      <c r="K18" s="664" t="s">
        <v>311</v>
      </c>
      <c r="L18" s="664" t="s">
        <v>319</v>
      </c>
      <c r="M18" s="665" t="s">
        <v>320</v>
      </c>
      <c r="N18" s="201" t="s">
        <v>549</v>
      </c>
    </row>
    <row r="19" spans="1:14" x14ac:dyDescent="0.25">
      <c r="A19" s="778" t="s">
        <v>309</v>
      </c>
      <c r="B19" s="779">
        <v>230897</v>
      </c>
      <c r="C19" s="779">
        <v>130777</v>
      </c>
      <c r="D19" s="780">
        <f>C19+B19</f>
        <v>361674</v>
      </c>
      <c r="E19" s="809">
        <f>+B19/D19</f>
        <v>0.63841194003439561</v>
      </c>
      <c r="F19" s="781">
        <v>336634</v>
      </c>
      <c r="G19" s="781">
        <v>0</v>
      </c>
      <c r="H19" s="781">
        <v>25040</v>
      </c>
      <c r="I19" s="811">
        <f>F19/8011.239</f>
        <v>42.02021684785587</v>
      </c>
      <c r="J19" s="782">
        <v>83260</v>
      </c>
      <c r="K19" s="779">
        <v>618</v>
      </c>
      <c r="L19" s="783">
        <f>+B19/J19</f>
        <v>2.7732044198895029</v>
      </c>
      <c r="M19" s="808">
        <f>+B19/(750*K19)</f>
        <v>0.49815965480043151</v>
      </c>
      <c r="N19" s="784">
        <v>0.59340000000000004</v>
      </c>
    </row>
    <row r="20" spans="1:14" x14ac:dyDescent="0.25">
      <c r="A20" s="785" t="s">
        <v>451</v>
      </c>
      <c r="B20" s="612">
        <v>215869</v>
      </c>
      <c r="C20" s="612">
        <v>117998</v>
      </c>
      <c r="D20" s="209">
        <f>C20+B20</f>
        <v>333867</v>
      </c>
      <c r="E20" s="572">
        <f>+B20/D20</f>
        <v>0.64657183848658295</v>
      </c>
      <c r="F20" s="656">
        <v>300577</v>
      </c>
      <c r="G20" s="656">
        <v>0</v>
      </c>
      <c r="H20" s="656">
        <v>33290</v>
      </c>
      <c r="I20" s="814">
        <f>F20/7086.646</f>
        <v>42.41456395592499</v>
      </c>
      <c r="J20" s="612">
        <v>80381</v>
      </c>
      <c r="K20" s="612">
        <v>585</v>
      </c>
      <c r="L20" s="347">
        <f>+B20/J20</f>
        <v>2.6855724611537553</v>
      </c>
      <c r="M20" s="807">
        <f>+B20/(750*K20)</f>
        <v>0.4920091168091168</v>
      </c>
      <c r="N20" s="786">
        <v>0.54910000000000003</v>
      </c>
    </row>
    <row r="21" spans="1:14" x14ac:dyDescent="0.25">
      <c r="A21" s="785" t="s">
        <v>455</v>
      </c>
      <c r="B21" s="208">
        <v>256831</v>
      </c>
      <c r="C21" s="208">
        <v>118966</v>
      </c>
      <c r="D21" s="209">
        <f>C21+B21</f>
        <v>375797</v>
      </c>
      <c r="E21" s="572">
        <f>+B21/D21</f>
        <v>0.68343014978831651</v>
      </c>
      <c r="F21" s="656">
        <v>349001</v>
      </c>
      <c r="G21" s="656">
        <v>0</v>
      </c>
      <c r="H21" s="656">
        <v>26796</v>
      </c>
      <c r="I21" s="814">
        <f>F21/8166.114</f>
        <v>42.737708535540897</v>
      </c>
      <c r="J21" s="612">
        <v>95334</v>
      </c>
      <c r="K21" s="208">
        <v>668</v>
      </c>
      <c r="L21" s="347">
        <f>+B21/J21</f>
        <v>2.6940126292823128</v>
      </c>
      <c r="M21" s="807">
        <f>+B21/(750*K21)</f>
        <v>0.51263672654690617</v>
      </c>
      <c r="N21" s="786">
        <v>0.49559999999999998</v>
      </c>
    </row>
    <row r="22" spans="1:14" x14ac:dyDescent="0.25">
      <c r="A22" s="787" t="s">
        <v>457</v>
      </c>
      <c r="B22" s="612">
        <v>252702</v>
      </c>
      <c r="C22" s="612">
        <v>125199</v>
      </c>
      <c r="D22" s="209">
        <f>C22+B22</f>
        <v>377901</v>
      </c>
      <c r="E22" s="572">
        <f>+B22/D22</f>
        <v>0.66869894496177573</v>
      </c>
      <c r="F22" s="656">
        <v>342634</v>
      </c>
      <c r="G22" s="656">
        <v>18075</v>
      </c>
      <c r="H22" s="656">
        <v>17192</v>
      </c>
      <c r="I22" s="810">
        <f>F22/8361.012</f>
        <v>40.979967496757567</v>
      </c>
      <c r="J22" s="612">
        <v>97177</v>
      </c>
      <c r="K22" s="612">
        <v>688</v>
      </c>
      <c r="L22" s="347">
        <f>+B22/J22</f>
        <v>2.6004301429350565</v>
      </c>
      <c r="M22" s="807">
        <f>+B22/(750*K22)</f>
        <v>0.48973255813953487</v>
      </c>
      <c r="N22" s="786">
        <v>5.5599999999999997E-2</v>
      </c>
    </row>
    <row r="23" spans="1:14" x14ac:dyDescent="0.25">
      <c r="A23" s="788" t="s">
        <v>463</v>
      </c>
      <c r="B23" s="612"/>
      <c r="C23" s="655"/>
      <c r="D23" s="209"/>
      <c r="E23" s="572"/>
      <c r="F23" s="656"/>
      <c r="G23" s="656"/>
      <c r="H23" s="656"/>
      <c r="I23" s="657"/>
      <c r="J23" s="612"/>
      <c r="K23" s="612"/>
      <c r="L23" s="347"/>
      <c r="M23" s="535"/>
      <c r="N23" s="786">
        <v>0.22739999999999999</v>
      </c>
    </row>
    <row r="24" spans="1:14" x14ac:dyDescent="0.25">
      <c r="A24" s="788" t="s">
        <v>464</v>
      </c>
      <c r="B24" s="612"/>
      <c r="C24" s="655"/>
      <c r="D24" s="209"/>
      <c r="E24" s="572"/>
      <c r="F24" s="656"/>
      <c r="G24" s="656"/>
      <c r="H24" s="656"/>
      <c r="I24" s="657"/>
      <c r="J24" s="612"/>
      <c r="K24" s="612"/>
      <c r="L24" s="347"/>
      <c r="M24" s="535"/>
      <c r="N24" s="786">
        <v>0.63990000000000002</v>
      </c>
    </row>
    <row r="25" spans="1:14" x14ac:dyDescent="0.25">
      <c r="A25" s="788" t="s">
        <v>466</v>
      </c>
      <c r="B25" s="655"/>
      <c r="C25" s="655"/>
      <c r="D25" s="656"/>
      <c r="E25" s="658"/>
      <c r="F25" s="656"/>
      <c r="G25" s="656"/>
      <c r="H25" s="656"/>
      <c r="I25" s="657"/>
      <c r="J25" s="612"/>
      <c r="K25" s="612"/>
      <c r="L25" s="347"/>
      <c r="M25" s="535"/>
      <c r="N25" s="786">
        <v>0.6008</v>
      </c>
    </row>
    <row r="26" spans="1:14" x14ac:dyDescent="0.25">
      <c r="A26" s="789" t="s">
        <v>467</v>
      </c>
      <c r="B26" s="655"/>
      <c r="C26" s="777"/>
      <c r="D26" s="656"/>
      <c r="E26" s="658"/>
      <c r="F26" s="656"/>
      <c r="G26" s="656"/>
      <c r="H26" s="656"/>
      <c r="I26" s="657"/>
      <c r="J26" s="612"/>
      <c r="K26" s="612"/>
      <c r="L26" s="347"/>
      <c r="M26" s="535"/>
      <c r="N26" s="790">
        <v>0.63349999999999995</v>
      </c>
    </row>
    <row r="27" spans="1:14" x14ac:dyDescent="0.25">
      <c r="A27" s="788" t="s">
        <v>468</v>
      </c>
      <c r="B27" s="655"/>
      <c r="C27" s="777"/>
      <c r="D27" s="656"/>
      <c r="E27" s="658"/>
      <c r="F27" s="656"/>
      <c r="G27" s="656"/>
      <c r="H27" s="695"/>
      <c r="I27" s="657"/>
      <c r="J27" s="612"/>
      <c r="K27" s="612"/>
      <c r="L27" s="347"/>
      <c r="M27" s="535"/>
      <c r="N27" s="790">
        <v>0</v>
      </c>
    </row>
    <row r="28" spans="1:14" x14ac:dyDescent="0.25">
      <c r="A28" s="788" t="s">
        <v>469</v>
      </c>
      <c r="B28" s="655"/>
      <c r="C28" s="655"/>
      <c r="D28" s="656"/>
      <c r="E28" s="658"/>
      <c r="F28" s="656"/>
      <c r="G28" s="656"/>
      <c r="H28" s="695"/>
      <c r="I28" s="657"/>
      <c r="J28" s="612"/>
      <c r="K28" s="612"/>
      <c r="L28" s="347"/>
      <c r="M28" s="535"/>
      <c r="N28" s="790">
        <v>0</v>
      </c>
    </row>
    <row r="29" spans="1:14" x14ac:dyDescent="0.25">
      <c r="A29" s="788" t="s">
        <v>470</v>
      </c>
      <c r="B29" s="655"/>
      <c r="C29" s="612"/>
      <c r="D29" s="656"/>
      <c r="E29" s="658"/>
      <c r="F29" s="695"/>
      <c r="G29" s="695"/>
      <c r="H29" s="695"/>
      <c r="I29" s="657"/>
      <c r="J29" s="612"/>
      <c r="K29" s="612"/>
      <c r="L29" s="347"/>
      <c r="M29" s="535"/>
      <c r="N29" s="790">
        <v>0.6573</v>
      </c>
    </row>
    <row r="30" spans="1:14" ht="15.75" thickBot="1" x14ac:dyDescent="0.3">
      <c r="A30" s="788" t="s">
        <v>471</v>
      </c>
      <c r="B30" s="655"/>
      <c r="C30" s="612"/>
      <c r="D30" s="656"/>
      <c r="E30" s="658"/>
      <c r="F30" s="695"/>
      <c r="G30" s="695"/>
      <c r="H30" s="695"/>
      <c r="I30" s="657"/>
      <c r="J30" s="612"/>
      <c r="K30" s="612"/>
      <c r="L30" s="347"/>
      <c r="M30" s="535"/>
      <c r="N30" s="790">
        <v>0.62480000000000002</v>
      </c>
    </row>
    <row r="31" spans="1:14" ht="15.75" thickBot="1" x14ac:dyDescent="0.3">
      <c r="A31" s="199" t="s">
        <v>310</v>
      </c>
      <c r="B31" s="202">
        <f>SUM(B19:B30)</f>
        <v>956299</v>
      </c>
      <c r="C31" s="203">
        <f>SUM(C19:C30)</f>
        <v>492940</v>
      </c>
      <c r="D31" s="204">
        <f>SUM(D19:D30)</f>
        <v>1449239</v>
      </c>
      <c r="E31" s="534">
        <f>+B31/D31</f>
        <v>0.65986286595930688</v>
      </c>
      <c r="F31" s="204">
        <f>SUM(F19:F30)</f>
        <v>1328846</v>
      </c>
      <c r="G31" s="204">
        <f>+SUM(G19:G30)</f>
        <v>18075</v>
      </c>
      <c r="H31" s="204">
        <f>SUM(H19:H30)</f>
        <v>102318</v>
      </c>
      <c r="I31" s="205">
        <f>AVERAGEIF(I19:I30,"&gt;1")</f>
        <v>42.038114209019824</v>
      </c>
      <c r="J31" s="204">
        <f>SUM(J19:J30)</f>
        <v>356152</v>
      </c>
      <c r="K31" s="206">
        <f>SUM(K19:K30)</f>
        <v>2559</v>
      </c>
      <c r="L31" s="207">
        <f>AVERAGEIF(L19:L30,"&gt;1")</f>
        <v>2.6883049133151569</v>
      </c>
      <c r="M31" s="543">
        <f>+B31/(750*K31)</f>
        <v>0.49826703139247103</v>
      </c>
      <c r="N31" s="791">
        <v>0.44405</v>
      </c>
    </row>
    <row r="33" spans="2:17" ht="24.75" customHeight="1" x14ac:dyDescent="0.25">
      <c r="B33" s="686"/>
      <c r="C33" s="686"/>
      <c r="D33" s="687"/>
      <c r="E33" s="660"/>
      <c r="F33" s="686"/>
      <c r="G33" s="686"/>
      <c r="H33" s="686"/>
      <c r="I33" s="611"/>
      <c r="J33" s="536"/>
      <c r="K33" s="666"/>
      <c r="L33" s="350"/>
      <c r="M33" s="348"/>
      <c r="N33" s="662"/>
      <c r="O33" s="541"/>
      <c r="P33" s="316"/>
    </row>
    <row r="34" spans="2:17" ht="16.5" x14ac:dyDescent="0.25">
      <c r="B34" s="688"/>
      <c r="C34" s="686"/>
      <c r="D34" s="687"/>
      <c r="E34" s="660"/>
      <c r="F34" s="686"/>
      <c r="G34" s="686"/>
      <c r="H34" s="686"/>
      <c r="I34" s="611"/>
      <c r="J34" s="536"/>
      <c r="K34" s="666"/>
      <c r="L34" s="350"/>
      <c r="M34" s="348"/>
      <c r="N34" s="662"/>
      <c r="O34" s="541"/>
      <c r="P34" s="316"/>
    </row>
    <row r="35" spans="2:17" ht="16.5" x14ac:dyDescent="0.25">
      <c r="B35" s="688"/>
      <c r="C35" s="689"/>
      <c r="D35" s="687"/>
      <c r="E35" s="660"/>
      <c r="F35" s="686"/>
      <c r="G35" s="686"/>
      <c r="H35" s="686"/>
      <c r="I35" s="611"/>
      <c r="J35" s="536"/>
      <c r="K35" s="666"/>
      <c r="L35" s="350"/>
      <c r="M35" s="348"/>
      <c r="N35" s="662"/>
      <c r="O35" s="541"/>
      <c r="P35" s="316"/>
    </row>
    <row r="36" spans="2:17" ht="16.5" x14ac:dyDescent="0.25">
      <c r="B36" s="688"/>
      <c r="C36" s="689"/>
      <c r="D36" s="687"/>
      <c r="E36" s="660"/>
      <c r="F36" s="686"/>
      <c r="G36" s="686"/>
      <c r="H36" s="686"/>
      <c r="I36" s="611"/>
      <c r="J36" s="536"/>
      <c r="K36" s="666"/>
      <c r="L36" s="350"/>
      <c r="M36" s="348"/>
      <c r="N36" s="662"/>
      <c r="O36" s="541"/>
      <c r="P36" s="316"/>
    </row>
    <row r="37" spans="2:17" ht="16.5" x14ac:dyDescent="0.25">
      <c r="B37" s="688"/>
      <c r="C37" s="690"/>
      <c r="D37" s="687"/>
      <c r="E37" s="660"/>
      <c r="F37" s="686"/>
      <c r="G37" s="692"/>
      <c r="H37" s="692"/>
      <c r="I37" s="611"/>
      <c r="J37" s="536"/>
      <c r="K37" s="666"/>
      <c r="L37" s="350"/>
      <c r="M37" s="348"/>
      <c r="N37" s="662"/>
      <c r="O37" s="541"/>
      <c r="P37" s="316"/>
    </row>
    <row r="38" spans="2:17" ht="16.5" x14ac:dyDescent="0.25">
      <c r="B38" s="688"/>
      <c r="C38" s="691"/>
      <c r="D38" s="687"/>
      <c r="E38" s="661"/>
      <c r="F38" s="686"/>
      <c r="G38" s="691"/>
      <c r="H38" s="691"/>
      <c r="I38" s="611"/>
      <c r="J38" s="536"/>
      <c r="K38" s="666"/>
      <c r="L38" s="350"/>
      <c r="M38" s="348"/>
      <c r="N38" s="662"/>
      <c r="O38" s="541"/>
      <c r="P38" s="316"/>
    </row>
    <row r="39" spans="2:17" ht="16.5" x14ac:dyDescent="0.25">
      <c r="B39" s="688"/>
      <c r="C39" s="688"/>
      <c r="D39" s="688"/>
      <c r="E39" s="688"/>
      <c r="F39" s="688"/>
      <c r="G39" s="688"/>
      <c r="H39" s="688"/>
      <c r="I39" s="688"/>
      <c r="J39" s="688"/>
      <c r="K39" s="688"/>
      <c r="L39" s="688"/>
      <c r="M39" s="688"/>
      <c r="N39" s="662"/>
      <c r="O39" s="541"/>
      <c r="P39" s="316"/>
    </row>
    <row r="40" spans="2:17" ht="16.5" x14ac:dyDescent="0.25">
      <c r="B40" s="688"/>
      <c r="C40" s="688"/>
      <c r="D40" s="688"/>
      <c r="E40" s="688"/>
      <c r="F40" s="688"/>
      <c r="G40" s="688"/>
      <c r="H40" s="688"/>
      <c r="I40" s="688"/>
      <c r="J40" s="688"/>
      <c r="K40" s="688"/>
      <c r="L40" s="688"/>
      <c r="M40" s="688"/>
      <c r="N40" s="662"/>
      <c r="O40" s="541"/>
      <c r="P40" s="316"/>
    </row>
    <row r="41" spans="2:17" ht="16.5" x14ac:dyDescent="0.25">
      <c r="B41" s="688"/>
      <c r="C41" s="688"/>
      <c r="D41" s="688"/>
      <c r="E41" s="688"/>
      <c r="F41" s="688"/>
      <c r="G41" s="688"/>
      <c r="H41" s="688"/>
      <c r="I41" s="688"/>
      <c r="J41" s="688"/>
      <c r="K41" s="688"/>
      <c r="L41" s="688"/>
      <c r="M41" s="688"/>
      <c r="N41" s="662"/>
      <c r="O41" s="541"/>
      <c r="P41" s="316"/>
    </row>
    <row r="42" spans="2:17" ht="16.5" x14ac:dyDescent="0.25">
      <c r="B42" s="688"/>
      <c r="C42" s="688"/>
      <c r="D42" s="688"/>
      <c r="E42" s="688"/>
      <c r="F42" s="688"/>
      <c r="G42" s="688"/>
      <c r="H42" s="688"/>
      <c r="I42" s="688"/>
      <c r="J42" s="688"/>
      <c r="K42" s="688"/>
      <c r="L42" s="688"/>
      <c r="M42" s="688"/>
      <c r="N42" s="541"/>
      <c r="O42" s="541"/>
      <c r="P42" s="316"/>
    </row>
    <row r="43" spans="2:17" ht="16.5" x14ac:dyDescent="0.25">
      <c r="B43" s="688"/>
      <c r="C43" s="688"/>
      <c r="D43" s="688"/>
      <c r="E43" s="688"/>
      <c r="F43" s="688"/>
      <c r="G43" s="688"/>
      <c r="H43" s="688"/>
      <c r="I43" s="688"/>
      <c r="J43" s="688"/>
      <c r="K43" s="688"/>
      <c r="L43" s="688"/>
      <c r="M43" s="688"/>
      <c r="N43" s="541"/>
      <c r="O43" s="541"/>
      <c r="P43" s="316"/>
      <c r="Q43" s="314"/>
    </row>
    <row r="44" spans="2:17" ht="16.5" x14ac:dyDescent="0.25">
      <c r="B44" s="688"/>
      <c r="C44" s="693"/>
      <c r="D44" s="693"/>
      <c r="E44" s="693"/>
      <c r="F44" s="693"/>
      <c r="G44" s="693"/>
      <c r="H44" s="693"/>
      <c r="I44" s="540"/>
      <c r="J44" s="540"/>
      <c r="K44" s="540"/>
      <c r="L44" s="540"/>
      <c r="M44" s="540"/>
      <c r="N44" s="540"/>
      <c r="O44" s="541"/>
      <c r="P44" s="316"/>
      <c r="Q44" s="314"/>
    </row>
    <row r="45" spans="2:17" ht="16.5" x14ac:dyDescent="0.25">
      <c r="B45" s="688"/>
      <c r="C45" s="693"/>
      <c r="D45" s="693"/>
      <c r="E45" s="693"/>
      <c r="F45" s="693"/>
      <c r="G45" s="693"/>
      <c r="H45" s="693"/>
      <c r="I45" s="540"/>
      <c r="J45" s="540"/>
      <c r="K45" s="540"/>
      <c r="L45" s="540"/>
      <c r="M45" s="540"/>
      <c r="N45" s="540"/>
      <c r="Q45" s="314"/>
    </row>
    <row r="46" spans="2:17" ht="16.5" x14ac:dyDescent="0.25">
      <c r="B46" s="688"/>
      <c r="C46" s="540"/>
      <c r="D46" s="540"/>
      <c r="E46" s="540"/>
      <c r="F46" s="693"/>
      <c r="G46" s="540"/>
      <c r="H46" s="540"/>
      <c r="I46" s="540"/>
      <c r="J46" s="540"/>
      <c r="K46" s="540"/>
      <c r="L46" s="540"/>
      <c r="M46" s="540"/>
      <c r="N46" s="540"/>
      <c r="Q46" s="314"/>
    </row>
    <row r="47" spans="2:17" x14ac:dyDescent="0.25">
      <c r="B47" s="540"/>
      <c r="C47" s="540"/>
      <c r="D47" s="540"/>
      <c r="E47" s="540"/>
      <c r="F47" s="693"/>
      <c r="G47" s="540"/>
      <c r="H47" s="540"/>
      <c r="I47" s="540"/>
      <c r="J47" s="540"/>
      <c r="K47" s="540"/>
      <c r="L47" s="540"/>
      <c r="M47" s="540"/>
      <c r="N47" s="540"/>
      <c r="Q47" s="314"/>
    </row>
    <row r="48" spans="2:17" x14ac:dyDescent="0.25">
      <c r="B48" s="540"/>
      <c r="C48" s="540"/>
      <c r="D48" s="540"/>
      <c r="E48" s="540"/>
      <c r="F48" s="693"/>
      <c r="G48" s="540"/>
      <c r="H48" s="540"/>
      <c r="I48" s="540"/>
      <c r="J48" s="540"/>
      <c r="K48" s="540"/>
      <c r="L48" s="540"/>
      <c r="M48" s="540"/>
      <c r="N48" s="540"/>
      <c r="Q48" s="314"/>
    </row>
    <row r="49" spans="2:17" x14ac:dyDescent="0.25">
      <c r="B49" s="540"/>
      <c r="C49" s="540"/>
      <c r="D49" s="540"/>
      <c r="E49" s="540"/>
      <c r="F49" s="540"/>
      <c r="G49" s="540"/>
      <c r="H49" s="540"/>
      <c r="I49" s="540"/>
      <c r="J49" s="540"/>
      <c r="K49" s="540"/>
      <c r="L49" s="540"/>
      <c r="M49" s="540"/>
      <c r="N49" s="540"/>
      <c r="Q49" s="314"/>
    </row>
    <row r="50" spans="2:17" x14ac:dyDescent="0.25">
      <c r="B50" s="540"/>
      <c r="C50" s="540"/>
      <c r="D50" s="540"/>
      <c r="E50" s="540"/>
      <c r="F50" s="540"/>
      <c r="G50" s="540"/>
      <c r="H50" s="540"/>
      <c r="I50" s="540"/>
      <c r="J50" s="540"/>
      <c r="K50" s="540"/>
      <c r="L50" s="540"/>
      <c r="M50" s="540"/>
      <c r="N50" s="540"/>
      <c r="Q50" s="314"/>
    </row>
    <row r="51" spans="2:17" x14ac:dyDescent="0.25">
      <c r="B51" s="540"/>
      <c r="C51" s="540"/>
      <c r="D51" s="540"/>
      <c r="E51" s="540"/>
      <c r="F51" s="540"/>
      <c r="G51" s="540"/>
      <c r="H51" s="540"/>
      <c r="I51" s="540"/>
      <c r="J51" s="540"/>
      <c r="K51" s="540"/>
      <c r="L51" s="540"/>
      <c r="M51" s="540"/>
      <c r="N51" s="540"/>
      <c r="Q51" s="314"/>
    </row>
    <row r="52" spans="2:17" x14ac:dyDescent="0.25">
      <c r="B52" s="540"/>
      <c r="C52" s="540"/>
      <c r="D52" s="540"/>
      <c r="E52" s="540"/>
      <c r="F52" s="540"/>
      <c r="G52" s="540"/>
      <c r="H52" s="540"/>
      <c r="I52" s="540"/>
      <c r="J52" s="540"/>
      <c r="K52" s="540"/>
      <c r="L52" s="540"/>
      <c r="M52" s="540"/>
      <c r="N52" s="540"/>
      <c r="Q52" s="314"/>
    </row>
    <row r="53" spans="2:17" x14ac:dyDescent="0.25">
      <c r="B53" s="540"/>
      <c r="C53" s="540"/>
      <c r="D53" s="540"/>
      <c r="E53" s="540"/>
      <c r="F53" s="540"/>
      <c r="G53" s="540"/>
      <c r="H53" s="540"/>
      <c r="I53" s="540"/>
      <c r="J53" s="540"/>
      <c r="K53" s="540"/>
      <c r="L53" s="540"/>
      <c r="M53" s="540"/>
      <c r="N53" s="540"/>
    </row>
    <row r="54" spans="2:17" x14ac:dyDescent="0.25">
      <c r="B54" s="540"/>
      <c r="C54" s="315"/>
      <c r="D54" s="349"/>
      <c r="E54" s="349"/>
      <c r="F54" s="315"/>
      <c r="G54" s="315"/>
      <c r="H54" s="349"/>
      <c r="I54" s="315"/>
      <c r="J54" s="315"/>
      <c r="K54" s="315"/>
      <c r="L54" s="315"/>
      <c r="M54" s="315"/>
    </row>
    <row r="55" spans="2:17" x14ac:dyDescent="0.25">
      <c r="B55" s="540"/>
      <c r="C55" s="315"/>
      <c r="D55" s="349"/>
      <c r="E55" s="349"/>
      <c r="F55" s="315"/>
      <c r="G55" s="315"/>
      <c r="H55" s="349"/>
      <c r="I55" s="315"/>
      <c r="J55" s="315"/>
      <c r="K55" s="315"/>
      <c r="L55" s="315"/>
      <c r="M55" s="315"/>
    </row>
    <row r="56" spans="2:17" x14ac:dyDescent="0.25">
      <c r="B56" s="540"/>
      <c r="C56" s="315"/>
      <c r="D56" s="349"/>
      <c r="E56" s="349"/>
      <c r="F56" s="315"/>
      <c r="G56" s="315"/>
      <c r="H56" s="349"/>
      <c r="I56" s="315"/>
      <c r="J56" s="315"/>
      <c r="K56" s="315"/>
      <c r="L56" s="315"/>
      <c r="M56" s="315"/>
    </row>
    <row r="57" spans="2:17" x14ac:dyDescent="0.25">
      <c r="B57" s="315"/>
      <c r="C57" s="315"/>
      <c r="D57" s="315"/>
      <c r="E57" s="315"/>
      <c r="F57" s="315"/>
      <c r="G57" s="315"/>
      <c r="H57" s="315"/>
      <c r="I57" s="315"/>
      <c r="J57" s="315"/>
      <c r="K57" s="315"/>
      <c r="L57" s="315"/>
      <c r="M57" s="315"/>
    </row>
    <row r="58" spans="2:17" x14ac:dyDescent="0.25">
      <c r="B58" s="315"/>
      <c r="C58" s="315"/>
      <c r="D58" s="315"/>
      <c r="E58" s="315"/>
      <c r="F58" s="315"/>
      <c r="G58" s="315"/>
      <c r="H58" s="315"/>
      <c r="I58" s="315"/>
      <c r="J58" s="315"/>
      <c r="K58" s="315"/>
      <c r="L58" s="315"/>
      <c r="M58" s="315"/>
    </row>
    <row r="59" spans="2:17" x14ac:dyDescent="0.25">
      <c r="B59" s="315"/>
      <c r="C59" s="315"/>
      <c r="D59" s="315"/>
      <c r="E59" s="315"/>
      <c r="F59" s="315"/>
      <c r="G59" s="315"/>
      <c r="H59" s="315"/>
      <c r="I59" s="315"/>
      <c r="J59" s="315"/>
      <c r="K59" s="315"/>
      <c r="L59" s="315"/>
      <c r="M59" s="315"/>
    </row>
    <row r="60" spans="2:17" x14ac:dyDescent="0.25">
      <c r="B60" s="315"/>
      <c r="C60" s="315"/>
      <c r="D60" s="315"/>
      <c r="E60" s="315"/>
      <c r="F60" s="315"/>
      <c r="G60" s="315"/>
      <c r="H60" s="315"/>
      <c r="I60" s="315"/>
      <c r="J60" s="315"/>
      <c r="K60" s="315"/>
      <c r="L60" s="315"/>
      <c r="M60" s="315"/>
    </row>
  </sheetData>
  <mergeCells count="6">
    <mergeCell ref="A17:M17"/>
    <mergeCell ref="A1:A4"/>
    <mergeCell ref="B1:P4"/>
    <mergeCell ref="Q2:R2"/>
    <mergeCell ref="Q3:R3"/>
    <mergeCell ref="Q4:R4"/>
  </mergeCells>
  <pageMargins left="0.7" right="0.7" top="0.75" bottom="0.75" header="0.3" footer="0.3"/>
  <pageSetup orientation="portrait" verticalDpi="0" r:id="rId1"/>
  <ignoredErrors>
    <ignoredError sqref="E31" formula="1"/>
  </ignoredErrors>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4"/>
  <dimension ref="A1:T33"/>
  <sheetViews>
    <sheetView showGridLines="0" zoomScale="91" zoomScaleNormal="91" workbookViewId="0">
      <selection activeCell="C18" sqref="C18"/>
    </sheetView>
  </sheetViews>
  <sheetFormatPr baseColWidth="10" defaultRowHeight="15" x14ac:dyDescent="0.25"/>
  <cols>
    <col min="1" max="1" width="15" style="285" bestFit="1" customWidth="1"/>
    <col min="2" max="2" width="16.28515625" style="285" customWidth="1"/>
    <col min="3" max="3" width="10.42578125" style="285" customWidth="1"/>
    <col min="4" max="4" width="10.140625" style="285" customWidth="1"/>
    <col min="5" max="14" width="11.42578125" style="285"/>
    <col min="15" max="16" width="12" style="285" customWidth="1"/>
    <col min="17" max="17" width="2.5703125" style="285" customWidth="1"/>
    <col min="18" max="18" width="30.5703125" style="285" hidden="1" customWidth="1"/>
    <col min="19" max="19" width="21.5703125" style="285" hidden="1" customWidth="1"/>
    <col min="20" max="20" width="16" style="285" hidden="1" customWidth="1"/>
    <col min="21" max="21" width="14.42578125" style="285" customWidth="1"/>
    <col min="22" max="22" width="17.140625" style="285" customWidth="1"/>
    <col min="23" max="16384" width="11.42578125" style="285"/>
  </cols>
  <sheetData>
    <row r="1" spans="1:20" ht="16.5" customHeight="1" x14ac:dyDescent="0.25">
      <c r="A1" s="846"/>
      <c r="B1" s="846"/>
      <c r="C1" s="924"/>
      <c r="D1" s="924"/>
      <c r="E1" s="924"/>
      <c r="F1" s="924"/>
      <c r="G1" s="924"/>
      <c r="H1" s="924"/>
      <c r="I1" s="924"/>
      <c r="J1" s="924"/>
      <c r="K1" s="924"/>
      <c r="L1" s="924"/>
      <c r="M1" s="924"/>
      <c r="N1" s="924"/>
      <c r="O1" s="459" t="s">
        <v>550</v>
      </c>
      <c r="P1" s="353"/>
    </row>
    <row r="2" spans="1:20" ht="16.5" customHeight="1" x14ac:dyDescent="0.25">
      <c r="A2" s="846"/>
      <c r="B2" s="846"/>
      <c r="C2" s="924"/>
      <c r="D2" s="924"/>
      <c r="E2" s="924"/>
      <c r="F2" s="924"/>
      <c r="G2" s="924"/>
      <c r="H2" s="924"/>
      <c r="I2" s="924"/>
      <c r="J2" s="924"/>
      <c r="K2" s="924"/>
      <c r="L2" s="924"/>
      <c r="M2" s="924"/>
      <c r="N2" s="924"/>
      <c r="O2" s="819" t="s">
        <v>533</v>
      </c>
      <c r="P2" s="820"/>
    </row>
    <row r="3" spans="1:20" ht="16.5" customHeight="1" x14ac:dyDescent="0.25">
      <c r="A3" s="846"/>
      <c r="B3" s="846"/>
      <c r="C3" s="924"/>
      <c r="D3" s="924"/>
      <c r="E3" s="924"/>
      <c r="F3" s="924"/>
      <c r="G3" s="924"/>
      <c r="H3" s="924"/>
      <c r="I3" s="924"/>
      <c r="J3" s="924"/>
      <c r="K3" s="924"/>
      <c r="L3" s="924"/>
      <c r="M3" s="924"/>
      <c r="N3" s="924"/>
      <c r="O3" s="819" t="s">
        <v>534</v>
      </c>
      <c r="P3" s="820"/>
    </row>
    <row r="4" spans="1:20" ht="17.25" customHeight="1" thickBot="1" x14ac:dyDescent="0.3">
      <c r="A4" s="846"/>
      <c r="B4" s="846"/>
      <c r="C4" s="924"/>
      <c r="D4" s="924"/>
      <c r="E4" s="924"/>
      <c r="F4" s="924"/>
      <c r="G4" s="924"/>
      <c r="H4" s="924"/>
      <c r="I4" s="924"/>
      <c r="J4" s="924"/>
      <c r="K4" s="924"/>
      <c r="L4" s="924"/>
      <c r="M4" s="924"/>
      <c r="N4" s="924"/>
      <c r="O4" s="792" t="s">
        <v>542</v>
      </c>
      <c r="P4" s="793"/>
    </row>
    <row r="5" spans="1:20" ht="15.75" thickBot="1" x14ac:dyDescent="0.3"/>
    <row r="6" spans="1:20" ht="15.75" customHeight="1" thickBot="1" x14ac:dyDescent="0.3">
      <c r="A6" s="944" t="s">
        <v>9</v>
      </c>
      <c r="B6" s="945"/>
      <c r="C6" s="642">
        <v>43952</v>
      </c>
      <c r="D6" s="642">
        <v>43983</v>
      </c>
      <c r="E6" s="642">
        <v>44013</v>
      </c>
      <c r="F6" s="642">
        <v>44044</v>
      </c>
      <c r="G6" s="642">
        <v>44075</v>
      </c>
      <c r="H6" s="642">
        <v>44105</v>
      </c>
      <c r="I6" s="642">
        <v>44136</v>
      </c>
      <c r="J6" s="642">
        <v>44166</v>
      </c>
      <c r="K6" s="642">
        <v>44197</v>
      </c>
      <c r="L6" s="642">
        <v>44228</v>
      </c>
      <c r="M6" s="642">
        <v>44256</v>
      </c>
      <c r="N6" s="351">
        <v>44287</v>
      </c>
      <c r="O6" s="946" t="s">
        <v>460</v>
      </c>
      <c r="P6" s="948" t="str">
        <f>"Promedio " &amp; YEAR(N6)</f>
        <v>Promedio 2021</v>
      </c>
    </row>
    <row r="7" spans="1:20" ht="23.25" customHeight="1" thickBot="1" x14ac:dyDescent="0.3">
      <c r="A7" s="280" t="s">
        <v>10</v>
      </c>
      <c r="B7" s="280" t="s">
        <v>11</v>
      </c>
      <c r="C7" s="643"/>
      <c r="D7" s="643"/>
      <c r="E7" s="643"/>
      <c r="F7" s="643"/>
      <c r="G7" s="643"/>
      <c r="H7" s="643"/>
      <c r="I7" s="643"/>
      <c r="J7" s="643"/>
      <c r="K7" s="643"/>
      <c r="L7" s="643"/>
      <c r="M7" s="643"/>
      <c r="N7" s="352"/>
      <c r="O7" s="947"/>
      <c r="P7" s="949"/>
    </row>
    <row r="8" spans="1:20" x14ac:dyDescent="0.2">
      <c r="A8" s="279" t="s">
        <v>13</v>
      </c>
      <c r="B8" s="277" t="s">
        <v>14</v>
      </c>
      <c r="C8" s="649">
        <v>874.1</v>
      </c>
      <c r="D8" s="649">
        <v>874.6</v>
      </c>
      <c r="E8" s="649">
        <v>874.7</v>
      </c>
      <c r="F8" s="649">
        <v>874.9</v>
      </c>
      <c r="G8" s="649">
        <v>875.1</v>
      </c>
      <c r="H8" s="649">
        <v>875</v>
      </c>
      <c r="I8" s="649">
        <v>874.7</v>
      </c>
      <c r="J8" s="649">
        <v>875</v>
      </c>
      <c r="K8" s="649">
        <v>875</v>
      </c>
      <c r="L8" s="649">
        <v>874.8</v>
      </c>
      <c r="M8" s="649">
        <v>874.9</v>
      </c>
      <c r="N8" s="649">
        <v>873.1</v>
      </c>
      <c r="O8" s="518">
        <f>IFERROR(AVERAGEIF(C8:N8,"&gt;0"),"-")</f>
        <v>874.6583333333333</v>
      </c>
      <c r="P8" s="518">
        <f>+IFERROR(AVERAGEIFS(C8:N8,C8:N8,"&gt;0",C$6:N$6,"&gt;="&amp;DATE(YEAR(N$6),1,1),C$6:N$6,"&lt;="&amp;DATE(YEAR(N$6),12,31)),"-")</f>
        <v>874.44999999999993</v>
      </c>
      <c r="Q8" s="286"/>
      <c r="R8" s="287" t="s">
        <v>217</v>
      </c>
      <c r="S8" s="288">
        <v>874.72916666666663</v>
      </c>
      <c r="T8" s="288"/>
    </row>
    <row r="9" spans="1:20" x14ac:dyDescent="0.25">
      <c r="A9" s="271" t="s">
        <v>20</v>
      </c>
      <c r="B9" s="272" t="s">
        <v>21</v>
      </c>
      <c r="C9" s="629">
        <v>0.22</v>
      </c>
      <c r="D9" s="629">
        <v>0.18</v>
      </c>
      <c r="E9" s="629">
        <v>0.14000000000000001</v>
      </c>
      <c r="F9" s="629">
        <v>0.17</v>
      </c>
      <c r="G9" s="629">
        <v>0.18</v>
      </c>
      <c r="H9" s="629">
        <v>0.18</v>
      </c>
      <c r="I9" s="629">
        <v>0.14000000000000001</v>
      </c>
      <c r="J9" s="629">
        <v>0.13</v>
      </c>
      <c r="K9" s="629">
        <v>0.12</v>
      </c>
      <c r="L9" s="629">
        <v>0.13</v>
      </c>
      <c r="M9" s="629">
        <v>0.14000000000000001</v>
      </c>
      <c r="N9" s="320">
        <v>0.16</v>
      </c>
      <c r="O9" s="519">
        <f t="shared" ref="O9:O20" si="0">IFERROR(AVERAGEIF(C9:N9,"&gt;0"),"-")</f>
        <v>0.1575</v>
      </c>
      <c r="P9" s="519">
        <f t="shared" ref="P9:P20" si="1">+IFERROR(AVERAGEIFS(C9:N9,C9:N9,"&gt;0",C$6:N$6,"&gt;="&amp;DATE(YEAR(N$6),1,1),C$6:N$6,"&lt;="&amp;DATE(YEAR(N$6),12,31)),"-")</f>
        <v>0.13750000000000001</v>
      </c>
      <c r="R9" s="287" t="s">
        <v>219</v>
      </c>
      <c r="S9" s="288">
        <v>30.112499999999997</v>
      </c>
      <c r="T9" s="288"/>
    </row>
    <row r="10" spans="1:20" x14ac:dyDescent="0.2">
      <c r="A10" s="271" t="s">
        <v>27</v>
      </c>
      <c r="B10" s="272" t="s">
        <v>28</v>
      </c>
      <c r="C10" s="650">
        <v>4.4000000000000004</v>
      </c>
      <c r="D10" s="650">
        <v>4.43</v>
      </c>
      <c r="E10" s="650">
        <v>4.46</v>
      </c>
      <c r="F10" s="650">
        <v>4.5</v>
      </c>
      <c r="G10" s="650">
        <v>4.53</v>
      </c>
      <c r="H10" s="650">
        <v>4.5</v>
      </c>
      <c r="I10" s="650">
        <v>4.47</v>
      </c>
      <c r="J10" s="650">
        <v>4.53</v>
      </c>
      <c r="K10" s="650">
        <v>4.4950000000000001</v>
      </c>
      <c r="L10" s="650">
        <v>4.46</v>
      </c>
      <c r="M10" s="650">
        <v>4.51</v>
      </c>
      <c r="N10" s="553">
        <v>4.51</v>
      </c>
      <c r="O10" s="519">
        <f t="shared" si="0"/>
        <v>4.4829166666666662</v>
      </c>
      <c r="P10" s="519">
        <f t="shared" si="1"/>
        <v>4.4937500000000004</v>
      </c>
      <c r="R10" s="287" t="s">
        <v>221</v>
      </c>
      <c r="S10" s="288">
        <v>333.20833333333331</v>
      </c>
      <c r="T10" s="288"/>
    </row>
    <row r="11" spans="1:20" x14ac:dyDescent="0.2">
      <c r="A11" s="271" t="s">
        <v>34</v>
      </c>
      <c r="B11" s="272" t="s">
        <v>35</v>
      </c>
      <c r="C11" s="651">
        <v>189</v>
      </c>
      <c r="D11" s="651">
        <v>177</v>
      </c>
      <c r="E11" s="651">
        <v>175</v>
      </c>
      <c r="F11" s="651">
        <v>182</v>
      </c>
      <c r="G11" s="651">
        <v>163</v>
      </c>
      <c r="H11" s="651">
        <v>160</v>
      </c>
      <c r="I11" s="651">
        <v>166</v>
      </c>
      <c r="J11" s="651">
        <v>180</v>
      </c>
      <c r="K11" s="651">
        <v>183</v>
      </c>
      <c r="L11" s="651">
        <v>202</v>
      </c>
      <c r="M11" s="651">
        <v>195</v>
      </c>
      <c r="N11" s="554">
        <v>176</v>
      </c>
      <c r="O11" s="520">
        <f t="shared" si="0"/>
        <v>179</v>
      </c>
      <c r="P11" s="520">
        <f t="shared" si="1"/>
        <v>189</v>
      </c>
      <c r="R11" s="287" t="s">
        <v>222</v>
      </c>
      <c r="S11" s="288">
        <v>0.18416666666666667</v>
      </c>
      <c r="T11" s="288"/>
    </row>
    <row r="12" spans="1:20" x14ac:dyDescent="0.2">
      <c r="A12" s="271" t="s">
        <v>41</v>
      </c>
      <c r="B12" s="272" t="s">
        <v>42</v>
      </c>
      <c r="C12" s="650">
        <v>0.30399999999999999</v>
      </c>
      <c r="D12" s="650">
        <v>0.26400000000000001</v>
      </c>
      <c r="E12" s="650">
        <v>0.24099999999999999</v>
      </c>
      <c r="F12" s="650">
        <v>0.24199999999999999</v>
      </c>
      <c r="G12" s="650">
        <v>0.24</v>
      </c>
      <c r="H12" s="650">
        <v>0.25700000000000001</v>
      </c>
      <c r="I12" s="650">
        <v>0.307</v>
      </c>
      <c r="J12" s="650">
        <v>0.315</v>
      </c>
      <c r="K12" s="650">
        <v>0.28842500000000004</v>
      </c>
      <c r="L12" s="650">
        <v>0.29799999999999999</v>
      </c>
      <c r="M12" s="650">
        <v>0.32</v>
      </c>
      <c r="N12" s="553">
        <v>0.33340000000000003</v>
      </c>
      <c r="O12" s="519">
        <f t="shared" si="0"/>
        <v>0.28415208333333336</v>
      </c>
      <c r="P12" s="519">
        <f t="shared" si="1"/>
        <v>0.30995625000000004</v>
      </c>
      <c r="R12" s="287" t="s">
        <v>36</v>
      </c>
      <c r="S12" s="288">
        <v>15</v>
      </c>
      <c r="T12" s="288"/>
    </row>
    <row r="13" spans="1:20" x14ac:dyDescent="0.2">
      <c r="A13" s="271" t="s">
        <v>48</v>
      </c>
      <c r="B13" s="272" t="s">
        <v>16</v>
      </c>
      <c r="C13" s="650">
        <v>0.152</v>
      </c>
      <c r="D13" s="650">
        <v>0.115</v>
      </c>
      <c r="E13" s="650">
        <v>0.113</v>
      </c>
      <c r="F13" s="650">
        <v>9.8000000000000004E-2</v>
      </c>
      <c r="G13" s="650">
        <v>9.7000000000000003E-2</v>
      </c>
      <c r="H13" s="650">
        <v>0.107</v>
      </c>
      <c r="I13" s="650">
        <v>0.159</v>
      </c>
      <c r="J13" s="650">
        <v>0.19600000000000001</v>
      </c>
      <c r="K13" s="650">
        <v>0.167825</v>
      </c>
      <c r="L13" s="650">
        <v>0.16600000000000001</v>
      </c>
      <c r="M13" s="650">
        <v>0.2</v>
      </c>
      <c r="N13" s="553">
        <v>0.20046666666666668</v>
      </c>
      <c r="O13" s="519">
        <f t="shared" si="0"/>
        <v>0.14760763888888886</v>
      </c>
      <c r="P13" s="519">
        <f t="shared" si="1"/>
        <v>0.18357291666666667</v>
      </c>
      <c r="R13" s="287" t="s">
        <v>91</v>
      </c>
      <c r="S13" s="288">
        <v>4.6249999999999998E-3</v>
      </c>
      <c r="T13" s="288"/>
    </row>
    <row r="14" spans="1:20" x14ac:dyDescent="0.2">
      <c r="A14" s="271" t="s">
        <v>15</v>
      </c>
      <c r="B14" s="272" t="s">
        <v>16</v>
      </c>
      <c r="C14" s="650">
        <v>0.10299999999999999</v>
      </c>
      <c r="D14" s="650">
        <v>9.1999999999999998E-2</v>
      </c>
      <c r="E14" s="650">
        <v>5.3999999999999999E-2</v>
      </c>
      <c r="F14" s="650">
        <v>4.3999999999999997E-2</v>
      </c>
      <c r="G14" s="650">
        <v>2.3E-2</v>
      </c>
      <c r="H14" s="650">
        <v>2.5999999999999999E-2</v>
      </c>
      <c r="I14" s="650">
        <v>8.8999999999999996E-2</v>
      </c>
      <c r="J14" s="650">
        <v>0.13300000000000001</v>
      </c>
      <c r="K14" s="650">
        <v>0.1292875</v>
      </c>
      <c r="L14" s="650">
        <v>0.129</v>
      </c>
      <c r="M14" s="650">
        <v>0.16</v>
      </c>
      <c r="N14" s="553">
        <v>0.17019999999999999</v>
      </c>
      <c r="O14" s="519">
        <f t="shared" si="0"/>
        <v>9.6040625000000004E-2</v>
      </c>
      <c r="P14" s="519">
        <f t="shared" si="1"/>
        <v>0.14712187500000001</v>
      </c>
      <c r="R14" s="287" t="s">
        <v>187</v>
      </c>
      <c r="S14" s="288">
        <v>0.33837500000000004</v>
      </c>
      <c r="T14" s="288"/>
    </row>
    <row r="15" spans="1:20" x14ac:dyDescent="0.2">
      <c r="A15" s="271" t="s">
        <v>22</v>
      </c>
      <c r="B15" s="272" t="s">
        <v>23</v>
      </c>
      <c r="C15" s="650">
        <v>0.01</v>
      </c>
      <c r="D15" s="650">
        <v>0.02</v>
      </c>
      <c r="E15" s="650">
        <v>0.01</v>
      </c>
      <c r="F15" s="650">
        <v>0.01</v>
      </c>
      <c r="G15" s="650">
        <v>0.01</v>
      </c>
      <c r="H15" s="650">
        <v>0.01</v>
      </c>
      <c r="I15" s="650">
        <v>0.02</v>
      </c>
      <c r="J15" s="650">
        <v>0.01</v>
      </c>
      <c r="K15" s="805">
        <v>2E-3</v>
      </c>
      <c r="L15" s="805">
        <v>1E-3</v>
      </c>
      <c r="M15" s="805">
        <v>1E-3</v>
      </c>
      <c r="N15" s="805">
        <v>1E-3</v>
      </c>
      <c r="O15" s="519">
        <f t="shared" si="0"/>
        <v>8.7500000000000008E-3</v>
      </c>
      <c r="P15" s="519">
        <f t="shared" si="1"/>
        <v>1.25E-3</v>
      </c>
      <c r="R15" s="287" t="s">
        <v>226</v>
      </c>
      <c r="S15" s="288">
        <v>0.13750000000000001</v>
      </c>
      <c r="T15" s="288"/>
    </row>
    <row r="16" spans="1:20" x14ac:dyDescent="0.2">
      <c r="A16" s="271" t="s">
        <v>29</v>
      </c>
      <c r="B16" s="272" t="s">
        <v>30</v>
      </c>
      <c r="C16" s="652">
        <v>0.98799999999999999</v>
      </c>
      <c r="D16" s="652">
        <v>0.98899999999999999</v>
      </c>
      <c r="E16" s="652">
        <v>0.99</v>
      </c>
      <c r="F16" s="652">
        <v>0.98399999999999999</v>
      </c>
      <c r="G16" s="652">
        <v>0.98799999999999999</v>
      </c>
      <c r="H16" s="652">
        <v>0.98399999999999999</v>
      </c>
      <c r="I16" s="652">
        <v>0.98399999999999999</v>
      </c>
      <c r="J16" s="652">
        <v>0.98399999999999999</v>
      </c>
      <c r="K16" s="652">
        <v>0.98499999999999999</v>
      </c>
      <c r="L16" s="652">
        <v>0.98499999999999999</v>
      </c>
      <c r="M16" s="652">
        <v>0.98799999999999999</v>
      </c>
      <c r="N16" s="555">
        <v>0.98599999999999999</v>
      </c>
      <c r="O16" s="521">
        <f t="shared" si="0"/>
        <v>0.98624999999999996</v>
      </c>
      <c r="P16" s="521">
        <f t="shared" si="1"/>
        <v>0.98599999999999999</v>
      </c>
      <c r="R16" s="287" t="s">
        <v>191</v>
      </c>
      <c r="S16" s="288">
        <v>0.1295</v>
      </c>
      <c r="T16" s="288"/>
    </row>
    <row r="17" spans="1:20" x14ac:dyDescent="0.25">
      <c r="A17" s="271" t="s">
        <v>36</v>
      </c>
      <c r="B17" s="272" t="s">
        <v>37</v>
      </c>
      <c r="C17" s="639">
        <v>15</v>
      </c>
      <c r="D17" s="639">
        <v>15</v>
      </c>
      <c r="E17" s="639">
        <v>15</v>
      </c>
      <c r="F17" s="639">
        <v>15</v>
      </c>
      <c r="G17" s="639">
        <v>15</v>
      </c>
      <c r="H17" s="639">
        <v>15</v>
      </c>
      <c r="I17" s="639">
        <v>15</v>
      </c>
      <c r="J17" s="639">
        <v>15</v>
      </c>
      <c r="K17" s="639">
        <v>15</v>
      </c>
      <c r="L17" s="639">
        <v>15</v>
      </c>
      <c r="M17" s="639">
        <v>15</v>
      </c>
      <c r="N17" s="339">
        <v>15</v>
      </c>
      <c r="O17" s="520">
        <f t="shared" si="0"/>
        <v>15</v>
      </c>
      <c r="P17" s="520">
        <f t="shared" si="1"/>
        <v>15</v>
      </c>
      <c r="R17" s="287" t="s">
        <v>49</v>
      </c>
      <c r="S17" s="288">
        <v>0.12629166666666669</v>
      </c>
      <c r="T17" s="288"/>
    </row>
    <row r="18" spans="1:20" x14ac:dyDescent="0.25">
      <c r="A18" s="271" t="s">
        <v>43</v>
      </c>
      <c r="B18" s="272" t="s">
        <v>44</v>
      </c>
      <c r="C18" s="639">
        <v>50</v>
      </c>
      <c r="D18" s="639">
        <v>49</v>
      </c>
      <c r="E18" s="639">
        <v>50</v>
      </c>
      <c r="F18" s="639">
        <v>51</v>
      </c>
      <c r="G18" s="639">
        <v>52</v>
      </c>
      <c r="H18" s="639">
        <v>51</v>
      </c>
      <c r="I18" s="639">
        <v>52</v>
      </c>
      <c r="J18" s="639">
        <v>51</v>
      </c>
      <c r="K18" s="639">
        <v>50</v>
      </c>
      <c r="L18" s="639">
        <v>50</v>
      </c>
      <c r="M18" s="639">
        <v>50</v>
      </c>
      <c r="N18" s="339">
        <v>49</v>
      </c>
      <c r="O18" s="520">
        <f t="shared" si="0"/>
        <v>50.416666666666664</v>
      </c>
      <c r="P18" s="520">
        <f t="shared" si="1"/>
        <v>49.75</v>
      </c>
      <c r="R18" s="287" t="s">
        <v>228</v>
      </c>
      <c r="S18" s="288">
        <v>7.7083333333333337E-2</v>
      </c>
      <c r="T18" s="288"/>
    </row>
    <row r="19" spans="1:20" x14ac:dyDescent="0.25">
      <c r="A19" s="273" t="s">
        <v>49</v>
      </c>
      <c r="B19" s="274" t="s">
        <v>50</v>
      </c>
      <c r="C19" s="641">
        <v>0.11600000000000001</v>
      </c>
      <c r="D19" s="641">
        <v>9.8000000000000004E-2</v>
      </c>
      <c r="E19" s="641">
        <v>8.6999999999999994E-2</v>
      </c>
      <c r="F19" s="641">
        <v>8.3000000000000004E-2</v>
      </c>
      <c r="G19" s="641">
        <v>0.08</v>
      </c>
      <c r="H19" s="641">
        <v>8.6999999999999994E-2</v>
      </c>
      <c r="I19" s="641">
        <v>0.115</v>
      </c>
      <c r="J19" s="641">
        <v>0.127</v>
      </c>
      <c r="K19" s="641">
        <v>0.115</v>
      </c>
      <c r="L19" s="641">
        <v>0.11700000000000001</v>
      </c>
      <c r="M19" s="641">
        <v>0.129</v>
      </c>
      <c r="N19" s="341">
        <v>0.13500000000000001</v>
      </c>
      <c r="O19" s="522">
        <f t="shared" si="0"/>
        <v>0.10741666666666667</v>
      </c>
      <c r="P19" s="522">
        <f t="shared" si="1"/>
        <v>0.124</v>
      </c>
      <c r="R19" s="287" t="s">
        <v>199</v>
      </c>
      <c r="S19" s="288">
        <v>98.820833333333326</v>
      </c>
      <c r="T19" s="288"/>
    </row>
    <row r="20" spans="1:20" ht="15.75" thickBot="1" x14ac:dyDescent="0.3">
      <c r="A20" s="275" t="s">
        <v>67</v>
      </c>
      <c r="B20" s="276" t="s">
        <v>68</v>
      </c>
      <c r="C20" s="640">
        <v>12.9</v>
      </c>
      <c r="D20" s="640">
        <v>13.6</v>
      </c>
      <c r="E20" s="640">
        <v>12.7</v>
      </c>
      <c r="F20" s="640">
        <v>13.7</v>
      </c>
      <c r="G20" s="640">
        <v>15.1</v>
      </c>
      <c r="H20" s="640">
        <v>15.7</v>
      </c>
      <c r="I20" s="640">
        <v>15.4</v>
      </c>
      <c r="J20" s="640">
        <v>15.1</v>
      </c>
      <c r="K20" s="640">
        <v>15</v>
      </c>
      <c r="L20" s="640">
        <v>14.8</v>
      </c>
      <c r="M20" s="640">
        <v>16.8</v>
      </c>
      <c r="N20" s="340">
        <v>15.8</v>
      </c>
      <c r="O20" s="523">
        <f t="shared" si="0"/>
        <v>14.716666666666669</v>
      </c>
      <c r="P20" s="523">
        <f t="shared" si="1"/>
        <v>15.600000000000001</v>
      </c>
      <c r="R20" s="287" t="s">
        <v>229</v>
      </c>
      <c r="S20" s="288">
        <v>4.5249583333333332</v>
      </c>
      <c r="T20" s="288"/>
    </row>
    <row r="21" spans="1:20" ht="15.75" thickBot="1" x14ac:dyDescent="0.3">
      <c r="R21" s="287" t="s">
        <v>231</v>
      </c>
      <c r="S21" s="288">
        <v>349.38333333333333</v>
      </c>
      <c r="T21" s="287"/>
    </row>
    <row r="22" spans="1:20" ht="15.75" thickBot="1" x14ac:dyDescent="0.3">
      <c r="A22" s="944" t="s">
        <v>8</v>
      </c>
      <c r="B22" s="945">
        <f>+B6</f>
        <v>0</v>
      </c>
      <c r="C22" s="642">
        <v>43952</v>
      </c>
      <c r="D22" s="642">
        <v>43983</v>
      </c>
      <c r="E22" s="642">
        <v>44013</v>
      </c>
      <c r="F22" s="642">
        <v>44044</v>
      </c>
      <c r="G22" s="642">
        <v>44075</v>
      </c>
      <c r="H22" s="642">
        <v>44105</v>
      </c>
      <c r="I22" s="642">
        <v>44136</v>
      </c>
      <c r="J22" s="642">
        <v>44166</v>
      </c>
      <c r="K22" s="642">
        <v>44197</v>
      </c>
      <c r="L22" s="642">
        <v>44228</v>
      </c>
      <c r="M22" s="642">
        <v>44256</v>
      </c>
      <c r="N22" s="351">
        <v>44287</v>
      </c>
      <c r="O22" s="946" t="s">
        <v>460</v>
      </c>
      <c r="P22" s="948" t="str">
        <f>"Promedio " &amp; YEAR(N22)</f>
        <v>Promedio 2021</v>
      </c>
      <c r="R22" s="287" t="s">
        <v>234</v>
      </c>
      <c r="S22" s="288">
        <v>15.379166666666666</v>
      </c>
      <c r="T22" s="287"/>
    </row>
    <row r="23" spans="1:20" ht="15.75" thickBot="1" x14ac:dyDescent="0.3">
      <c r="A23" s="281" t="s">
        <v>10</v>
      </c>
      <c r="B23" s="281" t="s">
        <v>11</v>
      </c>
      <c r="C23" s="643"/>
      <c r="D23" s="643"/>
      <c r="E23" s="643"/>
      <c r="F23" s="643"/>
      <c r="G23" s="643"/>
      <c r="H23" s="643"/>
      <c r="I23" s="643"/>
      <c r="J23" s="643"/>
      <c r="K23" s="643"/>
      <c r="L23" s="643"/>
      <c r="M23" s="643"/>
      <c r="N23" s="352"/>
      <c r="O23" s="947"/>
      <c r="P23" s="949"/>
      <c r="R23" s="287" t="s">
        <v>43</v>
      </c>
      <c r="S23" s="288">
        <v>50.875</v>
      </c>
      <c r="T23" s="287">
        <v>51.083333333333336</v>
      </c>
    </row>
    <row r="24" spans="1:20" x14ac:dyDescent="0.25">
      <c r="A24" s="279" t="s">
        <v>17</v>
      </c>
      <c r="B24" s="277" t="s">
        <v>305</v>
      </c>
      <c r="C24" s="644">
        <v>0.83299999999999996</v>
      </c>
      <c r="D24" s="644">
        <v>0.80600000000000005</v>
      </c>
      <c r="E24" s="644">
        <v>0.80500000000000005</v>
      </c>
      <c r="F24" s="644">
        <v>0.81200000000000006</v>
      </c>
      <c r="G24" s="644">
        <v>0.81699999999999995</v>
      </c>
      <c r="H24" s="644">
        <v>0.81100000000000005</v>
      </c>
      <c r="I24" s="644">
        <v>0.80800000000000005</v>
      </c>
      <c r="J24" s="644">
        <v>0.79600000000000004</v>
      </c>
      <c r="K24" s="644">
        <v>0.80500000000000005</v>
      </c>
      <c r="L24" s="644">
        <v>0.80700000000000005</v>
      </c>
      <c r="M24" s="644">
        <v>0.80900000000000005</v>
      </c>
      <c r="N24" s="544">
        <v>0.78700000000000003</v>
      </c>
      <c r="O24" s="524">
        <f>IFERROR(AVERAGEIF(C24:N24,"&gt;0"),"-")</f>
        <v>0.80799999999999994</v>
      </c>
      <c r="P24" s="524">
        <f>+IFERROR(AVERAGEIFS(C24:N24,C24:N24,"&gt;0",C$6:N$6,"&gt;="&amp;DATE(YEAR(N$6),1,1),C$6:N$6,"&lt;="&amp;DATE(YEAR(N$6),12,31)),"-")</f>
        <v>0.80200000000000005</v>
      </c>
    </row>
    <row r="25" spans="1:20" x14ac:dyDescent="0.25">
      <c r="A25" s="271" t="s">
        <v>24</v>
      </c>
      <c r="B25" s="272" t="s">
        <v>25</v>
      </c>
      <c r="C25" s="647">
        <v>6.6E-3</v>
      </c>
      <c r="D25" s="647">
        <v>2.9999999999999997E-4</v>
      </c>
      <c r="E25" s="647">
        <v>2.0000000000000001E-4</v>
      </c>
      <c r="F25" s="647">
        <v>2.9999999999999997E-4</v>
      </c>
      <c r="G25" s="647">
        <v>2.9999999999999997E-4</v>
      </c>
      <c r="H25" s="647">
        <v>1E-4</v>
      </c>
      <c r="I25" s="647">
        <v>4.0000000000000002E-4</v>
      </c>
      <c r="J25" s="647">
        <v>1.6999999999999999E-3</v>
      </c>
      <c r="K25" s="647">
        <v>1.1999999999999999E-3</v>
      </c>
      <c r="L25" s="647">
        <v>1.2999999999999999E-3</v>
      </c>
      <c r="M25" s="647">
        <v>8.0000000000000004E-4</v>
      </c>
      <c r="N25" s="547">
        <v>3.0999999999999999E-3</v>
      </c>
      <c r="O25" s="525">
        <f>IFERROR(AVERAGEIF(C25:N25,"&gt;0"),"-")</f>
        <v>1.3583333333333331E-3</v>
      </c>
      <c r="P25" s="525">
        <f>+IFERROR(AVERAGEIFS(C25:N25,C25:N25,"&gt;0",C$6:N$6,"&gt;="&amp;DATE(YEAR(N$6),1,1),C$6:N$6,"&lt;="&amp;DATE(YEAR(N$6),12,31)),"-")</f>
        <v>1.5999999999999999E-3</v>
      </c>
    </row>
    <row r="26" spans="1:20" x14ac:dyDescent="0.25">
      <c r="A26" s="271" t="s">
        <v>31</v>
      </c>
      <c r="B26" s="272" t="s">
        <v>32</v>
      </c>
      <c r="C26" s="647">
        <v>0.02</v>
      </c>
      <c r="D26" s="647">
        <v>3.4000000000000002E-2</v>
      </c>
      <c r="E26" s="647">
        <v>3.5999999999999997E-2</v>
      </c>
      <c r="F26" s="647">
        <v>2.4E-2</v>
      </c>
      <c r="G26" s="647">
        <v>0.02</v>
      </c>
      <c r="H26" s="647">
        <v>3.7999999999999999E-2</v>
      </c>
      <c r="I26" s="647">
        <v>3.6999999999999998E-2</v>
      </c>
      <c r="J26" s="647">
        <v>2.4E-2</v>
      </c>
      <c r="K26" s="647">
        <v>2.8000000000000001E-2</v>
      </c>
      <c r="L26" s="647">
        <v>3.3000000000000002E-2</v>
      </c>
      <c r="M26" s="647">
        <v>3.2000000000000001E-2</v>
      </c>
      <c r="N26" s="547">
        <v>2.1000000000000001E-2</v>
      </c>
      <c r="O26" s="526">
        <f>IFERROR(AVERAGEIF(C26:N26,"&gt;0"),"-")</f>
        <v>2.8916666666666674E-2</v>
      </c>
      <c r="P26" s="526">
        <f>+IFERROR(AVERAGEIFS(C26:N26,C26:N26,"&gt;0",C$6:N$6,"&gt;="&amp;DATE(YEAR(N$6),1,1),C$6:N$6,"&lt;="&amp;DATE(YEAR(N$6),12,31)),"-")</f>
        <v>2.8500000000000001E-2</v>
      </c>
    </row>
    <row r="27" spans="1:20" x14ac:dyDescent="0.25">
      <c r="A27" s="271" t="s">
        <v>75</v>
      </c>
      <c r="B27" s="272" t="s">
        <v>39</v>
      </c>
      <c r="C27" s="647">
        <v>5.1999999999999998E-2</v>
      </c>
      <c r="D27" s="647">
        <v>5.5E-2</v>
      </c>
      <c r="E27" s="647">
        <v>5.1999999999999998E-2</v>
      </c>
      <c r="F27" s="647">
        <v>5.3999999999999999E-2</v>
      </c>
      <c r="G27" s="647">
        <v>5.5E-2</v>
      </c>
      <c r="H27" s="647">
        <v>5.3999999999999999E-2</v>
      </c>
      <c r="I27" s="647">
        <v>0.05</v>
      </c>
      <c r="J27" s="647">
        <v>4.7E-2</v>
      </c>
      <c r="K27" s="647">
        <v>5.2999999999999999E-2</v>
      </c>
      <c r="L27" s="647">
        <v>5.5E-2</v>
      </c>
      <c r="M27" s="647">
        <v>5.6000000000000001E-2</v>
      </c>
      <c r="N27" s="547">
        <v>5.2999999999999999E-2</v>
      </c>
      <c r="O27" s="525">
        <f>IFERROR(AVERAGEIF(C27:N27,"&gt;0"),"-")</f>
        <v>5.3000000000000012E-2</v>
      </c>
      <c r="P27" s="525">
        <f>+IFERROR(AVERAGEIFS(C27:N27,C27:N27,"&gt;0",C$6:N$6,"&gt;="&amp;DATE(YEAR(N$6),1,1),C$6:N$6,"&lt;="&amp;DATE(YEAR(N$6),12,31)),"-")</f>
        <v>5.425E-2</v>
      </c>
    </row>
    <row r="28" spans="1:20" ht="26.25" thickBot="1" x14ac:dyDescent="0.3">
      <c r="A28" s="275" t="s">
        <v>45</v>
      </c>
      <c r="B28" s="278" t="s">
        <v>46</v>
      </c>
      <c r="C28" s="646">
        <v>9.4799999999999995E-2</v>
      </c>
      <c r="D28" s="646">
        <v>0.10539999999999999</v>
      </c>
      <c r="E28" s="646">
        <v>0.10970000000000001</v>
      </c>
      <c r="F28" s="646">
        <v>0.1103</v>
      </c>
      <c r="G28" s="646">
        <v>0.1087</v>
      </c>
      <c r="H28" s="646">
        <v>9.8299999999999998E-2</v>
      </c>
      <c r="I28" s="646">
        <v>0.1053</v>
      </c>
      <c r="J28" s="646">
        <v>0.13289999999999999</v>
      </c>
      <c r="K28" s="646">
        <v>0.1139</v>
      </c>
      <c r="L28" s="646">
        <v>0.10489999999999999</v>
      </c>
      <c r="M28" s="646">
        <v>0.10299999999999999</v>
      </c>
      <c r="N28" s="546">
        <v>0.13900000000000001</v>
      </c>
      <c r="O28" s="527">
        <f>IFERROR(AVERAGEIF(C28:N28,"&gt;0"),"-")</f>
        <v>0.11051666666666667</v>
      </c>
      <c r="P28" s="527">
        <f>+IFERROR(AVERAGEIFS(C28:N28,C28:N28,"&gt;0",C$6:N$6,"&gt;="&amp;DATE(YEAR(N$6),1,1),C$6:N$6,"&lt;="&amp;DATE(YEAR(N$6),12,31)),"-")</f>
        <v>0.1152</v>
      </c>
    </row>
    <row r="29" spans="1:20" ht="15.75" thickBot="1" x14ac:dyDescent="0.3"/>
    <row r="30" spans="1:20" ht="15.75" thickBot="1" x14ac:dyDescent="0.3">
      <c r="A30" s="944" t="s">
        <v>340</v>
      </c>
      <c r="B30" s="945" t="str">
        <f>+B14</f>
        <v>Máx 0,2%</v>
      </c>
      <c r="C30" s="642">
        <v>43952</v>
      </c>
      <c r="D30" s="642">
        <v>43983</v>
      </c>
      <c r="E30" s="642">
        <v>44013</v>
      </c>
      <c r="F30" s="642">
        <v>44044</v>
      </c>
      <c r="G30" s="642">
        <v>44075</v>
      </c>
      <c r="H30" s="642">
        <v>44105</v>
      </c>
      <c r="I30" s="642">
        <v>44136</v>
      </c>
      <c r="J30" s="642">
        <v>44166</v>
      </c>
      <c r="K30" s="642">
        <v>44197</v>
      </c>
      <c r="L30" s="642">
        <v>44228</v>
      </c>
      <c r="M30" s="642">
        <v>44256</v>
      </c>
      <c r="N30" s="351">
        <v>44287</v>
      </c>
      <c r="O30" s="946" t="s">
        <v>460</v>
      </c>
      <c r="P30" s="948" t="str">
        <f>"Promedio " &amp; YEAR(N30)</f>
        <v>Promedio 2021</v>
      </c>
      <c r="R30" s="287" t="s">
        <v>234</v>
      </c>
      <c r="S30" s="288"/>
      <c r="T30" s="287">
        <v>18.404166666666669</v>
      </c>
    </row>
    <row r="31" spans="1:20" ht="15.75" thickBot="1" x14ac:dyDescent="0.3">
      <c r="A31" s="281" t="s">
        <v>10</v>
      </c>
      <c r="B31" s="281" t="s">
        <v>11</v>
      </c>
      <c r="C31" s="643"/>
      <c r="D31" s="643"/>
      <c r="E31" s="643"/>
      <c r="F31" s="643"/>
      <c r="G31" s="643"/>
      <c r="H31" s="643"/>
      <c r="I31" s="643"/>
      <c r="J31" s="643"/>
      <c r="K31" s="643"/>
      <c r="L31" s="643"/>
      <c r="M31" s="643"/>
      <c r="N31" s="352"/>
      <c r="O31" s="947"/>
      <c r="P31" s="949"/>
      <c r="R31" s="287" t="s">
        <v>43</v>
      </c>
      <c r="S31" s="288"/>
      <c r="T31" s="287">
        <v>51.083333333333336</v>
      </c>
    </row>
    <row r="32" spans="1:20" x14ac:dyDescent="0.2">
      <c r="A32" s="279" t="s">
        <v>423</v>
      </c>
      <c r="B32" s="277" t="s">
        <v>426</v>
      </c>
      <c r="C32" s="645">
        <v>247</v>
      </c>
      <c r="D32" s="645">
        <v>187</v>
      </c>
      <c r="E32" s="645">
        <v>356</v>
      </c>
      <c r="F32" s="645">
        <v>163</v>
      </c>
      <c r="G32" s="645">
        <v>244</v>
      </c>
      <c r="H32" s="645">
        <v>253</v>
      </c>
      <c r="I32" s="645">
        <v>187</v>
      </c>
      <c r="J32" s="645">
        <v>219</v>
      </c>
      <c r="K32" s="645">
        <v>234</v>
      </c>
      <c r="L32" s="645">
        <v>238</v>
      </c>
      <c r="M32" s="645">
        <v>233</v>
      </c>
      <c r="N32" s="545">
        <v>167</v>
      </c>
      <c r="O32" s="528">
        <f>IFERROR(AVERAGEIF(C32:N32,"&gt;0"),"-")</f>
        <v>227.33333333333334</v>
      </c>
      <c r="P32" s="528">
        <f>+IFERROR(AVERAGEIFS(C32:N32,C32:N32,"&gt;0",C$6:N$6,"&gt;="&amp;DATE(YEAR(N$6),1,1),C$6:N$6,"&lt;="&amp;DATE(YEAR(N$6),12,31)),"-")</f>
        <v>218</v>
      </c>
    </row>
    <row r="33" spans="1:16" ht="15.75" thickBot="1" x14ac:dyDescent="0.25">
      <c r="A33" s="275" t="s">
        <v>424</v>
      </c>
      <c r="B33" s="276" t="s">
        <v>425</v>
      </c>
      <c r="C33" s="648">
        <v>0.03</v>
      </c>
      <c r="D33" s="648">
        <v>0.04</v>
      </c>
      <c r="E33" s="648">
        <v>0.03</v>
      </c>
      <c r="F33" s="648">
        <v>0.03</v>
      </c>
      <c r="G33" s="648">
        <v>0.03</v>
      </c>
      <c r="H33" s="648">
        <v>0.03</v>
      </c>
      <c r="I33" s="648">
        <v>0.04</v>
      </c>
      <c r="J33" s="648">
        <v>0.03</v>
      </c>
      <c r="K33" s="648">
        <v>0.03</v>
      </c>
      <c r="L33" s="648">
        <v>0.03</v>
      </c>
      <c r="M33" s="648">
        <v>0.04</v>
      </c>
      <c r="N33" s="548">
        <v>0.03</v>
      </c>
      <c r="O33" s="529">
        <f>IFERROR(AVERAGEIF(C33:N33,"&gt;0"),"-")</f>
        <v>3.2500000000000001E-2</v>
      </c>
      <c r="P33" s="529">
        <f>+IFERROR(AVERAGEIFS(C33:N33,C33:N33,"&gt;0",C$6:N$6,"&gt;="&amp;DATE(YEAR(N$6),1,1),C$6:N$6,"&lt;="&amp;DATE(YEAR(N$6),12,31)),"-")</f>
        <v>3.2500000000000001E-2</v>
      </c>
    </row>
  </sheetData>
  <mergeCells count="13">
    <mergeCell ref="A30:B30"/>
    <mergeCell ref="A22:B22"/>
    <mergeCell ref="A6:B6"/>
    <mergeCell ref="A1:B4"/>
    <mergeCell ref="O6:O7"/>
    <mergeCell ref="O2:P2"/>
    <mergeCell ref="O3:P3"/>
    <mergeCell ref="P6:P7"/>
    <mergeCell ref="C1:N4"/>
    <mergeCell ref="O22:O23"/>
    <mergeCell ref="P22:P23"/>
    <mergeCell ref="O30:O31"/>
    <mergeCell ref="P30:P31"/>
  </mergeCells>
  <pageMargins left="0.7" right="0.7" top="0.75" bottom="0.75" header="0.3" footer="0.3"/>
  <pageSetup orientation="portrait"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6"/>
  <dimension ref="A1:AJ67"/>
  <sheetViews>
    <sheetView topLeftCell="A10" zoomScale="84" zoomScaleNormal="84" workbookViewId="0">
      <selection activeCell="C18" sqref="C18"/>
    </sheetView>
  </sheetViews>
  <sheetFormatPr baseColWidth="10" defaultRowHeight="16.5" x14ac:dyDescent="0.25"/>
  <cols>
    <col min="1" max="1" width="35.7109375" style="197" customWidth="1"/>
    <col min="2" max="14" width="10.7109375" style="197" customWidth="1"/>
    <col min="15" max="15" width="33.28515625" style="197" customWidth="1"/>
    <col min="16" max="16" width="13.42578125" style="197" customWidth="1"/>
    <col min="17" max="17" width="14.5703125" style="197" customWidth="1"/>
    <col min="18" max="18" width="36.140625" style="197" customWidth="1"/>
    <col min="19" max="19" width="11.42578125" style="197"/>
    <col min="20" max="20" width="45.140625" style="197" customWidth="1"/>
    <col min="21" max="21" width="11.42578125" style="197"/>
    <col min="22" max="22" width="18.42578125" style="197" customWidth="1"/>
    <col min="23" max="23" width="21.85546875" style="197" bestFit="1" customWidth="1"/>
    <col min="24" max="16384" width="11.42578125" style="197"/>
  </cols>
  <sheetData>
    <row r="1" spans="1:36" ht="16.5" customHeight="1" x14ac:dyDescent="0.25">
      <c r="A1" s="892"/>
      <c r="B1" s="893"/>
      <c r="C1" s="902" t="s">
        <v>260</v>
      </c>
      <c r="D1" s="903"/>
      <c r="E1" s="903"/>
      <c r="F1" s="903"/>
      <c r="G1" s="903"/>
      <c r="H1" s="903"/>
      <c r="I1" s="903"/>
      <c r="J1" s="903"/>
      <c r="K1" s="903"/>
      <c r="L1" s="904"/>
      <c r="M1" s="459" t="s">
        <v>550</v>
      </c>
      <c r="N1" s="353"/>
    </row>
    <row r="2" spans="1:36" ht="16.5" customHeight="1" x14ac:dyDescent="0.25">
      <c r="A2" s="894"/>
      <c r="B2" s="895"/>
      <c r="C2" s="905"/>
      <c r="D2" s="851"/>
      <c r="E2" s="851"/>
      <c r="F2" s="851"/>
      <c r="G2" s="851"/>
      <c r="H2" s="851"/>
      <c r="I2" s="851"/>
      <c r="J2" s="851"/>
      <c r="K2" s="851"/>
      <c r="L2" s="906"/>
      <c r="M2" s="819" t="s">
        <v>533</v>
      </c>
      <c r="N2" s="820"/>
    </row>
    <row r="3" spans="1:36" ht="16.5" customHeight="1" x14ac:dyDescent="0.25">
      <c r="A3" s="894"/>
      <c r="B3" s="895"/>
      <c r="C3" s="905"/>
      <c r="D3" s="851"/>
      <c r="E3" s="851"/>
      <c r="F3" s="851"/>
      <c r="G3" s="851"/>
      <c r="H3" s="851"/>
      <c r="I3" s="851"/>
      <c r="J3" s="851"/>
      <c r="K3" s="851"/>
      <c r="L3" s="906"/>
      <c r="M3" s="819" t="s">
        <v>534</v>
      </c>
      <c r="N3" s="820"/>
    </row>
    <row r="4" spans="1:36" ht="17.25" customHeight="1" thickBot="1" x14ac:dyDescent="0.3">
      <c r="A4" s="896"/>
      <c r="B4" s="897"/>
      <c r="C4" s="907"/>
      <c r="D4" s="908"/>
      <c r="E4" s="908"/>
      <c r="F4" s="908"/>
      <c r="G4" s="908"/>
      <c r="H4" s="908"/>
      <c r="I4" s="908"/>
      <c r="J4" s="908"/>
      <c r="K4" s="908"/>
      <c r="L4" s="909"/>
      <c r="M4" s="912" t="s">
        <v>543</v>
      </c>
      <c r="N4" s="857"/>
    </row>
    <row r="5" spans="1:36" ht="17.25" thickBot="1" x14ac:dyDescent="0.3"/>
    <row r="6" spans="1:36" ht="30" customHeight="1" thickBot="1" x14ac:dyDescent="0.3">
      <c r="A6" s="345" t="s">
        <v>490</v>
      </c>
      <c r="B6" s="635">
        <v>43952</v>
      </c>
      <c r="C6" s="635">
        <v>43983</v>
      </c>
      <c r="D6" s="635">
        <v>44013</v>
      </c>
      <c r="E6" s="635">
        <v>44044</v>
      </c>
      <c r="F6" s="635">
        <v>44075</v>
      </c>
      <c r="G6" s="635">
        <v>44105</v>
      </c>
      <c r="H6" s="635">
        <v>44136</v>
      </c>
      <c r="I6" s="635">
        <v>44166</v>
      </c>
      <c r="J6" s="635">
        <v>44197</v>
      </c>
      <c r="K6" s="635">
        <v>44228</v>
      </c>
      <c r="L6" s="635">
        <v>44256</v>
      </c>
      <c r="M6" s="332">
        <v>44287</v>
      </c>
      <c r="N6" s="254" t="s">
        <v>74</v>
      </c>
      <c r="O6" s="7"/>
      <c r="X6" s="249"/>
      <c r="Y6" s="249"/>
      <c r="Z6" s="249"/>
      <c r="AA6" s="249"/>
      <c r="AB6" s="249"/>
      <c r="AC6" s="249"/>
      <c r="AD6" s="249"/>
      <c r="AE6" s="249"/>
      <c r="AF6" s="249"/>
      <c r="AG6" s="249"/>
      <c r="AH6" s="249"/>
      <c r="AI6" s="249"/>
      <c r="AJ6" s="7"/>
    </row>
    <row r="7" spans="1:36" ht="33" x14ac:dyDescent="0.25">
      <c r="A7" s="552" t="s">
        <v>408</v>
      </c>
      <c r="B7" s="636">
        <v>0</v>
      </c>
      <c r="C7" s="636">
        <v>0</v>
      </c>
      <c r="D7" s="636">
        <v>0</v>
      </c>
      <c r="E7" s="636">
        <v>0</v>
      </c>
      <c r="F7" s="636">
        <v>6</v>
      </c>
      <c r="G7" s="636">
        <v>0</v>
      </c>
      <c r="H7" s="636">
        <v>6</v>
      </c>
      <c r="I7" s="636">
        <v>6</v>
      </c>
      <c r="J7" s="636">
        <v>8</v>
      </c>
      <c r="K7" s="636">
        <v>0</v>
      </c>
      <c r="L7" s="636">
        <v>0</v>
      </c>
      <c r="M7" s="333">
        <v>0</v>
      </c>
      <c r="N7" s="336">
        <f>SUM(B7:M7)</f>
        <v>26</v>
      </c>
      <c r="O7" s="573"/>
      <c r="X7" s="5"/>
      <c r="Y7" s="5"/>
      <c r="Z7" s="5"/>
      <c r="AA7" s="5"/>
      <c r="AB7" s="5"/>
      <c r="AC7" s="5"/>
      <c r="AD7" s="5"/>
      <c r="AE7" s="5"/>
      <c r="AF7" s="5"/>
      <c r="AG7" s="5"/>
      <c r="AH7" s="5"/>
      <c r="AI7" s="5"/>
      <c r="AJ7" s="7"/>
    </row>
    <row r="8" spans="1:36" ht="24.95" customHeight="1" x14ac:dyDescent="0.25">
      <c r="A8" s="331" t="s">
        <v>124</v>
      </c>
      <c r="B8" s="637">
        <v>0</v>
      </c>
      <c r="C8" s="637">
        <v>0</v>
      </c>
      <c r="D8" s="637">
        <v>0</v>
      </c>
      <c r="E8" s="637">
        <v>168</v>
      </c>
      <c r="F8" s="637">
        <v>62</v>
      </c>
      <c r="G8" s="637">
        <v>24</v>
      </c>
      <c r="H8" s="637">
        <v>5</v>
      </c>
      <c r="I8" s="637">
        <v>0</v>
      </c>
      <c r="J8" s="637">
        <v>12</v>
      </c>
      <c r="K8" s="637">
        <v>0</v>
      </c>
      <c r="L8" s="637">
        <v>0</v>
      </c>
      <c r="M8" s="334">
        <v>0</v>
      </c>
      <c r="N8" s="337">
        <f t="shared" ref="N8:N19" si="0">SUM(B8:M8)</f>
        <v>271</v>
      </c>
      <c r="O8" s="574"/>
      <c r="X8" s="5"/>
      <c r="Y8" s="5"/>
      <c r="Z8" s="5"/>
      <c r="AA8" s="5"/>
      <c r="AB8" s="5"/>
      <c r="AC8" s="5"/>
      <c r="AD8" s="5"/>
      <c r="AE8" s="5"/>
      <c r="AF8" s="5"/>
      <c r="AG8" s="5"/>
      <c r="AH8" s="5"/>
      <c r="AI8" s="5"/>
      <c r="AJ8" s="7"/>
    </row>
    <row r="9" spans="1:36" ht="24.95" customHeight="1" x14ac:dyDescent="0.25">
      <c r="A9" s="331" t="s">
        <v>265</v>
      </c>
      <c r="B9" s="637">
        <v>0</v>
      </c>
      <c r="C9" s="637">
        <v>0</v>
      </c>
      <c r="D9" s="637">
        <v>0</v>
      </c>
      <c r="E9" s="637">
        <v>2.5</v>
      </c>
      <c r="F9" s="637">
        <v>0</v>
      </c>
      <c r="G9" s="637">
        <v>2</v>
      </c>
      <c r="H9" s="637">
        <v>0</v>
      </c>
      <c r="I9" s="637">
        <v>23</v>
      </c>
      <c r="J9" s="637">
        <v>0</v>
      </c>
      <c r="K9" s="637">
        <v>0</v>
      </c>
      <c r="L9" s="637">
        <v>2</v>
      </c>
      <c r="M9" s="334">
        <v>0</v>
      </c>
      <c r="N9" s="337">
        <f t="shared" si="0"/>
        <v>29.5</v>
      </c>
      <c r="O9" s="574"/>
      <c r="X9" s="5"/>
      <c r="Y9" s="5"/>
      <c r="Z9" s="5"/>
      <c r="AA9" s="5"/>
      <c r="AB9" s="5"/>
      <c r="AC9" s="5"/>
      <c r="AD9" s="5"/>
      <c r="AE9" s="5"/>
      <c r="AF9" s="5"/>
      <c r="AG9" s="5"/>
      <c r="AH9" s="5"/>
      <c r="AI9" s="5"/>
      <c r="AJ9" s="7"/>
    </row>
    <row r="10" spans="1:36" ht="24.95" customHeight="1" x14ac:dyDescent="0.25">
      <c r="A10" s="331" t="s">
        <v>266</v>
      </c>
      <c r="B10" s="637">
        <v>0</v>
      </c>
      <c r="C10" s="637">
        <v>0</v>
      </c>
      <c r="D10" s="637">
        <v>0</v>
      </c>
      <c r="E10" s="637">
        <v>4</v>
      </c>
      <c r="F10" s="637">
        <v>0</v>
      </c>
      <c r="G10" s="637">
        <v>0</v>
      </c>
      <c r="H10" s="637">
        <v>0</v>
      </c>
      <c r="I10" s="637">
        <v>0</v>
      </c>
      <c r="J10" s="637">
        <v>0</v>
      </c>
      <c r="K10" s="637">
        <v>0</v>
      </c>
      <c r="L10" s="637">
        <v>0</v>
      </c>
      <c r="M10" s="334">
        <v>0</v>
      </c>
      <c r="N10" s="337">
        <f t="shared" si="0"/>
        <v>4</v>
      </c>
      <c r="O10" s="574"/>
      <c r="X10" s="5"/>
      <c r="Y10" s="5"/>
      <c r="Z10" s="5"/>
      <c r="AA10" s="5"/>
      <c r="AB10" s="5"/>
      <c r="AC10" s="5"/>
      <c r="AD10" s="5"/>
      <c r="AE10" s="5"/>
      <c r="AF10" s="5"/>
      <c r="AG10" s="5"/>
      <c r="AH10" s="5"/>
      <c r="AI10" s="5"/>
      <c r="AJ10" s="7"/>
    </row>
    <row r="11" spans="1:36" ht="24.95" customHeight="1" x14ac:dyDescent="0.25">
      <c r="A11" s="331" t="s">
        <v>529</v>
      </c>
      <c r="B11" s="637">
        <v>281</v>
      </c>
      <c r="C11" s="637">
        <v>297</v>
      </c>
      <c r="D11" s="637">
        <v>9</v>
      </c>
      <c r="E11" s="637">
        <v>6</v>
      </c>
      <c r="F11" s="637">
        <v>168</v>
      </c>
      <c r="G11" s="637">
        <v>5</v>
      </c>
      <c r="H11" s="637">
        <v>0</v>
      </c>
      <c r="I11" s="637">
        <f>20+96</f>
        <v>116</v>
      </c>
      <c r="J11" s="637">
        <v>67</v>
      </c>
      <c r="K11" s="637">
        <v>108</v>
      </c>
      <c r="L11" s="637">
        <v>80</v>
      </c>
      <c r="M11" s="334">
        <v>27</v>
      </c>
      <c r="N11" s="337">
        <f t="shared" si="0"/>
        <v>1164</v>
      </c>
      <c r="O11" s="574"/>
      <c r="X11" s="5"/>
      <c r="Y11" s="5"/>
      <c r="Z11" s="5"/>
      <c r="AA11" s="5"/>
      <c r="AB11" s="5"/>
      <c r="AC11" s="5"/>
      <c r="AD11" s="5"/>
      <c r="AE11" s="5"/>
      <c r="AF11" s="5"/>
      <c r="AG11" s="5"/>
      <c r="AH11" s="5"/>
      <c r="AI11" s="5"/>
      <c r="AJ11" s="7"/>
    </row>
    <row r="12" spans="1:36" ht="24.95" customHeight="1" x14ac:dyDescent="0.25">
      <c r="A12" s="331" t="s">
        <v>399</v>
      </c>
      <c r="B12" s="637">
        <v>0</v>
      </c>
      <c r="C12" s="637">
        <v>0</v>
      </c>
      <c r="D12" s="637">
        <v>0</v>
      </c>
      <c r="E12" s="637">
        <v>0</v>
      </c>
      <c r="F12" s="637">
        <v>0</v>
      </c>
      <c r="G12" s="637">
        <v>0</v>
      </c>
      <c r="H12" s="637">
        <v>1.5</v>
      </c>
      <c r="I12" s="637">
        <v>1</v>
      </c>
      <c r="J12" s="637">
        <v>0</v>
      </c>
      <c r="K12" s="637">
        <v>0.5</v>
      </c>
      <c r="L12" s="637">
        <v>0</v>
      </c>
      <c r="M12" s="334">
        <v>0</v>
      </c>
      <c r="N12" s="337">
        <f t="shared" si="0"/>
        <v>3</v>
      </c>
      <c r="O12" s="574"/>
      <c r="X12" s="5"/>
      <c r="Y12" s="5"/>
      <c r="Z12" s="5"/>
      <c r="AA12" s="5"/>
      <c r="AB12" s="5"/>
      <c r="AC12" s="5"/>
      <c r="AD12" s="5"/>
      <c r="AE12" s="5"/>
      <c r="AF12" s="5"/>
      <c r="AG12" s="5"/>
      <c r="AH12" s="5"/>
      <c r="AI12" s="5"/>
      <c r="AJ12" s="7"/>
    </row>
    <row r="13" spans="1:36" ht="24.95" customHeight="1" x14ac:dyDescent="0.25">
      <c r="A13" s="331" t="s">
        <v>269</v>
      </c>
      <c r="B13" s="637">
        <v>3.75</v>
      </c>
      <c r="C13" s="637">
        <v>0</v>
      </c>
      <c r="D13" s="637">
        <v>0</v>
      </c>
      <c r="E13" s="637">
        <v>2</v>
      </c>
      <c r="F13" s="637">
        <v>11.149999999999999</v>
      </c>
      <c r="G13" s="637">
        <v>3.5</v>
      </c>
      <c r="H13" s="637">
        <v>0</v>
      </c>
      <c r="I13" s="637">
        <v>0</v>
      </c>
      <c r="J13" s="637">
        <v>0</v>
      </c>
      <c r="K13" s="637">
        <v>0</v>
      </c>
      <c r="L13" s="637">
        <v>0</v>
      </c>
      <c r="M13" s="334">
        <v>0</v>
      </c>
      <c r="N13" s="337">
        <f t="shared" si="0"/>
        <v>20.399999999999999</v>
      </c>
      <c r="O13" s="574"/>
      <c r="X13" s="5"/>
      <c r="Y13" s="5"/>
      <c r="Z13" s="5"/>
      <c r="AA13" s="5"/>
      <c r="AB13" s="5"/>
      <c r="AC13" s="5"/>
      <c r="AD13" s="5"/>
      <c r="AE13" s="5"/>
      <c r="AF13" s="5"/>
      <c r="AG13" s="5"/>
      <c r="AH13" s="5"/>
      <c r="AI13" s="5"/>
      <c r="AJ13" s="7"/>
    </row>
    <row r="14" spans="1:36" ht="24.95" customHeight="1" x14ac:dyDescent="0.25">
      <c r="A14" s="331" t="s">
        <v>410</v>
      </c>
      <c r="B14" s="637">
        <v>0</v>
      </c>
      <c r="C14" s="637">
        <v>0</v>
      </c>
      <c r="D14" s="637">
        <v>1</v>
      </c>
      <c r="E14" s="637">
        <v>0</v>
      </c>
      <c r="F14" s="637">
        <v>10.5</v>
      </c>
      <c r="G14" s="637">
        <v>0</v>
      </c>
      <c r="H14" s="637">
        <v>3</v>
      </c>
      <c r="I14" s="637">
        <v>0</v>
      </c>
      <c r="J14" s="637">
        <v>0</v>
      </c>
      <c r="K14" s="637">
        <v>0</v>
      </c>
      <c r="L14" s="637">
        <v>0</v>
      </c>
      <c r="M14" s="334">
        <v>5</v>
      </c>
      <c r="N14" s="337">
        <f t="shared" si="0"/>
        <v>19.5</v>
      </c>
      <c r="O14" s="574"/>
      <c r="X14" s="5"/>
      <c r="Y14" s="5"/>
      <c r="Z14" s="5"/>
      <c r="AA14" s="5"/>
      <c r="AB14" s="5"/>
      <c r="AC14" s="5"/>
      <c r="AD14" s="5"/>
      <c r="AE14" s="5"/>
      <c r="AF14" s="5"/>
      <c r="AG14" s="5"/>
      <c r="AH14" s="5"/>
      <c r="AI14" s="5"/>
      <c r="AJ14" s="7"/>
    </row>
    <row r="15" spans="1:36" ht="24.95" customHeight="1" x14ac:dyDescent="0.25">
      <c r="A15" s="331" t="s">
        <v>400</v>
      </c>
      <c r="B15" s="637">
        <v>0</v>
      </c>
      <c r="C15" s="637">
        <v>0</v>
      </c>
      <c r="D15" s="637">
        <v>0</v>
      </c>
      <c r="E15" s="637">
        <v>0</v>
      </c>
      <c r="F15" s="637">
        <v>0</v>
      </c>
      <c r="G15" s="637">
        <v>0</v>
      </c>
      <c r="H15" s="637">
        <v>0</v>
      </c>
      <c r="I15" s="637">
        <v>5</v>
      </c>
      <c r="J15" s="637">
        <v>0</v>
      </c>
      <c r="K15" s="637">
        <v>0</v>
      </c>
      <c r="L15" s="637">
        <v>0</v>
      </c>
      <c r="M15" s="334">
        <v>0</v>
      </c>
      <c r="N15" s="337">
        <f t="shared" si="0"/>
        <v>5</v>
      </c>
      <c r="O15" s="574"/>
      <c r="X15" s="5"/>
      <c r="Y15" s="5"/>
      <c r="Z15" s="5"/>
      <c r="AA15" s="5"/>
      <c r="AB15" s="5"/>
      <c r="AC15" s="5"/>
      <c r="AD15" s="5"/>
      <c r="AE15" s="5"/>
      <c r="AF15" s="5"/>
      <c r="AG15" s="5"/>
      <c r="AH15" s="5"/>
      <c r="AI15" s="5"/>
      <c r="AJ15" s="7"/>
    </row>
    <row r="16" spans="1:36" ht="24.95" customHeight="1" x14ac:dyDescent="0.25">
      <c r="A16" s="331" t="s">
        <v>401</v>
      </c>
      <c r="B16" s="637">
        <v>0</v>
      </c>
      <c r="C16" s="637">
        <v>0</v>
      </c>
      <c r="D16" s="637">
        <v>0</v>
      </c>
      <c r="E16" s="637">
        <v>0</v>
      </c>
      <c r="F16" s="637">
        <v>0</v>
      </c>
      <c r="G16" s="637">
        <v>0</v>
      </c>
      <c r="H16" s="637">
        <v>0</v>
      </c>
      <c r="I16" s="637">
        <v>0</v>
      </c>
      <c r="J16" s="637">
        <v>0</v>
      </c>
      <c r="K16" s="637">
        <v>0</v>
      </c>
      <c r="L16" s="637">
        <v>0</v>
      </c>
      <c r="M16" s="334">
        <v>0</v>
      </c>
      <c r="N16" s="337">
        <f t="shared" si="0"/>
        <v>0</v>
      </c>
      <c r="O16" s="574"/>
      <c r="X16" s="5"/>
      <c r="Y16" s="5"/>
      <c r="Z16" s="5"/>
      <c r="AA16" s="5"/>
      <c r="AB16" s="5"/>
      <c r="AC16" s="5"/>
      <c r="AD16" s="5"/>
      <c r="AE16" s="5"/>
      <c r="AF16" s="5"/>
      <c r="AG16" s="5"/>
      <c r="AH16" s="5"/>
      <c r="AI16" s="5"/>
      <c r="AJ16" s="7"/>
    </row>
    <row r="17" spans="1:36" ht="24.95" customHeight="1" x14ac:dyDescent="0.25">
      <c r="A17" s="331" t="s">
        <v>121</v>
      </c>
      <c r="B17" s="637">
        <v>0</v>
      </c>
      <c r="C17" s="637">
        <v>0</v>
      </c>
      <c r="D17" s="637">
        <v>0</v>
      </c>
      <c r="E17" s="637">
        <v>0</v>
      </c>
      <c r="F17" s="637">
        <v>0</v>
      </c>
      <c r="G17" s="637">
        <v>0</v>
      </c>
      <c r="H17" s="637">
        <v>0</v>
      </c>
      <c r="I17" s="637">
        <v>0</v>
      </c>
      <c r="J17" s="637">
        <v>0</v>
      </c>
      <c r="K17" s="637">
        <v>0</v>
      </c>
      <c r="L17" s="637">
        <v>0</v>
      </c>
      <c r="M17" s="334">
        <v>0</v>
      </c>
      <c r="N17" s="337">
        <f t="shared" si="0"/>
        <v>0</v>
      </c>
      <c r="O17" s="574"/>
      <c r="X17" s="5"/>
      <c r="Y17" s="5"/>
      <c r="Z17" s="5"/>
      <c r="AA17" s="5"/>
      <c r="AB17" s="5"/>
      <c r="AC17" s="5"/>
      <c r="AD17" s="5"/>
      <c r="AE17" s="5"/>
      <c r="AF17" s="5"/>
      <c r="AG17" s="5"/>
      <c r="AH17" s="5"/>
      <c r="AI17" s="5"/>
      <c r="AJ17" s="7"/>
    </row>
    <row r="18" spans="1:36" ht="24.95" customHeight="1" x14ac:dyDescent="0.25">
      <c r="A18" s="331" t="s">
        <v>473</v>
      </c>
      <c r="B18" s="637">
        <v>0</v>
      </c>
      <c r="C18" s="637">
        <v>0</v>
      </c>
      <c r="D18" s="637">
        <v>0</v>
      </c>
      <c r="E18" s="637">
        <v>0</v>
      </c>
      <c r="F18" s="637">
        <v>0</v>
      </c>
      <c r="G18" s="637">
        <v>0</v>
      </c>
      <c r="H18" s="637">
        <v>0</v>
      </c>
      <c r="I18" s="637">
        <v>0</v>
      </c>
      <c r="J18" s="637">
        <v>0</v>
      </c>
      <c r="K18" s="637">
        <v>0</v>
      </c>
      <c r="L18" s="637">
        <v>0</v>
      </c>
      <c r="M18" s="334">
        <v>0</v>
      </c>
      <c r="N18" s="337">
        <f t="shared" si="0"/>
        <v>0</v>
      </c>
      <c r="O18" s="574"/>
      <c r="X18" s="5"/>
      <c r="Y18" s="5"/>
      <c r="Z18" s="5"/>
      <c r="AA18" s="5"/>
      <c r="AB18" s="5"/>
      <c r="AC18" s="5"/>
      <c r="AD18" s="5"/>
      <c r="AE18" s="5"/>
      <c r="AF18" s="5"/>
      <c r="AG18" s="5"/>
      <c r="AH18" s="5"/>
      <c r="AI18" s="5"/>
      <c r="AJ18" s="7"/>
    </row>
    <row r="19" spans="1:36" ht="25.5" customHeight="1" x14ac:dyDescent="0.25">
      <c r="A19" s="331" t="s">
        <v>472</v>
      </c>
      <c r="B19" s="637">
        <v>0</v>
      </c>
      <c r="C19" s="637">
        <v>0</v>
      </c>
      <c r="D19" s="637">
        <v>0</v>
      </c>
      <c r="E19" s="637">
        <v>0</v>
      </c>
      <c r="F19" s="637">
        <v>0</v>
      </c>
      <c r="G19" s="637">
        <v>0</v>
      </c>
      <c r="H19" s="637">
        <v>0</v>
      </c>
      <c r="I19" s="637">
        <v>0</v>
      </c>
      <c r="J19" s="637">
        <v>0</v>
      </c>
      <c r="K19" s="637">
        <v>0</v>
      </c>
      <c r="L19" s="637">
        <v>0</v>
      </c>
      <c r="M19" s="334">
        <v>0</v>
      </c>
      <c r="N19" s="337">
        <f t="shared" si="0"/>
        <v>0</v>
      </c>
      <c r="O19" s="574"/>
      <c r="X19" s="5"/>
      <c r="Y19" s="5"/>
      <c r="Z19" s="5"/>
      <c r="AA19" s="5"/>
      <c r="AB19" s="5"/>
      <c r="AC19" s="5"/>
      <c r="AD19" s="5"/>
      <c r="AE19" s="5"/>
      <c r="AF19" s="5"/>
      <c r="AG19" s="5"/>
      <c r="AH19" s="5"/>
      <c r="AI19" s="5"/>
      <c r="AJ19" s="7"/>
    </row>
    <row r="20" spans="1:36" ht="29.25" customHeight="1" x14ac:dyDescent="0.25">
      <c r="A20" s="331" t="s">
        <v>474</v>
      </c>
      <c r="B20" s="638">
        <v>0</v>
      </c>
      <c r="C20" s="638">
        <v>0</v>
      </c>
      <c r="D20" s="638">
        <v>0</v>
      </c>
      <c r="E20" s="638">
        <v>0</v>
      </c>
      <c r="F20" s="638">
        <v>0</v>
      </c>
      <c r="G20" s="638">
        <v>0</v>
      </c>
      <c r="H20" s="638">
        <v>0</v>
      </c>
      <c r="I20" s="638">
        <v>0</v>
      </c>
      <c r="J20" s="638">
        <v>0</v>
      </c>
      <c r="K20" s="638">
        <v>0</v>
      </c>
      <c r="L20" s="638">
        <v>0</v>
      </c>
      <c r="M20" s="335">
        <v>0</v>
      </c>
      <c r="N20" s="337">
        <f>SUM(B20:M20)</f>
        <v>0</v>
      </c>
      <c r="O20" s="7"/>
      <c r="X20" s="5"/>
      <c r="Y20" s="5"/>
      <c r="Z20" s="5"/>
      <c r="AA20" s="5"/>
      <c r="AB20" s="5"/>
      <c r="AC20" s="5"/>
      <c r="AD20" s="5"/>
      <c r="AE20" s="5"/>
      <c r="AF20" s="5"/>
      <c r="AG20" s="5"/>
      <c r="AH20" s="5"/>
      <c r="AI20" s="5"/>
      <c r="AJ20" s="7"/>
    </row>
    <row r="21" spans="1:36" ht="24.95" customHeight="1" thickBot="1" x14ac:dyDescent="0.3">
      <c r="A21" s="577" t="s">
        <v>402</v>
      </c>
      <c r="B21" s="653">
        <v>0</v>
      </c>
      <c r="C21" s="653">
        <v>0</v>
      </c>
      <c r="D21" s="653">
        <v>0</v>
      </c>
      <c r="E21" s="653">
        <v>0</v>
      </c>
      <c r="F21" s="653">
        <v>0</v>
      </c>
      <c r="G21" s="653">
        <v>0</v>
      </c>
      <c r="H21" s="653">
        <v>0</v>
      </c>
      <c r="I21" s="653">
        <v>30</v>
      </c>
      <c r="J21" s="653">
        <v>24</v>
      </c>
      <c r="K21" s="653">
        <v>0</v>
      </c>
      <c r="L21" s="653">
        <v>0</v>
      </c>
      <c r="M21" s="578">
        <v>0</v>
      </c>
      <c r="N21" s="579">
        <f>SUM(B21:M21)</f>
        <v>54</v>
      </c>
      <c r="O21" s="7"/>
      <c r="X21" s="5"/>
      <c r="Y21" s="5"/>
      <c r="Z21" s="5"/>
      <c r="AA21" s="5"/>
      <c r="AB21" s="5"/>
      <c r="AC21" s="5"/>
      <c r="AD21" s="5"/>
      <c r="AE21" s="5"/>
      <c r="AF21" s="5"/>
      <c r="AG21" s="5"/>
      <c r="AH21" s="5"/>
      <c r="AI21" s="5"/>
      <c r="AJ21" s="7"/>
    </row>
    <row r="22" spans="1:36" ht="24.95" customHeight="1" x14ac:dyDescent="0.25">
      <c r="A22" s="580" t="s">
        <v>496</v>
      </c>
      <c r="B22" s="582">
        <f>B28</f>
        <v>744</v>
      </c>
      <c r="C22" s="583">
        <f t="shared" ref="C22:M22" si="1">C28</f>
        <v>720</v>
      </c>
      <c r="D22" s="583">
        <f t="shared" si="1"/>
        <v>744</v>
      </c>
      <c r="E22" s="583">
        <f t="shared" si="1"/>
        <v>744</v>
      </c>
      <c r="F22" s="583">
        <f t="shared" si="1"/>
        <v>720</v>
      </c>
      <c r="G22" s="583">
        <f t="shared" si="1"/>
        <v>744</v>
      </c>
      <c r="H22" s="583">
        <f t="shared" si="1"/>
        <v>720</v>
      </c>
      <c r="I22" s="583">
        <f t="shared" si="1"/>
        <v>744</v>
      </c>
      <c r="J22" s="583">
        <f t="shared" si="1"/>
        <v>744</v>
      </c>
      <c r="K22" s="583">
        <f t="shared" si="1"/>
        <v>672</v>
      </c>
      <c r="L22" s="583">
        <f t="shared" si="1"/>
        <v>744</v>
      </c>
      <c r="M22" s="588">
        <f t="shared" si="1"/>
        <v>720</v>
      </c>
      <c r="N22" s="549">
        <f>SUM(B22:M22)</f>
        <v>8760</v>
      </c>
      <c r="O22" s="7"/>
      <c r="X22" s="5"/>
      <c r="Y22" s="5"/>
      <c r="Z22" s="5"/>
      <c r="AA22" s="5"/>
      <c r="AB22" s="5"/>
      <c r="AC22" s="5"/>
      <c r="AD22" s="5"/>
      <c r="AE22" s="5"/>
      <c r="AF22" s="5"/>
      <c r="AG22" s="5"/>
      <c r="AH22" s="5"/>
      <c r="AI22" s="5"/>
      <c r="AJ22" s="7"/>
    </row>
    <row r="23" spans="1:36" ht="24.95" customHeight="1" x14ac:dyDescent="0.25">
      <c r="A23" s="575" t="s">
        <v>498</v>
      </c>
      <c r="B23" s="584">
        <f>SUM(B7:B21)</f>
        <v>284.75</v>
      </c>
      <c r="C23" s="585">
        <f t="shared" ref="C23:M23" si="2">SUM(C7:C21)</f>
        <v>297</v>
      </c>
      <c r="D23" s="585">
        <f t="shared" si="2"/>
        <v>10</v>
      </c>
      <c r="E23" s="585">
        <f t="shared" si="2"/>
        <v>182.5</v>
      </c>
      <c r="F23" s="585">
        <f t="shared" si="2"/>
        <v>257.64999999999998</v>
      </c>
      <c r="G23" s="585">
        <f t="shared" si="2"/>
        <v>34.5</v>
      </c>
      <c r="H23" s="585">
        <f t="shared" si="2"/>
        <v>15.5</v>
      </c>
      <c r="I23" s="585">
        <f t="shared" si="2"/>
        <v>181</v>
      </c>
      <c r="J23" s="585">
        <f t="shared" si="2"/>
        <v>111</v>
      </c>
      <c r="K23" s="585">
        <f t="shared" si="2"/>
        <v>108.5</v>
      </c>
      <c r="L23" s="585">
        <f t="shared" si="2"/>
        <v>82</v>
      </c>
      <c r="M23" s="589">
        <f t="shared" si="2"/>
        <v>32</v>
      </c>
      <c r="N23" s="576">
        <f>SUM(B23:M23)</f>
        <v>1596.4</v>
      </c>
      <c r="O23" s="5"/>
      <c r="X23" s="5"/>
      <c r="Y23" s="5"/>
      <c r="Z23" s="5"/>
      <c r="AA23" s="5"/>
      <c r="AB23" s="5"/>
      <c r="AC23" s="5"/>
      <c r="AD23" s="5"/>
      <c r="AE23" s="5"/>
      <c r="AF23" s="5"/>
      <c r="AG23" s="5"/>
      <c r="AH23" s="251"/>
      <c r="AI23" s="251"/>
      <c r="AJ23" s="250"/>
    </row>
    <row r="24" spans="1:36" ht="24.95" customHeight="1" x14ac:dyDescent="0.25">
      <c r="A24" s="575" t="s">
        <v>497</v>
      </c>
      <c r="B24" s="587">
        <f>B22-B23</f>
        <v>459.25</v>
      </c>
      <c r="C24" s="586">
        <f t="shared" ref="C24:M24" si="3">C22-C23</f>
        <v>423</v>
      </c>
      <c r="D24" s="586">
        <f t="shared" si="3"/>
        <v>734</v>
      </c>
      <c r="E24" s="586">
        <f t="shared" si="3"/>
        <v>561.5</v>
      </c>
      <c r="F24" s="586">
        <f t="shared" si="3"/>
        <v>462.35</v>
      </c>
      <c r="G24" s="586">
        <f t="shared" si="3"/>
        <v>709.5</v>
      </c>
      <c r="H24" s="586">
        <f t="shared" si="3"/>
        <v>704.5</v>
      </c>
      <c r="I24" s="586">
        <f t="shared" si="3"/>
        <v>563</v>
      </c>
      <c r="J24" s="586">
        <f t="shared" si="3"/>
        <v>633</v>
      </c>
      <c r="K24" s="586">
        <f t="shared" si="3"/>
        <v>563.5</v>
      </c>
      <c r="L24" s="586">
        <f t="shared" si="3"/>
        <v>662</v>
      </c>
      <c r="M24" s="590">
        <f t="shared" si="3"/>
        <v>688</v>
      </c>
      <c r="N24" s="576">
        <f>SUM(B24:M24)</f>
        <v>7163.6</v>
      </c>
      <c r="O24" s="5"/>
      <c r="X24" s="5"/>
      <c r="Y24" s="5"/>
      <c r="Z24" s="5"/>
      <c r="AA24" s="5"/>
      <c r="AB24" s="5"/>
      <c r="AC24" s="5"/>
      <c r="AD24" s="5"/>
      <c r="AE24" s="5"/>
      <c r="AF24" s="5"/>
      <c r="AG24" s="5"/>
      <c r="AH24" s="5"/>
      <c r="AI24" s="5"/>
      <c r="AJ24" s="250"/>
    </row>
    <row r="25" spans="1:36" ht="24.95" customHeight="1" thickBot="1" x14ac:dyDescent="0.3">
      <c r="A25" s="551" t="s">
        <v>499</v>
      </c>
      <c r="B25" s="591">
        <f>INVENTARIOS!C69/'PARADAS P1'!B24</f>
        <v>12.988341861731083</v>
      </c>
      <c r="C25" s="592">
        <f>INVENTARIOS!D69/'PARADAS P1'!C24</f>
        <v>12.659988179669032</v>
      </c>
      <c r="D25" s="592">
        <f>INVENTARIOS!E69/'PARADAS P1'!D24</f>
        <v>12.727689373297002</v>
      </c>
      <c r="E25" s="592">
        <f>INVENTARIOS!F69/'PARADAS P1'!E24</f>
        <v>12.897191451469279</v>
      </c>
      <c r="F25" s="592">
        <f>INVENTARIOS!G69/'PARADAS P1'!F24</f>
        <v>12.910100573158861</v>
      </c>
      <c r="G25" s="592">
        <f>INVENTARIOS!H69/'PARADAS P1'!G24</f>
        <v>12.754520084566597</v>
      </c>
      <c r="H25" s="592">
        <f>INVENTARIOS!I69/'PARADAS P1'!H24</f>
        <v>12.940627395315827</v>
      </c>
      <c r="I25" s="592">
        <f>INVENTARIOS!J69/'PARADAS P1'!I24</f>
        <v>12.725891651865009</v>
      </c>
      <c r="J25" s="592">
        <f>INVENTARIOS!K69/'PARADAS P1'!J24</f>
        <v>12.655985781990521</v>
      </c>
      <c r="K25" s="592">
        <f>INVENTARIOS!L69/'PARADAS P1'!K24</f>
        <v>12.576124223602484</v>
      </c>
      <c r="L25" s="592">
        <f>INVENTARIOS!M69/'PARADAS P1'!L24</f>
        <v>12.335519637462236</v>
      </c>
      <c r="M25" s="593">
        <f>INVENTARIOS!N69/'PARADAS P1'!M24</f>
        <v>12.152633720930233</v>
      </c>
      <c r="N25" s="550">
        <f>AVERAGE(B25:M25)</f>
        <v>12.693717827921512</v>
      </c>
      <c r="O25" s="5"/>
      <c r="X25" s="5"/>
      <c r="Y25" s="5"/>
      <c r="Z25" s="5"/>
      <c r="AA25" s="5"/>
      <c r="AB25" s="5"/>
      <c r="AC25" s="5"/>
      <c r="AD25" s="5"/>
      <c r="AE25" s="5"/>
      <c r="AF25" s="5"/>
      <c r="AG25" s="5"/>
      <c r="AH25" s="5"/>
      <c r="AI25" s="5"/>
      <c r="AJ25" s="250"/>
    </row>
    <row r="26" spans="1:36" ht="17.25" thickBot="1" x14ac:dyDescent="0.3">
      <c r="A26" s="952"/>
      <c r="B26" s="952"/>
      <c r="C26" s="952"/>
      <c r="D26" s="952"/>
      <c r="E26" s="952"/>
      <c r="F26" s="952"/>
      <c r="G26" s="952"/>
      <c r="H26" s="952"/>
      <c r="I26" s="952"/>
      <c r="J26" s="952"/>
      <c r="K26" s="952"/>
      <c r="L26" s="952"/>
      <c r="M26" s="952"/>
      <c r="N26" s="952"/>
      <c r="O26" s="5"/>
    </row>
    <row r="27" spans="1:36" ht="24.95" customHeight="1" thickBot="1" x14ac:dyDescent="0.3">
      <c r="A27" s="284" t="s">
        <v>106</v>
      </c>
      <c r="B27" s="299">
        <f>+'INDICADORES MANTENIMIENTO P1'!C6</f>
        <v>43952</v>
      </c>
      <c r="C27" s="300">
        <f>+'INDICADORES MANTENIMIENTO P1'!D6</f>
        <v>43983</v>
      </c>
      <c r="D27" s="300">
        <f>+'INDICADORES MANTENIMIENTO P1'!E6</f>
        <v>44013</v>
      </c>
      <c r="E27" s="300">
        <f>+'INDICADORES MANTENIMIENTO P1'!F6</f>
        <v>44044</v>
      </c>
      <c r="F27" s="300">
        <f>+'INDICADORES MANTENIMIENTO P1'!G6</f>
        <v>44075</v>
      </c>
      <c r="G27" s="300">
        <f>+'INDICADORES MANTENIMIENTO P1'!H6</f>
        <v>44105</v>
      </c>
      <c r="H27" s="300">
        <f>+'INDICADORES MANTENIMIENTO P1'!I6</f>
        <v>44136</v>
      </c>
      <c r="I27" s="300">
        <f>+'INDICADORES MANTENIMIENTO P1'!J6</f>
        <v>44166</v>
      </c>
      <c r="J27" s="300">
        <f>+'INDICADORES MANTENIMIENTO P1'!K6</f>
        <v>44197</v>
      </c>
      <c r="K27" s="300">
        <f>+'INDICADORES MANTENIMIENTO P1'!L6</f>
        <v>44228</v>
      </c>
      <c r="L27" s="300">
        <f>+'INDICADORES MANTENIMIENTO P1'!M6</f>
        <v>44256</v>
      </c>
      <c r="M27" s="301">
        <f>+'INDICADORES MANTENIMIENTO P1'!N6</f>
        <v>44287</v>
      </c>
      <c r="N27" s="950" t="s">
        <v>105</v>
      </c>
      <c r="O27" s="5"/>
    </row>
    <row r="28" spans="1:36" ht="24.95" customHeight="1" thickBot="1" x14ac:dyDescent="0.3">
      <c r="A28" s="256" t="s">
        <v>496</v>
      </c>
      <c r="B28" s="296">
        <f>+DAY(EOMONTH(B27,0))*24</f>
        <v>744</v>
      </c>
      <c r="C28" s="297">
        <f t="shared" ref="C28:M28" si="4">+DAY(EOMONTH(C27,0))*24</f>
        <v>720</v>
      </c>
      <c r="D28" s="297">
        <f t="shared" si="4"/>
        <v>744</v>
      </c>
      <c r="E28" s="297">
        <f t="shared" si="4"/>
        <v>744</v>
      </c>
      <c r="F28" s="297">
        <f t="shared" si="4"/>
        <v>720</v>
      </c>
      <c r="G28" s="297">
        <f t="shared" si="4"/>
        <v>744</v>
      </c>
      <c r="H28" s="297">
        <f t="shared" si="4"/>
        <v>720</v>
      </c>
      <c r="I28" s="297">
        <f t="shared" si="4"/>
        <v>744</v>
      </c>
      <c r="J28" s="297">
        <f t="shared" si="4"/>
        <v>744</v>
      </c>
      <c r="K28" s="297">
        <f t="shared" si="4"/>
        <v>672</v>
      </c>
      <c r="L28" s="297">
        <f t="shared" si="4"/>
        <v>744</v>
      </c>
      <c r="M28" s="298">
        <f t="shared" si="4"/>
        <v>720</v>
      </c>
      <c r="N28" s="951"/>
      <c r="O28" s="5"/>
    </row>
    <row r="29" spans="1:36" ht="24.95" customHeight="1" x14ac:dyDescent="0.25">
      <c r="A29" s="257" t="s">
        <v>404</v>
      </c>
      <c r="B29" s="302">
        <f>'INDICADORES MANTENIMIENTO P1'!C7</f>
        <v>100</v>
      </c>
      <c r="C29" s="303">
        <f>'INDICADORES MANTENIMIENTO P1'!D7</f>
        <v>100</v>
      </c>
      <c r="D29" s="303">
        <f>'INDICADORES MANTENIMIENTO P1'!E7</f>
        <v>99.9</v>
      </c>
      <c r="E29" s="303">
        <f>'INDICADORES MANTENIMIENTO P1'!F7</f>
        <v>97.7</v>
      </c>
      <c r="F29" s="303">
        <f>'INDICADORES MANTENIMIENTO P1'!G7</f>
        <v>98.54</v>
      </c>
      <c r="G29" s="303">
        <f>'INDICADORES MANTENIMIENTO P1'!H7</f>
        <v>96.5</v>
      </c>
      <c r="H29" s="303">
        <f>'INDICADORES MANTENIMIENTO P1'!I7</f>
        <v>99.3</v>
      </c>
      <c r="I29" s="303">
        <f>'INDICADORES MANTENIMIENTO P1'!J7</f>
        <v>93.27</v>
      </c>
      <c r="J29" s="303">
        <f>'INDICADORES MANTENIMIENTO P1'!K7</f>
        <v>100</v>
      </c>
      <c r="K29" s="303">
        <f>'INDICADORES MANTENIMIENTO P1'!L7</f>
        <v>100</v>
      </c>
      <c r="L29" s="303">
        <f>'INDICADORES MANTENIMIENTO P1'!M7</f>
        <v>99.5</v>
      </c>
      <c r="M29" s="304">
        <f>'INDICADORES MANTENIMIENTO P1'!N7</f>
        <v>0</v>
      </c>
      <c r="N29" s="305">
        <f>+'INDICADORES MANTENIMIENTO P1'!O7</f>
        <v>98.61</v>
      </c>
      <c r="O29" s="5"/>
    </row>
    <row r="30" spans="1:36" ht="24.95" customHeight="1" x14ac:dyDescent="0.25">
      <c r="A30" s="257" t="s">
        <v>405</v>
      </c>
      <c r="B30" s="302">
        <f>+'INDICADORES MANTENIMIENTO P1'!C9</f>
        <v>0</v>
      </c>
      <c r="C30" s="303">
        <f>+'INDICADORES MANTENIMIENTO P1'!D9</f>
        <v>0</v>
      </c>
      <c r="D30" s="303">
        <f>+'INDICADORES MANTENIMIENTO P1'!E9</f>
        <v>0.14000000000000001</v>
      </c>
      <c r="E30" s="303">
        <f>+'INDICADORES MANTENIMIENTO P1'!F9</f>
        <v>0.33</v>
      </c>
      <c r="F30" s="303">
        <f>+'INDICADORES MANTENIMIENTO P1'!G9</f>
        <v>1.46</v>
      </c>
      <c r="G30" s="303">
        <f>+'INDICADORES MANTENIMIENTO P1'!H9</f>
        <v>0.27</v>
      </c>
      <c r="H30" s="303">
        <f>+'INDICADORES MANTENIMIENTO P1'!I9</f>
        <v>0</v>
      </c>
      <c r="I30" s="303">
        <f>+'INDICADORES MANTENIMIENTO P1'!J9</f>
        <v>6.7</v>
      </c>
      <c r="J30" s="303">
        <f>+'INDICADORES MANTENIMIENTO P1'!K9</f>
        <v>0</v>
      </c>
      <c r="K30" s="303">
        <f>+'INDICADORES MANTENIMIENTO P1'!L9</f>
        <v>0</v>
      </c>
      <c r="L30" s="303">
        <f>+'INDICADORES MANTENIMIENTO P1'!M9</f>
        <v>3.2</v>
      </c>
      <c r="M30" s="304">
        <f>+'INDICADORES MANTENIMIENTO P1'!N9</f>
        <v>0</v>
      </c>
      <c r="N30" s="306">
        <f>+'INDICADORES MANTENIMIENTO P1'!O9</f>
        <v>2.0166666666666671</v>
      </c>
      <c r="O30" s="5"/>
    </row>
    <row r="31" spans="1:36" ht="24.95" customHeight="1" x14ac:dyDescent="0.25">
      <c r="A31" s="257" t="s">
        <v>406</v>
      </c>
      <c r="B31" s="307">
        <f>+'INDICADORES MANTENIMIENTO P1'!C10</f>
        <v>0</v>
      </c>
      <c r="C31" s="308">
        <f>+'INDICADORES MANTENIMIENTO P1'!D10</f>
        <v>0</v>
      </c>
      <c r="D31" s="308">
        <f>+'INDICADORES MANTENIMIENTO P1'!E10</f>
        <v>0</v>
      </c>
      <c r="E31" s="308">
        <f>+'INDICADORES MANTENIMIENTO P1'!F10</f>
        <v>0</v>
      </c>
      <c r="F31" s="308">
        <f>+'INDICADORES MANTENIMIENTO P1'!G10</f>
        <v>0</v>
      </c>
      <c r="G31" s="308">
        <f>+'INDICADORES MANTENIMIENTO P1'!H10</f>
        <v>0</v>
      </c>
      <c r="H31" s="308">
        <f>+'INDICADORES MANTENIMIENTO P1'!I10</f>
        <v>0</v>
      </c>
      <c r="I31" s="308">
        <f>+'INDICADORES MANTENIMIENTO P1'!J10</f>
        <v>0</v>
      </c>
      <c r="J31" s="308">
        <f>+'INDICADORES MANTENIMIENTO P1'!K10</f>
        <v>0</v>
      </c>
      <c r="K31" s="308">
        <f>+'INDICADORES MANTENIMIENTO P1'!L10</f>
        <v>0</v>
      </c>
      <c r="L31" s="308">
        <f>+'INDICADORES MANTENIMIENTO P1'!M10</f>
        <v>0</v>
      </c>
      <c r="M31" s="309">
        <f>+'INDICADORES MANTENIMIENTO P1'!N10</f>
        <v>0</v>
      </c>
      <c r="N31" s="306" t="str">
        <f>+'INDICADORES MANTENIMIENTO P1'!O10</f>
        <v>-</v>
      </c>
      <c r="O31" s="5"/>
    </row>
    <row r="32" spans="1:36" ht="33.75" thickBot="1" x14ac:dyDescent="0.3">
      <c r="A32" s="258" t="s">
        <v>409</v>
      </c>
      <c r="B32" s="310">
        <f>+'INDICADORES MANTENIMIENTO P1'!C11</f>
        <v>90</v>
      </c>
      <c r="C32" s="311">
        <f>+'INDICADORES MANTENIMIENTO P1'!D11</f>
        <v>91</v>
      </c>
      <c r="D32" s="311">
        <f>+'INDICADORES MANTENIMIENTO P1'!E11</f>
        <v>90.1</v>
      </c>
      <c r="E32" s="311">
        <f>+'INDICADORES MANTENIMIENTO P1'!F11</f>
        <v>91.5</v>
      </c>
      <c r="F32" s="311">
        <f>+'INDICADORES MANTENIMIENTO P1'!G11</f>
        <v>91.5</v>
      </c>
      <c r="G32" s="311">
        <f>+'INDICADORES MANTENIMIENTO P1'!H11</f>
        <v>93.7</v>
      </c>
      <c r="H32" s="311">
        <f>+'INDICADORES MANTENIMIENTO P1'!I11</f>
        <v>93.6</v>
      </c>
      <c r="I32" s="311">
        <f>+'INDICADORES MANTENIMIENTO P1'!J11</f>
        <v>94.1</v>
      </c>
      <c r="J32" s="311">
        <f>+'INDICADORES MANTENIMIENTO P1'!K11</f>
        <v>94</v>
      </c>
      <c r="K32" s="311">
        <f>+'INDICADORES MANTENIMIENTO P1'!L11</f>
        <v>100</v>
      </c>
      <c r="L32" s="311">
        <f>+'INDICADORES MANTENIMIENTO P1'!M11</f>
        <v>100</v>
      </c>
      <c r="M32" s="312">
        <f>+'INDICADORES MANTENIMIENTO P1'!N11</f>
        <v>0</v>
      </c>
      <c r="N32" s="313">
        <f>+'INDICADORES MANTENIMIENTO P1'!O11</f>
        <v>93.590909090909093</v>
      </c>
      <c r="O32" s="5"/>
    </row>
    <row r="33" spans="1:19" ht="24.95" customHeight="1" thickBot="1" x14ac:dyDescent="0.3">
      <c r="A33" s="262" t="s">
        <v>407</v>
      </c>
      <c r="B33" s="260">
        <f t="shared" ref="B33:M33" si="5">(B28-SUM(B7:B20))/B28</f>
        <v>0.61727150537634412</v>
      </c>
      <c r="C33" s="255">
        <f t="shared" si="5"/>
        <v>0.58750000000000002</v>
      </c>
      <c r="D33" s="255">
        <f t="shared" si="5"/>
        <v>0.98655913978494625</v>
      </c>
      <c r="E33" s="255">
        <f t="shared" si="5"/>
        <v>0.75470430107526887</v>
      </c>
      <c r="F33" s="255">
        <f t="shared" si="5"/>
        <v>0.64215277777777779</v>
      </c>
      <c r="G33" s="255">
        <f t="shared" si="5"/>
        <v>0.9536290322580645</v>
      </c>
      <c r="H33" s="255">
        <f t="shared" si="5"/>
        <v>0.97847222222222219</v>
      </c>
      <c r="I33" s="255">
        <f t="shared" si="5"/>
        <v>0.79704301075268813</v>
      </c>
      <c r="J33" s="255">
        <f t="shared" si="5"/>
        <v>0.88306451612903225</v>
      </c>
      <c r="K33" s="255">
        <f t="shared" si="5"/>
        <v>0.83854166666666663</v>
      </c>
      <c r="L33" s="255">
        <f t="shared" si="5"/>
        <v>0.88978494623655913</v>
      </c>
      <c r="M33" s="261">
        <f t="shared" si="5"/>
        <v>0.9555555555555556</v>
      </c>
      <c r="N33" s="259">
        <f>AVERAGE(B33:M33)</f>
        <v>0.82368988948626054</v>
      </c>
      <c r="O33" s="5"/>
      <c r="Q33" s="5"/>
    </row>
    <row r="34" spans="1:19" x14ac:dyDescent="0.25">
      <c r="D34" s="252"/>
      <c r="E34" s="252"/>
      <c r="F34" s="252"/>
      <c r="G34" s="252"/>
      <c r="H34" s="252"/>
      <c r="I34" s="252"/>
      <c r="J34" s="252"/>
      <c r="K34" s="252"/>
      <c r="L34" s="252"/>
      <c r="M34" s="252"/>
      <c r="P34" s="5"/>
    </row>
    <row r="35" spans="1:19" x14ac:dyDescent="0.25">
      <c r="P35" s="5"/>
      <c r="Q35" s="253"/>
      <c r="R35" s="5"/>
      <c r="S35" s="5"/>
    </row>
    <row r="67" ht="16.5" customHeight="1" x14ac:dyDescent="0.25"/>
  </sheetData>
  <mergeCells count="7">
    <mergeCell ref="N27:N28"/>
    <mergeCell ref="A1:B4"/>
    <mergeCell ref="M2:N2"/>
    <mergeCell ref="M3:N3"/>
    <mergeCell ref="M4:N4"/>
    <mergeCell ref="C1:L4"/>
    <mergeCell ref="A26:N26"/>
  </mergeCells>
  <printOptions horizontalCentered="1" verticalCentered="1"/>
  <pageMargins left="0.70866141732283472" right="0.70866141732283472" top="0.74803149606299213" bottom="0.74803149606299213" header="0.31496062992125984" footer="0.31496062992125984"/>
  <pageSetup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16</vt:i4>
      </vt:variant>
    </vt:vector>
  </HeadingPairs>
  <TitlesOfParts>
    <vt:vector size="16" baseType="lpstr">
      <vt:lpstr>RESUMEN</vt:lpstr>
      <vt:lpstr>REFINACION ACEITE DE PALMA</vt:lpstr>
      <vt:lpstr>REFINACION GLICERINA</vt:lpstr>
      <vt:lpstr>INDICADORES PRODUCCION</vt:lpstr>
      <vt:lpstr>INVENTARIOS</vt:lpstr>
      <vt:lpstr>PROCESO</vt:lpstr>
      <vt:lpstr>ENERGIA</vt:lpstr>
      <vt:lpstr>CALIDAD</vt:lpstr>
      <vt:lpstr>PARADAS P1</vt:lpstr>
      <vt:lpstr>PARADAS P2</vt:lpstr>
      <vt:lpstr>PARADAS P3</vt:lpstr>
      <vt:lpstr>INDICADORES MANTENIMIENTO P1</vt:lpstr>
      <vt:lpstr>31-03-2013</vt:lpstr>
      <vt:lpstr>INFORME LAB MARZO 2013</vt:lpstr>
      <vt:lpstr>INDICADORES MANTENIMIENTO P2</vt:lpstr>
      <vt:lpstr>INDICADORES MANTENIMIENTO P3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Coordinador Planta</dc:creator>
  <cp:lastModifiedBy>Usuario</cp:lastModifiedBy>
  <cp:lastPrinted>2014-10-14T14:49:05Z</cp:lastPrinted>
  <dcterms:created xsi:type="dcterms:W3CDTF">2009-04-02T20:28:25Z</dcterms:created>
  <dcterms:modified xsi:type="dcterms:W3CDTF">2021-05-06T14:44:10Z</dcterms:modified>
</cp:coreProperties>
</file>