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quevedo.DAABON\Desktop\Matriz de indicadores\"/>
    </mc:Choice>
  </mc:AlternateContent>
  <xr:revisionPtr revIDLastSave="0" documentId="13_ncr:1_{003805E8-7427-4675-964C-015FC7474162}" xr6:coauthVersionLast="47" xr6:coauthVersionMax="47" xr10:uidLastSave="{00000000-0000-0000-0000-000000000000}"/>
  <bookViews>
    <workbookView xWindow="-120" yWindow="-120" windowWidth="20730" windowHeight="11160" tabRatio="672" firstSheet="1" activeTab="1" xr2:uid="{00000000-000D-0000-FFFF-FFFF00000000}"/>
  </bookViews>
  <sheets>
    <sheet name="Base de Indicadores de Gestión" sheetId="1" state="hidden" r:id="rId1"/>
    <sheet name="Capacidad" sheetId="6" r:id="rId2"/>
    <sheet name="Indicadores Gest TEQ 2021" sheetId="2" r:id="rId3"/>
    <sheet name="Sub indicadores CP Cluster" sheetId="3" state="hidden" r:id="rId4"/>
  </sheets>
  <externalReferences>
    <externalReference r:id="rId5"/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2" l="1"/>
  <c r="I48" i="2" l="1"/>
  <c r="I47" i="2"/>
  <c r="G17" i="2" l="1"/>
  <c r="G22" i="6" l="1"/>
  <c r="F17" i="2" l="1"/>
  <c r="E17" i="2"/>
  <c r="G27" i="6" l="1"/>
  <c r="J22" i="6"/>
  <c r="D37" i="2" l="1"/>
  <c r="D72" i="2" l="1"/>
  <c r="O17" i="2" l="1"/>
  <c r="N17" i="2" l="1"/>
  <c r="M17" i="2"/>
  <c r="D17" i="2"/>
  <c r="P70" i="2"/>
  <c r="O47" i="2" l="1"/>
  <c r="O37" i="2"/>
  <c r="O27" i="2"/>
  <c r="O19" i="2"/>
  <c r="O83" i="2"/>
  <c r="O8" i="2" s="1"/>
  <c r="O72" i="2" l="1"/>
  <c r="O58" i="2" l="1"/>
  <c r="O59" i="2" s="1"/>
  <c r="O7" i="2"/>
  <c r="O9" i="2" s="1"/>
  <c r="N27" i="2" l="1"/>
  <c r="N83" i="2" l="1"/>
  <c r="N8" i="2" s="1"/>
  <c r="N47" i="2" l="1"/>
  <c r="N37" i="2"/>
  <c r="N19" i="2"/>
  <c r="N72" i="2" l="1"/>
  <c r="N58" i="2" l="1"/>
  <c r="N59" i="2" s="1"/>
  <c r="N7" i="2"/>
  <c r="N9" i="2" s="1"/>
  <c r="L121" i="2" l="1"/>
  <c r="L124" i="2" l="1"/>
  <c r="K124" i="2"/>
  <c r="J124" i="2"/>
  <c r="L123" i="2"/>
  <c r="K123" i="2"/>
  <c r="J123" i="2"/>
  <c r="L122" i="2"/>
  <c r="K122" i="2"/>
  <c r="J122" i="2"/>
  <c r="K121" i="2"/>
  <c r="J121" i="2"/>
  <c r="L120" i="2"/>
  <c r="K120" i="2"/>
  <c r="J120" i="2"/>
  <c r="M114" i="2"/>
  <c r="L114" i="2"/>
  <c r="L57" i="2" s="1"/>
  <c r="K114" i="2"/>
  <c r="K57" i="2" s="1"/>
  <c r="J114" i="2"/>
  <c r="L125" i="2" l="1"/>
  <c r="K125" i="2"/>
  <c r="J125" i="2"/>
  <c r="M19" i="2"/>
  <c r="L17" i="2"/>
  <c r="M72" i="2"/>
  <c r="M58" i="2" s="1"/>
  <c r="M59" i="2" s="1"/>
  <c r="M47" i="2" l="1"/>
  <c r="M37" i="2"/>
  <c r="M27" i="2"/>
  <c r="M7" i="2"/>
  <c r="M83" i="2" l="1"/>
  <c r="M8" i="2" s="1"/>
  <c r="M9" i="2" s="1"/>
  <c r="L72" i="2" l="1"/>
  <c r="L58" i="2" s="1"/>
  <c r="K72" i="2"/>
  <c r="J72" i="2"/>
  <c r="J58" i="2" s="1"/>
  <c r="L102" i="2"/>
  <c r="K102" i="2"/>
  <c r="J102" i="2"/>
  <c r="K58" i="2" l="1"/>
  <c r="K59" i="2" s="1"/>
  <c r="J59" i="2"/>
  <c r="L59" i="2"/>
  <c r="L19" i="2" l="1"/>
  <c r="K17" i="2"/>
  <c r="K19" i="2" s="1"/>
  <c r="J17" i="2"/>
  <c r="J19" i="2" s="1"/>
  <c r="L47" i="2" l="1"/>
  <c r="K47" i="2"/>
  <c r="J47" i="2"/>
  <c r="L37" i="2"/>
  <c r="K37" i="2"/>
  <c r="J37" i="2"/>
  <c r="L27" i="2"/>
  <c r="K27" i="2"/>
  <c r="J27" i="2"/>
  <c r="L7" i="2"/>
  <c r="K7" i="2"/>
  <c r="L83" i="2" l="1"/>
  <c r="L8" i="2" s="1"/>
  <c r="L9" i="2" s="1"/>
  <c r="K83" i="2"/>
  <c r="K8" i="2" s="1"/>
  <c r="K9" i="2" s="1"/>
  <c r="J83" i="2"/>
  <c r="J9" i="2" s="1"/>
  <c r="I83" i="2"/>
  <c r="H83" i="2"/>
  <c r="G83" i="2"/>
  <c r="I17" i="2" l="1"/>
  <c r="I19" i="2" s="1"/>
  <c r="I123" i="2" l="1"/>
  <c r="I114" i="2"/>
  <c r="I57" i="2" s="1"/>
  <c r="I102" i="2"/>
  <c r="I122" i="2"/>
  <c r="I37" i="2" l="1"/>
  <c r="I27" i="2"/>
  <c r="I72" i="2"/>
  <c r="I120" i="2"/>
  <c r="I124" i="2"/>
  <c r="I121" i="2"/>
  <c r="I9" i="2" l="1"/>
  <c r="I59" i="2"/>
  <c r="I125" i="2"/>
  <c r="H17" i="2"/>
  <c r="H19" i="2" s="1"/>
  <c r="G19" i="2"/>
  <c r="G8" i="2"/>
  <c r="P113" i="2"/>
  <c r="P112" i="2"/>
  <c r="P111" i="2"/>
  <c r="H123" i="2"/>
  <c r="G123" i="2"/>
  <c r="H114" i="2"/>
  <c r="H57" i="2" s="1"/>
  <c r="G114" i="2"/>
  <c r="G57" i="2" s="1"/>
  <c r="H102" i="2"/>
  <c r="G102" i="2"/>
  <c r="H47" i="2"/>
  <c r="H37" i="2"/>
  <c r="H27" i="2"/>
  <c r="G27" i="2"/>
  <c r="G124" i="2" l="1"/>
  <c r="G47" i="2"/>
  <c r="H72" i="2"/>
  <c r="H124" i="2"/>
  <c r="G122" i="2"/>
  <c r="G37" i="2"/>
  <c r="G120" i="2"/>
  <c r="G72" i="2"/>
  <c r="H122" i="2"/>
  <c r="H120" i="2"/>
  <c r="G121" i="2"/>
  <c r="H121" i="2"/>
  <c r="G58" i="2" l="1"/>
  <c r="G59" i="2" s="1"/>
  <c r="H58" i="2"/>
  <c r="H59" i="2" s="1"/>
  <c r="G125" i="2"/>
  <c r="H9" i="2"/>
  <c r="H125" i="2"/>
  <c r="G7" i="2"/>
  <c r="G9" i="2" s="1"/>
  <c r="F123" i="2" l="1"/>
  <c r="F114" i="2"/>
  <c r="F57" i="2" s="1"/>
  <c r="F102" i="2"/>
  <c r="F83" i="2" l="1"/>
  <c r="E47" i="2"/>
  <c r="E37" i="2"/>
  <c r="E27" i="2"/>
  <c r="F19" i="2"/>
  <c r="F120" i="2" l="1"/>
  <c r="F72" i="2"/>
  <c r="F58" i="2" s="1"/>
  <c r="F122" i="2"/>
  <c r="F37" i="2"/>
  <c r="E72" i="2"/>
  <c r="E58" i="2" s="1"/>
  <c r="E120" i="2"/>
  <c r="F121" i="2"/>
  <c r="F27" i="2"/>
  <c r="F124" i="2"/>
  <c r="F47" i="2"/>
  <c r="F8" i="2"/>
  <c r="F125" i="2" l="1"/>
  <c r="F59" i="2"/>
  <c r="F7" i="2"/>
  <c r="F9" i="2" s="1"/>
  <c r="E19" i="2" l="1"/>
  <c r="D19" i="2"/>
  <c r="E114" i="2"/>
  <c r="E57" i="2" s="1"/>
  <c r="E59" i="2" s="1"/>
  <c r="E123" i="2"/>
  <c r="E102" i="2"/>
  <c r="D102" i="2"/>
  <c r="P102" i="2" l="1"/>
  <c r="E122" i="2"/>
  <c r="E124" i="2"/>
  <c r="E121" i="2"/>
  <c r="E125" i="2" l="1"/>
  <c r="E7" i="2"/>
  <c r="E83" i="2"/>
  <c r="E8" i="2" l="1"/>
  <c r="E9" i="2" s="1"/>
  <c r="P51" i="2" l="1"/>
  <c r="P50" i="2"/>
  <c r="P41" i="2"/>
  <c r="P40" i="2"/>
  <c r="P31" i="2"/>
  <c r="P30" i="2"/>
  <c r="P21" i="2"/>
  <c r="P20" i="2"/>
  <c r="P11" i="2"/>
  <c r="P10" i="2"/>
  <c r="P91" i="2" l="1"/>
  <c r="A103" i="2" l="1"/>
  <c r="A100" i="2"/>
  <c r="A99" i="2"/>
  <c r="M100" i="2" l="1"/>
  <c r="M28" i="2" s="1"/>
  <c r="M29" i="2" s="1"/>
  <c r="I100" i="2"/>
  <c r="I28" i="2" s="1"/>
  <c r="I29" i="2" s="1"/>
  <c r="L100" i="2"/>
  <c r="L28" i="2" s="1"/>
  <c r="L29" i="2" s="1"/>
  <c r="H100" i="2"/>
  <c r="H28" i="2" s="1"/>
  <c r="H29" i="2" s="1"/>
  <c r="O100" i="2"/>
  <c r="O28" i="2" s="1"/>
  <c r="O29" i="2" s="1"/>
  <c r="K100" i="2"/>
  <c r="K28" i="2" s="1"/>
  <c r="K29" i="2" s="1"/>
  <c r="N100" i="2"/>
  <c r="N28" i="2" s="1"/>
  <c r="N29" i="2" s="1"/>
  <c r="J100" i="2"/>
  <c r="J28" i="2" s="1"/>
  <c r="J29" i="2" s="1"/>
  <c r="N99" i="2"/>
  <c r="O99" i="2"/>
  <c r="M99" i="2"/>
  <c r="E103" i="2"/>
  <c r="L103" i="2"/>
  <c r="H48" i="2"/>
  <c r="H49" i="2" s="1"/>
  <c r="O103" i="2"/>
  <c r="O48" i="2" s="1"/>
  <c r="O49" i="2" s="1"/>
  <c r="K103" i="2"/>
  <c r="N103" i="2"/>
  <c r="N48" i="2" s="1"/>
  <c r="N49" i="2" s="1"/>
  <c r="J48" i="2"/>
  <c r="J49" i="2" s="1"/>
  <c r="F103" i="2"/>
  <c r="M103" i="2"/>
  <c r="M48" i="2" s="1"/>
  <c r="M49" i="2" s="1"/>
  <c r="E100" i="2"/>
  <c r="K48" i="2"/>
  <c r="K49" i="2" s="1"/>
  <c r="L48" i="2"/>
  <c r="L49" i="2" s="1"/>
  <c r="I49" i="2"/>
  <c r="G48" i="2"/>
  <c r="G49" i="2" s="1"/>
  <c r="F48" i="2"/>
  <c r="F49" i="2" s="1"/>
  <c r="D103" i="2"/>
  <c r="K99" i="2"/>
  <c r="J99" i="2"/>
  <c r="L99" i="2"/>
  <c r="I99" i="2"/>
  <c r="H99" i="2"/>
  <c r="G99" i="2"/>
  <c r="F99" i="2"/>
  <c r="E99" i="2"/>
  <c r="D99" i="2"/>
  <c r="G100" i="2"/>
  <c r="G28" i="2" s="1"/>
  <c r="G29" i="2" s="1"/>
  <c r="F28" i="2"/>
  <c r="F29" i="2" s="1"/>
  <c r="D28" i="2"/>
  <c r="D47" i="2"/>
  <c r="D27" i="2"/>
  <c r="K25" i="6"/>
  <c r="J25" i="6"/>
  <c r="K24" i="6"/>
  <c r="J24" i="6"/>
  <c r="K23" i="6"/>
  <c r="G23" i="6"/>
  <c r="J23" i="6" s="1"/>
  <c r="K22" i="6"/>
  <c r="K21" i="6"/>
  <c r="J21" i="6"/>
  <c r="G21" i="6"/>
  <c r="K20" i="6"/>
  <c r="G20" i="6"/>
  <c r="J20" i="6" s="1"/>
  <c r="K19" i="6"/>
  <c r="G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G11" i="6"/>
  <c r="H11" i="6" s="1"/>
  <c r="K11" i="6" s="1"/>
  <c r="K10" i="6"/>
  <c r="G10" i="6"/>
  <c r="J10" i="6" s="1"/>
  <c r="K9" i="6"/>
  <c r="J9" i="6"/>
  <c r="K8" i="6"/>
  <c r="J8" i="6"/>
  <c r="L7" i="6"/>
  <c r="K7" i="6"/>
  <c r="J7" i="6"/>
  <c r="L6" i="6"/>
  <c r="K6" i="6"/>
  <c r="J6" i="6"/>
  <c r="L5" i="6"/>
  <c r="K5" i="6"/>
  <c r="J5" i="6"/>
  <c r="J11" i="6" l="1"/>
  <c r="J19" i="6"/>
  <c r="A101" i="2"/>
  <c r="P103" i="2"/>
  <c r="D29" i="2"/>
  <c r="D58" i="2"/>
  <c r="D48" i="2"/>
  <c r="D49" i="2" s="1"/>
  <c r="P110" i="2"/>
  <c r="P109" i="2"/>
  <c r="P89" i="2"/>
  <c r="P47" i="2"/>
  <c r="G101" i="2" l="1"/>
  <c r="G38" i="2" s="1"/>
  <c r="G39" i="2" s="1"/>
  <c r="K101" i="2"/>
  <c r="K38" i="2" s="1"/>
  <c r="K39" i="2" s="1"/>
  <c r="J38" i="2"/>
  <c r="J39" i="2" s="1"/>
  <c r="M101" i="2"/>
  <c r="M38" i="2" s="1"/>
  <c r="M39" i="2" s="1"/>
  <c r="E101" i="2"/>
  <c r="E38" i="2" s="1"/>
  <c r="E39" i="2" s="1"/>
  <c r="H101" i="2"/>
  <c r="H38" i="2" s="1"/>
  <c r="H39" i="2" s="1"/>
  <c r="D101" i="2"/>
  <c r="D38" i="2" s="1"/>
  <c r="D39" i="2" s="1"/>
  <c r="O101" i="2"/>
  <c r="O38" i="2" s="1"/>
  <c r="O39" i="2" s="1"/>
  <c r="N101" i="2"/>
  <c r="N38" i="2" s="1"/>
  <c r="N39" i="2" s="1"/>
  <c r="F101" i="2"/>
  <c r="F38" i="2" s="1"/>
  <c r="F39" i="2" s="1"/>
  <c r="I101" i="2"/>
  <c r="I38" i="2" s="1"/>
  <c r="I39" i="2" s="1"/>
  <c r="L101" i="2"/>
  <c r="L38" i="2" s="1"/>
  <c r="L39" i="2" s="1"/>
  <c r="D98" i="3"/>
  <c r="D80" i="3" s="1"/>
  <c r="D192" i="3"/>
  <c r="D191" i="3"/>
  <c r="D190" i="3"/>
  <c r="D189" i="3"/>
  <c r="D188" i="3"/>
  <c r="D186" i="3"/>
  <c r="D185" i="3"/>
  <c r="D184" i="3"/>
  <c r="D183" i="3"/>
  <c r="D155" i="3"/>
  <c r="D178" i="3"/>
  <c r="D120" i="3"/>
  <c r="D121" i="3"/>
  <c r="D122" i="3"/>
  <c r="D123" i="3"/>
  <c r="D124" i="3"/>
  <c r="D125" i="3"/>
  <c r="D126" i="3"/>
  <c r="D127" i="3"/>
  <c r="D128" i="3"/>
  <c r="D129" i="3"/>
  <c r="D119" i="3"/>
  <c r="D146" i="3"/>
  <c r="D81" i="3" s="1"/>
  <c r="D82" i="3" s="1"/>
  <c r="D64" i="3"/>
  <c r="D63" i="3"/>
  <c r="D62" i="3"/>
  <c r="D61" i="3"/>
  <c r="D54" i="3"/>
  <c r="D45" i="3"/>
  <c r="D36" i="3"/>
  <c r="D26" i="3"/>
  <c r="D17" i="3"/>
  <c r="D8" i="3"/>
  <c r="D161" i="3" l="1"/>
  <c r="D130" i="3"/>
  <c r="D65" i="3"/>
  <c r="P71" i="2" l="1"/>
  <c r="D151" i="3" l="1"/>
  <c r="P67" i="2"/>
  <c r="D152" i="3"/>
  <c r="P68" i="2"/>
  <c r="D153" i="3"/>
  <c r="P69" i="2"/>
  <c r="D156" i="3"/>
  <c r="D159" i="3" l="1"/>
  <c r="P99" i="2" l="1"/>
  <c r="P100" i="2" l="1"/>
  <c r="P101" i="2"/>
  <c r="D123" i="2"/>
  <c r="P123" i="2" s="1"/>
  <c r="P78" i="2" l="1"/>
  <c r="P82" i="2" l="1"/>
  <c r="P80" i="2"/>
  <c r="P37" i="2"/>
  <c r="D83" i="2"/>
  <c r="P38" i="2" l="1"/>
  <c r="P79" i="2"/>
  <c r="P83" i="2"/>
  <c r="P39" i="2" l="1"/>
  <c r="D8" i="2"/>
  <c r="P8" i="2" s="1"/>
  <c r="D114" i="2"/>
  <c r="D57" i="2" s="1"/>
  <c r="D59" i="2" s="1"/>
  <c r="P57" i="2" l="1"/>
  <c r="P114" i="2"/>
  <c r="D124" i="2"/>
  <c r="P124" i="2" s="1"/>
  <c r="D120" i="2"/>
  <c r="P120" i="2" l="1"/>
  <c r="D154" i="3"/>
  <c r="D160" i="3"/>
  <c r="D157" i="3"/>
  <c r="D158" i="3"/>
  <c r="D122" i="2"/>
  <c r="P122" i="2" s="1"/>
  <c r="D121" i="2"/>
  <c r="P121" i="2" s="1"/>
  <c r="D125" i="2" l="1"/>
  <c r="P125" i="2" s="1"/>
  <c r="P18" i="2"/>
  <c r="P17" i="2"/>
  <c r="D162" i="3"/>
  <c r="P72" i="2"/>
  <c r="D105" i="3"/>
  <c r="D109" i="3"/>
  <c r="D106" i="3"/>
  <c r="D110" i="3"/>
  <c r="D103" i="3"/>
  <c r="P27" i="2"/>
  <c r="D107" i="3"/>
  <c r="D111" i="3"/>
  <c r="D104" i="3"/>
  <c r="D108" i="3"/>
  <c r="D112" i="3"/>
  <c r="D113" i="3"/>
  <c r="D7" i="2"/>
  <c r="P7" i="2" s="1"/>
  <c r="P58" i="2" l="1"/>
  <c r="D114" i="3"/>
  <c r="D9" i="2"/>
  <c r="P59" i="2" l="1"/>
  <c r="P19" i="2"/>
  <c r="P9" i="2"/>
  <c r="B22" i="1"/>
  <c r="B5" i="1"/>
  <c r="B6" i="1" s="1"/>
  <c r="B12" i="1" l="1"/>
  <c r="B13" i="1" s="1"/>
  <c r="B14" i="1" s="1"/>
  <c r="B15" i="1" s="1"/>
  <c r="B16" i="1" s="1"/>
  <c r="B7" i="1"/>
  <c r="P90" i="2"/>
  <c r="E28" i="2" l="1"/>
  <c r="E29" i="2" s="1"/>
  <c r="P93" i="2"/>
  <c r="P28" i="2" l="1"/>
  <c r="E48" i="2"/>
  <c r="P29" i="2" l="1"/>
  <c r="E49" i="2"/>
  <c r="P48" i="2"/>
  <c r="P4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Proceso de lavado</t>
        </r>
      </text>
    </comment>
    <comment ref="H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Aumento por mejoras graduales en sección</t>
        </r>
      </text>
    </comment>
    <comment ref="G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Flujo salida troqueladora</t>
        </r>
      </text>
    </comment>
    <comment ref="H1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Flujo entrada Flowpack actual</t>
        </r>
      </text>
    </comment>
    <comment ref="G1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Flujo salida Tri pack
</t>
        </r>
      </text>
    </comment>
    <comment ref="H1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Flujo entrada tripack
</t>
        </r>
      </text>
    </comment>
    <comment ref="G1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Empaque de tambores</t>
        </r>
      </text>
    </comment>
    <comment ref="G1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Un CTK en 45 minutos</t>
        </r>
      </text>
    </comment>
    <comment ref="H1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2 horas un CTK en condiciones actuales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QUEVEDO</author>
  </authors>
  <commentList>
    <comment ref="J101" authorId="0" shapeId="0" xr:uid="{43288CE9-0929-4E16-B08B-2881210423EC}">
      <text>
        <r>
          <rPr>
            <b/>
            <sz val="9"/>
            <color indexed="81"/>
            <rFont val="Tahoma"/>
            <charset val="1"/>
          </rPr>
          <t>LEANDRO QUEVEDO:</t>
        </r>
        <r>
          <rPr>
            <sz val="9"/>
            <color indexed="81"/>
            <rFont val="Tahoma"/>
            <charset val="1"/>
          </rPr>
          <t xml:space="preserve">
Procesamiento de palma</t>
        </r>
      </text>
    </comment>
  </commentList>
</comments>
</file>

<file path=xl/sharedStrings.xml><?xml version="1.0" encoding="utf-8"?>
<sst xmlns="http://schemas.openxmlformats.org/spreadsheetml/2006/main" count="693" uniqueCount="166">
  <si>
    <t>Número</t>
  </si>
  <si>
    <t>Descripción</t>
  </si>
  <si>
    <t>Meta</t>
  </si>
  <si>
    <t>Indicadores compensación flexible</t>
  </si>
  <si>
    <t>Eficiencia general del equipo = Disponibilidad * Rendimiento * Calidad</t>
  </si>
  <si>
    <t>Cronograma de producción = (Días reales de trabajo / Dias planeados de trabajo)</t>
  </si>
  <si>
    <t>90% - 100%</t>
  </si>
  <si>
    <t>Consumo de servicios</t>
  </si>
  <si>
    <t>Energía = Kwh/ton producidas</t>
  </si>
  <si>
    <t>Agua = m3 / Ton producida</t>
  </si>
  <si>
    <t>Gas = ft3 / Ton producida</t>
  </si>
  <si>
    <t>Eficiencia  de producción = (Kg producidos / Total HH)</t>
  </si>
  <si>
    <t>Costo por Tonelada = Costo total / Ton producidas</t>
  </si>
  <si>
    <t>Costos de servicios</t>
  </si>
  <si>
    <t>Energía = $ / Kwh</t>
  </si>
  <si>
    <t>Agua = $ / m3</t>
  </si>
  <si>
    <t>Gas = $ / ft3</t>
  </si>
  <si>
    <t>Participación de los servicios en el costo</t>
  </si>
  <si>
    <t>Energía = (Costo Kwh /Costo total)*100</t>
  </si>
  <si>
    <t>Agua = (Costo m3 agua / costo total) *100</t>
  </si>
  <si>
    <t>Gas = (Costo ft3 gas / Costo total) * 100</t>
  </si>
  <si>
    <t>Insumos = (Costo de insumos / Costo total) *100</t>
  </si>
  <si>
    <t>Costo mano de obra = Costo mano de obra / Total de HH</t>
  </si>
  <si>
    <t>Participación de los centros de costos</t>
  </si>
  <si>
    <t>R1= Ton producidos R1 / Ton total producidas</t>
  </si>
  <si>
    <t>R2= Ton producidos R2/ Ton total producidas</t>
  </si>
  <si>
    <t>R3= Ton producidos R3/ Ton total producidas</t>
  </si>
  <si>
    <t>R4= Ton producidos R4/ Ton total producidas</t>
  </si>
  <si>
    <t>F2= Ton producidos F2/ Ton total producidas</t>
  </si>
  <si>
    <t>F3= Ton producidos F3/ Ton total producidas</t>
  </si>
  <si>
    <t>Jaboneria= Ton producidos Jaboneria/ Ton total producidas</t>
  </si>
  <si>
    <t>Cosmeticos= Ton producidos Cosmeticos/ Ton total producidas</t>
  </si>
  <si>
    <t>G1= Ton producidos G1/ Ton total producidas</t>
  </si>
  <si>
    <t>G2= Ton producidos G2/ Ton total producidas</t>
  </si>
  <si>
    <t>Indicadores Gestión Control producción Cluster</t>
  </si>
  <si>
    <t>Feb</t>
  </si>
  <si>
    <t>Ene</t>
  </si>
  <si>
    <t>Mar</t>
  </si>
  <si>
    <t>Abr</t>
  </si>
  <si>
    <t>May</t>
  </si>
  <si>
    <t>Jun</t>
  </si>
  <si>
    <t>Jul</t>
  </si>
  <si>
    <t>Ago</t>
  </si>
  <si>
    <t xml:space="preserve">Sep </t>
  </si>
  <si>
    <t>Oct</t>
  </si>
  <si>
    <t>Nov</t>
  </si>
  <si>
    <t>Dic</t>
  </si>
  <si>
    <t>Promedio 2019</t>
  </si>
  <si>
    <t>Promedio 2020</t>
  </si>
  <si>
    <t>Ton producción real</t>
  </si>
  <si>
    <t>Ton de producción planeada</t>
  </si>
  <si>
    <t>Refineria 1</t>
  </si>
  <si>
    <t>Refineria 2</t>
  </si>
  <si>
    <t>Refineria 3</t>
  </si>
  <si>
    <t>Refineria 4</t>
  </si>
  <si>
    <t>Fraccionamiento 1</t>
  </si>
  <si>
    <t>Fraccionamiento 2</t>
  </si>
  <si>
    <t>Fraccionamiento 3</t>
  </si>
  <si>
    <t xml:space="preserve">Jabonería </t>
  </si>
  <si>
    <t>Glicerina 1</t>
  </si>
  <si>
    <t>Glicerina 2</t>
  </si>
  <si>
    <t>Total</t>
  </si>
  <si>
    <t>(Ton de producción real / Ton de producción planeadas) *100</t>
  </si>
  <si>
    <t>Producción real</t>
  </si>
  <si>
    <t>Producción planeada</t>
  </si>
  <si>
    <t>TON PNC</t>
  </si>
  <si>
    <t>TON Producción buena</t>
  </si>
  <si>
    <t>Eficacia de cumplimiento de parámetros de calidad de Caribbean = ((Cantidad de producto elaborado - PNC) / Cantidad de producto elaborado) )x 100</t>
  </si>
  <si>
    <t>Eficiencia de velocidad de producción de acuerdo a capacidad instalada = (Ton de producción día real / Ton de producción día estándar) *100</t>
  </si>
  <si>
    <t>Cumplimiento de producción planeada - Cluster = (Ton de producción real / Ton de producción planeadas) *100</t>
  </si>
  <si>
    <t>Costo por proceso cluster = (Costo por proceso mes presupuestado / costo por proceso real )X100</t>
  </si>
  <si>
    <t>Consumo de Energía 2020</t>
  </si>
  <si>
    <t>Kwh</t>
  </si>
  <si>
    <t>Kwh/Ton producción real</t>
  </si>
  <si>
    <t>Consumo de Gas 2020</t>
  </si>
  <si>
    <t>Ft3/Ton producción real</t>
  </si>
  <si>
    <t>Consumo de Agua 2020</t>
  </si>
  <si>
    <t>m3/Ton producción real</t>
  </si>
  <si>
    <t>Costo de Energía 2020</t>
  </si>
  <si>
    <t>$</t>
  </si>
  <si>
    <t>$/Kwh</t>
  </si>
  <si>
    <t>Ft3</t>
  </si>
  <si>
    <t>$/Ft3</t>
  </si>
  <si>
    <t>Costo de Gas 2020</t>
  </si>
  <si>
    <t>m3</t>
  </si>
  <si>
    <t>$/m3</t>
  </si>
  <si>
    <t>Total (%)</t>
  </si>
  <si>
    <t>Costos de los servicios a la producción</t>
  </si>
  <si>
    <t>Costo Energía ($)</t>
  </si>
  <si>
    <t>Costo Gas ($)</t>
  </si>
  <si>
    <t>Costo Agua ($)</t>
  </si>
  <si>
    <t xml:space="preserve"> Energía</t>
  </si>
  <si>
    <t xml:space="preserve"> Gas</t>
  </si>
  <si>
    <t xml:space="preserve"> Agua</t>
  </si>
  <si>
    <t>Costo Insumos ($)</t>
  </si>
  <si>
    <t>Insumos</t>
  </si>
  <si>
    <t>Costo Total ($)</t>
  </si>
  <si>
    <t>Total HH trabajadas</t>
  </si>
  <si>
    <t>$/Total de HH trabajadas</t>
  </si>
  <si>
    <t>Participación de los centros de trabajo</t>
  </si>
  <si>
    <t xml:space="preserve">Total </t>
  </si>
  <si>
    <t>Cosmetico</t>
  </si>
  <si>
    <t>Cosmético</t>
  </si>
  <si>
    <t>Eficiencia de la producción (Kg/ HH)</t>
  </si>
  <si>
    <t>Horas hombres laboradas (HH)</t>
  </si>
  <si>
    <t>Costos por Tonelada ($/Ton)</t>
  </si>
  <si>
    <t>Costos por centro de trabjo ($)</t>
  </si>
  <si>
    <t>Mano de obra ($)</t>
  </si>
  <si>
    <t>Utilización global de plantas</t>
  </si>
  <si>
    <t>Costo mano de obra ($ / HH)</t>
  </si>
  <si>
    <t>Mano de Obra ($)/ (HH)</t>
  </si>
  <si>
    <t xml:space="preserve">Cantidad de producto conforme </t>
  </si>
  <si>
    <t>PNC</t>
  </si>
  <si>
    <t>(PNC / Producción real )X100</t>
  </si>
  <si>
    <t>((Cantidad de producto conforme) / Cantidad de producto elaborado) )x 100</t>
  </si>
  <si>
    <t>Cantidad real producida</t>
  </si>
  <si>
    <t>(Tiempo de producción* velocidad nominal de producción)</t>
  </si>
  <si>
    <t>(Cantidad real producida / (Tiempo de producción* velocidad nominal de producción)) *100</t>
  </si>
  <si>
    <t>Tiempo de producción</t>
  </si>
  <si>
    <t>Velocidad nominal de producción</t>
  </si>
  <si>
    <t>PLANTA</t>
  </si>
  <si>
    <t>CECO</t>
  </si>
  <si>
    <t>DENOM. CECO</t>
  </si>
  <si>
    <t>Capacidad Nominal (Kg Diseño/h)</t>
  </si>
  <si>
    <t>Capacidad Operativa (Kg STD/h)</t>
  </si>
  <si>
    <t>Capacidad Operativa Empaste (Kg STD/h)</t>
  </si>
  <si>
    <t>Capacidad Nominal (Kg Diseño/D)</t>
  </si>
  <si>
    <t>Capacidad Operativa (Kg STD/D)</t>
  </si>
  <si>
    <t>Capacidad Operativa Empaste (Kg STD/D)</t>
  </si>
  <si>
    <t>Jabón</t>
  </si>
  <si>
    <t>Planta Jabón Saponif.</t>
  </si>
  <si>
    <t>Planta de Secado</t>
  </si>
  <si>
    <t>Empacadora SOAP</t>
  </si>
  <si>
    <t>PPTC</t>
  </si>
  <si>
    <t>Mezclado (MEZC_JB)</t>
  </si>
  <si>
    <t>Línea (LIN_TROQ)</t>
  </si>
  <si>
    <t>Empaque (EMPAQ_JB)</t>
  </si>
  <si>
    <t>Glicerina I</t>
  </si>
  <si>
    <t>Concentración Glicerina</t>
  </si>
  <si>
    <t>Destilación Glicerina</t>
  </si>
  <si>
    <t>Empacadora Glicerina</t>
  </si>
  <si>
    <t>Glicerina II</t>
  </si>
  <si>
    <t>Destilación Glicerina II</t>
  </si>
  <si>
    <t>Empaque Glicerina II</t>
  </si>
  <si>
    <t>R1</t>
  </si>
  <si>
    <t>R2</t>
  </si>
  <si>
    <t>R3</t>
  </si>
  <si>
    <t>R4</t>
  </si>
  <si>
    <t>FI</t>
  </si>
  <si>
    <t>FII</t>
  </si>
  <si>
    <t>FIII</t>
  </si>
  <si>
    <t>EMP</t>
  </si>
  <si>
    <t>EMB</t>
  </si>
  <si>
    <t>Kg/h</t>
  </si>
  <si>
    <t xml:space="preserve"> Cantidad de producto elaborado mes</t>
  </si>
  <si>
    <t>Palma</t>
  </si>
  <si>
    <t>Limite Inferior</t>
  </si>
  <si>
    <t>Límite Superior</t>
  </si>
  <si>
    <t>INDICADORES DE GESTIÓN - TEQUENDAMA 2021</t>
  </si>
  <si>
    <t xml:space="preserve">Cumplimiento de producción  </t>
  </si>
  <si>
    <t xml:space="preserve">Eficacia de cumplimiento de parámetros de calidad </t>
  </si>
  <si>
    <t xml:space="preserve">Eficiencia de producción R2 </t>
  </si>
  <si>
    <t>Eficiencia de producción R3</t>
  </si>
  <si>
    <t xml:space="preserve">Eficiencia de producción F2 </t>
  </si>
  <si>
    <t>Generación de producto no conforme</t>
  </si>
  <si>
    <t>Producción real [Ton]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</si>
</sst>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9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1" fillId="2" borderId="0" xfId="0" applyFont="1" applyFill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" fontId="0" fillId="2" borderId="1" xfId="0" applyNumberForma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1" fillId="2" borderId="1" xfId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0" fillId="3" borderId="0" xfId="0" applyFill="1"/>
    <xf numFmtId="0" fontId="1" fillId="2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9" fontId="3" fillId="2" borderId="0" xfId="0" applyNumberFormat="1" applyFont="1" applyFill="1"/>
    <xf numFmtId="0" fontId="4" fillId="2" borderId="0" xfId="0" applyFont="1" applyFill="1"/>
    <xf numFmtId="164" fontId="1" fillId="2" borderId="1" xfId="1" applyNumberFormat="1" applyFont="1" applyFill="1" applyBorder="1" applyAlignment="1">
      <alignment horizontal="center" vertical="center"/>
    </xf>
    <xf numFmtId="9" fontId="0" fillId="2" borderId="0" xfId="1" applyFont="1" applyFill="1"/>
    <xf numFmtId="1" fontId="1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9" fontId="1" fillId="2" borderId="0" xfId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2" fontId="6" fillId="6" borderId="7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vertical="center"/>
    </xf>
    <xf numFmtId="0" fontId="7" fillId="7" borderId="0" xfId="0" applyFont="1" applyFill="1" applyAlignment="1">
      <alignment horizontal="right" vertical="center"/>
    </xf>
    <xf numFmtId="0" fontId="7" fillId="7" borderId="0" xfId="0" applyFont="1" applyFill="1" applyAlignment="1">
      <alignment vertical="center"/>
    </xf>
    <xf numFmtId="0" fontId="0" fillId="2" borderId="9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7" fillId="2" borderId="8" xfId="0" applyFont="1" applyFill="1" applyBorder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7" fillId="7" borderId="12" xfId="0" applyFont="1" applyFill="1" applyBorder="1" applyAlignment="1">
      <alignment vertical="center"/>
    </xf>
    <xf numFmtId="0" fontId="7" fillId="7" borderId="13" xfId="0" applyFont="1" applyFill="1" applyBorder="1" applyAlignment="1">
      <alignment horizontal="right" vertical="center"/>
    </xf>
    <xf numFmtId="0" fontId="7" fillId="7" borderId="14" xfId="0" applyFont="1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7" fillId="7" borderId="16" xfId="0" applyFont="1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7" fillId="7" borderId="17" xfId="0" applyFont="1" applyFill="1" applyBorder="1" applyAlignment="1">
      <alignment vertical="center"/>
    </xf>
    <xf numFmtId="0" fontId="7" fillId="7" borderId="18" xfId="0" applyFont="1" applyFill="1" applyBorder="1" applyAlignment="1">
      <alignment horizontal="right" vertical="center"/>
    </xf>
    <xf numFmtId="0" fontId="7" fillId="7" borderId="19" xfId="0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7" fillId="7" borderId="13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7" fillId="7" borderId="18" xfId="0" applyFont="1" applyFill="1" applyBorder="1" applyAlignment="1">
      <alignment vertical="center"/>
    </xf>
    <xf numFmtId="0" fontId="0" fillId="2" borderId="12" xfId="0" applyFill="1" applyBorder="1" applyAlignment="1">
      <alignment horizontal="left"/>
    </xf>
    <xf numFmtId="0" fontId="0" fillId="2" borderId="13" xfId="0" applyFill="1" applyBorder="1"/>
    <xf numFmtId="0" fontId="0" fillId="2" borderId="15" xfId="0" applyFill="1" applyBorder="1" applyAlignment="1">
      <alignment vertical="center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vertical="center"/>
    </xf>
    <xf numFmtId="1" fontId="0" fillId="2" borderId="9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left"/>
    </xf>
    <xf numFmtId="0" fontId="0" fillId="2" borderId="18" xfId="0" applyFill="1" applyBorder="1"/>
    <xf numFmtId="1" fontId="0" fillId="2" borderId="10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1" fontId="0" fillId="2" borderId="15" xfId="0" applyNumberFormat="1" applyFill="1" applyBorder="1" applyAlignment="1">
      <alignment horizontal="center" vertical="center"/>
    </xf>
    <xf numFmtId="0" fontId="0" fillId="2" borderId="12" xfId="0" applyFill="1" applyBorder="1"/>
    <xf numFmtId="0" fontId="0" fillId="2" borderId="14" xfId="0" applyFill="1" applyBorder="1"/>
    <xf numFmtId="0" fontId="0" fillId="2" borderId="17" xfId="0" applyFill="1" applyBorder="1"/>
    <xf numFmtId="0" fontId="0" fillId="2" borderId="19" xfId="0" applyFill="1" applyBorder="1"/>
    <xf numFmtId="1" fontId="0" fillId="2" borderId="0" xfId="0" applyNumberFormat="1" applyFill="1"/>
    <xf numFmtId="1" fontId="8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uiz/Documents/Documents/Control%20Producci&#243;n%20CES%20y%20TEQ/0000%20Productivity/000%20KPIs/000%20Paradas/2020/1.%20EGE%20ENERO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uiz/Documents/Documents/Control%20Producci&#243;n%20CES%20y%20TEQ/0000%20Productivity/000%20KPIs/000%20Paradas/2020/EGE_G1CG%20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a Empaque"/>
      <sheetName val="Ref-1"/>
      <sheetName val="Grafica Ref-3"/>
      <sheetName val="Ref-2"/>
      <sheetName val="Ref.-3"/>
      <sheetName val="Grafica Fracc.I"/>
      <sheetName val="Fracc. I"/>
      <sheetName val="Fracc.II"/>
      <sheetName val="Emp. Sólidos"/>
      <sheetName val="Botellas 3000 cc"/>
      <sheetName val="Botellas 900 cc"/>
      <sheetName val="Gráfica Fracc. II"/>
      <sheetName val="Gráfica R-2"/>
      <sheetName val="Gráfica R-1"/>
    </sheetNames>
    <sheetDataSet>
      <sheetData sheetId="0"/>
      <sheetData sheetId="1">
        <row r="31">
          <cell r="AV31">
            <v>0</v>
          </cell>
        </row>
        <row r="71">
          <cell r="AV71">
            <v>0</v>
          </cell>
        </row>
      </sheetData>
      <sheetData sheetId="2"/>
      <sheetData sheetId="3">
        <row r="29">
          <cell r="AW29">
            <v>309.73</v>
          </cell>
        </row>
        <row r="63">
          <cell r="AW63">
            <v>0.26873655913978495</v>
          </cell>
        </row>
      </sheetData>
      <sheetData sheetId="4">
        <row r="31">
          <cell r="AW31">
            <v>555.28</v>
          </cell>
        </row>
        <row r="70">
          <cell r="AW70">
            <v>0.62176075268817199</v>
          </cell>
        </row>
      </sheetData>
      <sheetData sheetId="5"/>
      <sheetData sheetId="6"/>
      <sheetData sheetId="7">
        <row r="27">
          <cell r="AX27">
            <v>423.67</v>
          </cell>
        </row>
        <row r="61">
          <cell r="AX61">
            <v>0.4882258064516129</v>
          </cell>
        </row>
      </sheetData>
      <sheetData sheetId="8">
        <row r="97">
          <cell r="B97" t="str">
            <v>Reempaque de Cajas</v>
          </cell>
        </row>
      </sheetData>
      <sheetData sheetId="9">
        <row r="102">
          <cell r="B102" t="str">
            <v>Cambio de rollos de etiquetas</v>
          </cell>
        </row>
      </sheetData>
      <sheetData sheetId="10">
        <row r="96">
          <cell r="B96" t="str">
            <v>Cambio de lonas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2020"/>
    </sheetNames>
    <sheetDataSet>
      <sheetData sheetId="0" refreshError="1">
        <row r="41">
          <cell r="DC41">
            <v>99.669999999999973</v>
          </cell>
        </row>
        <row r="76">
          <cell r="DC76">
            <v>9.9287634408602124E-2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3"/>
  <sheetViews>
    <sheetView topLeftCell="A7" zoomScale="60" zoomScaleNormal="60" workbookViewId="0">
      <selection activeCell="K37" sqref="K37"/>
    </sheetView>
  </sheetViews>
  <sheetFormatPr baseColWidth="10" defaultRowHeight="15" x14ac:dyDescent="0.25"/>
  <cols>
    <col min="1" max="2" width="11.42578125" style="1"/>
    <col min="3" max="3" width="104.42578125" style="1" customWidth="1"/>
    <col min="4" max="16384" width="11.42578125" style="1"/>
  </cols>
  <sheetData>
    <row r="2" spans="2:4" x14ac:dyDescent="0.25">
      <c r="B2" s="3" t="s">
        <v>3</v>
      </c>
    </row>
    <row r="3" spans="2:4" x14ac:dyDescent="0.25">
      <c r="B3" s="6" t="s">
        <v>0</v>
      </c>
      <c r="C3" s="6" t="s">
        <v>1</v>
      </c>
      <c r="D3" s="6" t="s">
        <v>2</v>
      </c>
    </row>
    <row r="4" spans="2:4" x14ac:dyDescent="0.25">
      <c r="B4" s="1">
        <v>1</v>
      </c>
      <c r="C4" s="27" t="s">
        <v>69</v>
      </c>
      <c r="D4" s="2">
        <v>0.97</v>
      </c>
    </row>
    <row r="5" spans="2:4" x14ac:dyDescent="0.25">
      <c r="B5" s="1">
        <f>+B4+1</f>
        <v>2</v>
      </c>
      <c r="C5" s="27" t="s">
        <v>68</v>
      </c>
      <c r="D5" s="2">
        <v>1</v>
      </c>
    </row>
    <row r="6" spans="2:4" x14ac:dyDescent="0.25">
      <c r="B6" s="1">
        <f t="shared" ref="B6:B16" si="0">+B5+1</f>
        <v>3</v>
      </c>
      <c r="C6" s="27" t="s">
        <v>67</v>
      </c>
      <c r="D6" s="2">
        <v>0.95</v>
      </c>
    </row>
    <row r="7" spans="2:4" x14ac:dyDescent="0.25">
      <c r="B7" s="1">
        <f t="shared" si="0"/>
        <v>4</v>
      </c>
      <c r="C7" s="27" t="s">
        <v>70</v>
      </c>
      <c r="D7" s="2">
        <v>0.95</v>
      </c>
    </row>
    <row r="9" spans="2:4" x14ac:dyDescent="0.25">
      <c r="B9" s="3" t="s">
        <v>34</v>
      </c>
    </row>
    <row r="10" spans="2:4" x14ac:dyDescent="0.25">
      <c r="B10" s="6" t="s">
        <v>0</v>
      </c>
      <c r="C10" s="6" t="s">
        <v>1</v>
      </c>
      <c r="D10" s="6" t="s">
        <v>2</v>
      </c>
    </row>
    <row r="11" spans="2:4" x14ac:dyDescent="0.25">
      <c r="B11" s="1">
        <v>1</v>
      </c>
      <c r="C11" s="27" t="s">
        <v>69</v>
      </c>
      <c r="D11" s="2">
        <v>0.97</v>
      </c>
    </row>
    <row r="12" spans="2:4" x14ac:dyDescent="0.25">
      <c r="B12" s="1">
        <f t="shared" si="0"/>
        <v>2</v>
      </c>
      <c r="C12" s="27" t="s">
        <v>68</v>
      </c>
      <c r="D12" s="2">
        <v>1</v>
      </c>
    </row>
    <row r="13" spans="2:4" x14ac:dyDescent="0.25">
      <c r="B13" s="1">
        <f t="shared" si="0"/>
        <v>3</v>
      </c>
      <c r="C13" s="27" t="s">
        <v>67</v>
      </c>
      <c r="D13" s="2">
        <v>0.95</v>
      </c>
    </row>
    <row r="14" spans="2:4" x14ac:dyDescent="0.25">
      <c r="B14" s="1">
        <f t="shared" si="0"/>
        <v>4</v>
      </c>
      <c r="C14" s="27" t="s">
        <v>70</v>
      </c>
      <c r="D14" s="2">
        <v>0.95</v>
      </c>
    </row>
    <row r="15" spans="2:4" x14ac:dyDescent="0.25">
      <c r="B15" s="1">
        <f t="shared" si="0"/>
        <v>5</v>
      </c>
      <c r="C15" s="25" t="s">
        <v>4</v>
      </c>
      <c r="D15" s="26">
        <v>0.87</v>
      </c>
    </row>
    <row r="16" spans="2:4" x14ac:dyDescent="0.25">
      <c r="B16" s="1">
        <f t="shared" si="0"/>
        <v>6</v>
      </c>
      <c r="C16" s="31" t="s">
        <v>5</v>
      </c>
      <c r="D16" s="25" t="s">
        <v>6</v>
      </c>
    </row>
    <row r="17" spans="2:3" x14ac:dyDescent="0.25">
      <c r="B17" s="1">
        <v>7</v>
      </c>
      <c r="C17" s="27" t="s">
        <v>7</v>
      </c>
    </row>
    <row r="18" spans="2:3" x14ac:dyDescent="0.25">
      <c r="C18" s="27" t="s">
        <v>8</v>
      </c>
    </row>
    <row r="19" spans="2:3" x14ac:dyDescent="0.25">
      <c r="C19" s="27" t="s">
        <v>9</v>
      </c>
    </row>
    <row r="20" spans="2:3" x14ac:dyDescent="0.25">
      <c r="C20" s="27" t="s">
        <v>10</v>
      </c>
    </row>
    <row r="21" spans="2:3" x14ac:dyDescent="0.25">
      <c r="B21" s="1">
        <v>8</v>
      </c>
      <c r="C21" s="27" t="s">
        <v>11</v>
      </c>
    </row>
    <row r="22" spans="2:3" x14ac:dyDescent="0.25">
      <c r="B22" s="1">
        <f>+B21+1</f>
        <v>9</v>
      </c>
      <c r="C22" s="27" t="s">
        <v>12</v>
      </c>
    </row>
    <row r="23" spans="2:3" x14ac:dyDescent="0.25">
      <c r="B23" s="1">
        <v>10</v>
      </c>
      <c r="C23" s="27" t="s">
        <v>13</v>
      </c>
    </row>
    <row r="24" spans="2:3" x14ac:dyDescent="0.25">
      <c r="C24" s="27" t="s">
        <v>14</v>
      </c>
    </row>
    <row r="25" spans="2:3" x14ac:dyDescent="0.25">
      <c r="C25" s="27" t="s">
        <v>15</v>
      </c>
    </row>
    <row r="26" spans="2:3" x14ac:dyDescent="0.25">
      <c r="C26" s="27" t="s">
        <v>16</v>
      </c>
    </row>
    <row r="27" spans="2:3" x14ac:dyDescent="0.25">
      <c r="B27" s="1">
        <v>11</v>
      </c>
      <c r="C27" s="27" t="s">
        <v>17</v>
      </c>
    </row>
    <row r="28" spans="2:3" x14ac:dyDescent="0.25">
      <c r="C28" s="27" t="s">
        <v>18</v>
      </c>
    </row>
    <row r="29" spans="2:3" x14ac:dyDescent="0.25">
      <c r="C29" s="27" t="s">
        <v>19</v>
      </c>
    </row>
    <row r="30" spans="2:3" x14ac:dyDescent="0.25">
      <c r="C30" s="27" t="s">
        <v>20</v>
      </c>
    </row>
    <row r="31" spans="2:3" x14ac:dyDescent="0.25">
      <c r="C31" s="27" t="s">
        <v>21</v>
      </c>
    </row>
    <row r="32" spans="2:3" x14ac:dyDescent="0.25">
      <c r="B32" s="1">
        <v>12</v>
      </c>
      <c r="C32" s="27" t="s">
        <v>22</v>
      </c>
    </row>
    <row r="33" spans="2:3" x14ac:dyDescent="0.25">
      <c r="B33" s="1">
        <v>13</v>
      </c>
      <c r="C33" s="27" t="s">
        <v>23</v>
      </c>
    </row>
    <row r="34" spans="2:3" x14ac:dyDescent="0.25">
      <c r="C34" s="27" t="s">
        <v>24</v>
      </c>
    </row>
    <row r="35" spans="2:3" x14ac:dyDescent="0.25">
      <c r="C35" s="27" t="s">
        <v>25</v>
      </c>
    </row>
    <row r="36" spans="2:3" x14ac:dyDescent="0.25">
      <c r="C36" s="27" t="s">
        <v>26</v>
      </c>
    </row>
    <row r="37" spans="2:3" x14ac:dyDescent="0.25">
      <c r="C37" s="27" t="s">
        <v>27</v>
      </c>
    </row>
    <row r="38" spans="2:3" x14ac:dyDescent="0.25">
      <c r="C38" s="27" t="s">
        <v>28</v>
      </c>
    </row>
    <row r="39" spans="2:3" x14ac:dyDescent="0.25">
      <c r="C39" s="27" t="s">
        <v>29</v>
      </c>
    </row>
    <row r="40" spans="2:3" x14ac:dyDescent="0.25">
      <c r="C40" s="27" t="s">
        <v>30</v>
      </c>
    </row>
    <row r="41" spans="2:3" x14ac:dyDescent="0.25">
      <c r="C41" s="27" t="s">
        <v>31</v>
      </c>
    </row>
    <row r="42" spans="2:3" x14ac:dyDescent="0.25">
      <c r="C42" s="27" t="s">
        <v>32</v>
      </c>
    </row>
    <row r="43" spans="2:3" x14ac:dyDescent="0.25">
      <c r="C43" s="27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L27"/>
  <sheetViews>
    <sheetView tabSelected="1" topLeftCell="A4" zoomScale="70" zoomScaleNormal="70" workbookViewId="0">
      <selection activeCell="G22" sqref="G22"/>
    </sheetView>
  </sheetViews>
  <sheetFormatPr baseColWidth="10" defaultRowHeight="15" x14ac:dyDescent="0.25"/>
  <cols>
    <col min="1" max="5" width="11.42578125" style="1"/>
    <col min="6" max="6" width="34.85546875" style="1" customWidth="1"/>
    <col min="7" max="7" width="12.42578125" style="1" customWidth="1"/>
    <col min="8" max="16384" width="11.42578125" style="1"/>
  </cols>
  <sheetData>
    <row r="3" spans="3:12" ht="15.75" thickBot="1" x14ac:dyDescent="0.3"/>
    <row r="4" spans="3:12" ht="60.75" thickBot="1" x14ac:dyDescent="0.3">
      <c r="D4" s="33" t="s">
        <v>120</v>
      </c>
      <c r="E4" s="34" t="s">
        <v>121</v>
      </c>
      <c r="F4" s="34" t="s">
        <v>122</v>
      </c>
      <c r="G4" s="35" t="s">
        <v>123</v>
      </c>
      <c r="H4" s="35" t="s">
        <v>124</v>
      </c>
      <c r="I4" s="35" t="s">
        <v>125</v>
      </c>
      <c r="J4" s="35" t="s">
        <v>126</v>
      </c>
      <c r="K4" s="35" t="s">
        <v>127</v>
      </c>
      <c r="L4" s="35" t="s">
        <v>128</v>
      </c>
    </row>
    <row r="5" spans="3:12" x14ac:dyDescent="0.25">
      <c r="D5" s="36" t="s">
        <v>129</v>
      </c>
      <c r="E5" s="37">
        <v>23070101</v>
      </c>
      <c r="F5" s="38" t="s">
        <v>130</v>
      </c>
      <c r="G5" s="39">
        <v>3000</v>
      </c>
      <c r="H5" s="39">
        <v>2450</v>
      </c>
      <c r="I5" s="39">
        <v>2200</v>
      </c>
      <c r="J5" s="39">
        <f>+G5*24</f>
        <v>72000</v>
      </c>
      <c r="K5" s="39">
        <f t="shared" ref="K5:L20" si="0">+H5*24</f>
        <v>58800</v>
      </c>
      <c r="L5" s="39">
        <f t="shared" si="0"/>
        <v>52800</v>
      </c>
    </row>
    <row r="6" spans="3:12" x14ac:dyDescent="0.25">
      <c r="C6" s="1">
        <v>1875</v>
      </c>
      <c r="D6" s="36" t="s">
        <v>129</v>
      </c>
      <c r="E6" s="37">
        <v>23070102</v>
      </c>
      <c r="F6" s="38" t="s">
        <v>131</v>
      </c>
      <c r="G6" s="40">
        <v>2000</v>
      </c>
      <c r="H6" s="41">
        <v>2083</v>
      </c>
      <c r="I6" s="40">
        <v>1700</v>
      </c>
      <c r="J6" s="40">
        <f t="shared" ref="J6:K21" si="1">+G6*24</f>
        <v>48000</v>
      </c>
      <c r="K6" s="41">
        <f t="shared" si="0"/>
        <v>49992</v>
      </c>
      <c r="L6" s="40">
        <f t="shared" si="0"/>
        <v>40800</v>
      </c>
    </row>
    <row r="7" spans="3:12" ht="15.75" thickBot="1" x14ac:dyDescent="0.3">
      <c r="D7" s="36" t="s">
        <v>129</v>
      </c>
      <c r="E7" s="37">
        <v>23070106</v>
      </c>
      <c r="F7" s="38" t="s">
        <v>132</v>
      </c>
      <c r="G7" s="40">
        <v>3000</v>
      </c>
      <c r="H7" s="41">
        <v>2250</v>
      </c>
      <c r="I7" s="42">
        <v>1800</v>
      </c>
      <c r="J7" s="40">
        <f t="shared" si="1"/>
        <v>72000</v>
      </c>
      <c r="K7" s="41">
        <f t="shared" si="0"/>
        <v>54000</v>
      </c>
      <c r="L7" s="42">
        <f t="shared" si="0"/>
        <v>43200</v>
      </c>
    </row>
    <row r="8" spans="3:12" x14ac:dyDescent="0.25">
      <c r="D8" s="43" t="s">
        <v>133</v>
      </c>
      <c r="E8" s="44">
        <v>23070121</v>
      </c>
      <c r="F8" s="45" t="s">
        <v>134</v>
      </c>
      <c r="G8" s="40">
        <v>1000</v>
      </c>
      <c r="H8" s="40">
        <v>900</v>
      </c>
      <c r="I8" s="46"/>
      <c r="J8" s="40">
        <f t="shared" si="1"/>
        <v>24000</v>
      </c>
      <c r="K8" s="40">
        <f t="shared" si="0"/>
        <v>21600</v>
      </c>
      <c r="L8" s="46"/>
    </row>
    <row r="9" spans="3:12" x14ac:dyDescent="0.25">
      <c r="D9" s="43" t="s">
        <v>133</v>
      </c>
      <c r="E9" s="44">
        <v>23070122</v>
      </c>
      <c r="F9" s="45" t="s">
        <v>135</v>
      </c>
      <c r="G9" s="40">
        <v>1000</v>
      </c>
      <c r="H9" s="40">
        <v>900</v>
      </c>
      <c r="I9" s="46"/>
      <c r="J9" s="40">
        <f t="shared" si="1"/>
        <v>24000</v>
      </c>
      <c r="K9" s="40">
        <f t="shared" si="0"/>
        <v>21600</v>
      </c>
      <c r="L9" s="46"/>
    </row>
    <row r="10" spans="3:12" x14ac:dyDescent="0.25">
      <c r="D10" s="43" t="s">
        <v>133</v>
      </c>
      <c r="E10" s="44">
        <v>23070125</v>
      </c>
      <c r="F10" s="45" t="s">
        <v>136</v>
      </c>
      <c r="G10" s="40">
        <f>80*4.5</f>
        <v>360</v>
      </c>
      <c r="H10" s="40">
        <v>112.5</v>
      </c>
      <c r="I10" s="46"/>
      <c r="J10" s="40">
        <f t="shared" si="1"/>
        <v>8640</v>
      </c>
      <c r="K10" s="40">
        <f t="shared" si="0"/>
        <v>2700</v>
      </c>
      <c r="L10" s="46"/>
    </row>
    <row r="11" spans="3:12" ht="15.75" thickBot="1" x14ac:dyDescent="0.3">
      <c r="D11" s="43" t="s">
        <v>133</v>
      </c>
      <c r="E11" s="44">
        <v>23070125</v>
      </c>
      <c r="F11" s="45" t="s">
        <v>136</v>
      </c>
      <c r="G11" s="47">
        <f>60*60*0.125</f>
        <v>450</v>
      </c>
      <c r="H11" s="47">
        <f>+G11*0.9</f>
        <v>405</v>
      </c>
      <c r="I11" s="46"/>
      <c r="J11" s="47">
        <f t="shared" si="1"/>
        <v>10800</v>
      </c>
      <c r="K11" s="47">
        <f t="shared" si="0"/>
        <v>9720</v>
      </c>
      <c r="L11" s="46"/>
    </row>
    <row r="12" spans="3:12" x14ac:dyDescent="0.25">
      <c r="D12" s="48" t="s">
        <v>137</v>
      </c>
      <c r="E12" s="49">
        <v>23070104</v>
      </c>
      <c r="F12" s="50" t="s">
        <v>138</v>
      </c>
      <c r="G12" s="51">
        <v>230</v>
      </c>
      <c r="H12" s="51">
        <v>187.5</v>
      </c>
      <c r="I12" s="46"/>
      <c r="J12" s="51">
        <f t="shared" si="1"/>
        <v>5520</v>
      </c>
      <c r="K12" s="51">
        <f t="shared" si="0"/>
        <v>4500</v>
      </c>
      <c r="L12" s="46"/>
    </row>
    <row r="13" spans="3:12" x14ac:dyDescent="0.25">
      <c r="C13" s="1">
        <v>375</v>
      </c>
      <c r="D13" s="36" t="s">
        <v>137</v>
      </c>
      <c r="E13" s="37">
        <v>23070105</v>
      </c>
      <c r="F13" s="52" t="s">
        <v>139</v>
      </c>
      <c r="G13" s="53">
        <v>400</v>
      </c>
      <c r="H13" s="40">
        <v>350</v>
      </c>
      <c r="I13" s="46"/>
      <c r="J13" s="53">
        <f t="shared" si="1"/>
        <v>9600</v>
      </c>
      <c r="K13" s="40">
        <f t="shared" si="0"/>
        <v>8400</v>
      </c>
      <c r="L13" s="46"/>
    </row>
    <row r="14" spans="3:12" ht="15.75" thickBot="1" x14ac:dyDescent="0.3">
      <c r="D14" s="54" t="s">
        <v>137</v>
      </c>
      <c r="E14" s="55">
        <v>23070107</v>
      </c>
      <c r="F14" s="56" t="s">
        <v>140</v>
      </c>
      <c r="G14" s="57">
        <v>2000</v>
      </c>
      <c r="H14" s="42">
        <v>2000</v>
      </c>
      <c r="I14" s="46"/>
      <c r="J14" s="57">
        <f t="shared" si="1"/>
        <v>48000</v>
      </c>
      <c r="K14" s="42">
        <f t="shared" si="0"/>
        <v>48000</v>
      </c>
      <c r="L14" s="46"/>
    </row>
    <row r="15" spans="3:12" x14ac:dyDescent="0.25">
      <c r="D15" s="48" t="s">
        <v>141</v>
      </c>
      <c r="E15" s="49">
        <v>23070123</v>
      </c>
      <c r="F15" s="58" t="s">
        <v>142</v>
      </c>
      <c r="G15" s="59">
        <v>2800</v>
      </c>
      <c r="H15" s="51">
        <v>2500</v>
      </c>
      <c r="I15" s="46"/>
      <c r="J15" s="59">
        <f t="shared" si="1"/>
        <v>67200</v>
      </c>
      <c r="K15" s="51">
        <f t="shared" si="0"/>
        <v>60000</v>
      </c>
      <c r="L15" s="46"/>
    </row>
    <row r="16" spans="3:12" ht="15.75" thickBot="1" x14ac:dyDescent="0.3">
      <c r="D16" s="54" t="s">
        <v>141</v>
      </c>
      <c r="E16" s="55">
        <v>23070124</v>
      </c>
      <c r="F16" s="60" t="s">
        <v>143</v>
      </c>
      <c r="G16" s="57">
        <v>45300</v>
      </c>
      <c r="H16" s="42">
        <v>17000</v>
      </c>
      <c r="I16" s="46"/>
      <c r="J16" s="57">
        <f t="shared" si="1"/>
        <v>1087200</v>
      </c>
      <c r="K16" s="42">
        <f t="shared" si="0"/>
        <v>408000</v>
      </c>
      <c r="L16" s="46"/>
    </row>
    <row r="17" spans="3:12" x14ac:dyDescent="0.25">
      <c r="D17" s="61" t="s">
        <v>144</v>
      </c>
      <c r="E17" s="62"/>
      <c r="F17" s="62"/>
      <c r="G17" s="51">
        <v>1600</v>
      </c>
      <c r="H17" s="63"/>
      <c r="I17" s="46"/>
      <c r="J17" s="51">
        <f t="shared" si="1"/>
        <v>38400</v>
      </c>
      <c r="K17" s="63">
        <f t="shared" si="0"/>
        <v>0</v>
      </c>
      <c r="L17" s="46"/>
    </row>
    <row r="18" spans="3:12" x14ac:dyDescent="0.25">
      <c r="D18" s="64" t="s">
        <v>145</v>
      </c>
      <c r="G18" s="40">
        <v>1500</v>
      </c>
      <c r="H18" s="65"/>
      <c r="I18" s="46"/>
      <c r="J18" s="40">
        <f t="shared" si="1"/>
        <v>36000</v>
      </c>
      <c r="K18" s="65">
        <f t="shared" si="0"/>
        <v>0</v>
      </c>
      <c r="L18" s="46"/>
    </row>
    <row r="19" spans="3:12" x14ac:dyDescent="0.25">
      <c r="D19" s="64" t="s">
        <v>146</v>
      </c>
      <c r="G19" s="66">
        <f>(240000/24)*0.8</f>
        <v>8000</v>
      </c>
      <c r="H19" s="65"/>
      <c r="I19" s="46"/>
      <c r="J19" s="66">
        <f t="shared" si="1"/>
        <v>192000</v>
      </c>
      <c r="K19" s="65">
        <f t="shared" si="0"/>
        <v>0</v>
      </c>
      <c r="L19" s="46"/>
    </row>
    <row r="20" spans="3:12" ht="15.75" thickBot="1" x14ac:dyDescent="0.3">
      <c r="D20" s="67" t="s">
        <v>147</v>
      </c>
      <c r="E20" s="68"/>
      <c r="F20" s="68"/>
      <c r="G20" s="69">
        <f>(1000000/24)*0.8</f>
        <v>33333.333333333336</v>
      </c>
      <c r="H20" s="70"/>
      <c r="I20" s="46"/>
      <c r="J20" s="69">
        <f t="shared" si="1"/>
        <v>800000</v>
      </c>
      <c r="K20" s="70">
        <f t="shared" si="0"/>
        <v>0</v>
      </c>
      <c r="L20" s="46"/>
    </row>
    <row r="21" spans="3:12" x14ac:dyDescent="0.25">
      <c r="D21" s="61" t="s">
        <v>148</v>
      </c>
      <c r="E21" s="62"/>
      <c r="F21" s="62"/>
      <c r="G21" s="71">
        <f>(50000/24)*0.8</f>
        <v>1666.666666666667</v>
      </c>
      <c r="H21" s="63"/>
      <c r="I21" s="46"/>
      <c r="J21" s="71">
        <f t="shared" si="1"/>
        <v>40000.000000000007</v>
      </c>
      <c r="K21" s="63">
        <f t="shared" si="1"/>
        <v>0</v>
      </c>
      <c r="L21" s="46"/>
    </row>
    <row r="22" spans="3:12" x14ac:dyDescent="0.25">
      <c r="C22" s="1" t="s">
        <v>155</v>
      </c>
      <c r="D22" s="64" t="s">
        <v>149</v>
      </c>
      <c r="G22" s="66">
        <f>((((204000*58%)+(50000*35%)+(48000*7%))/24)*0.8)</f>
        <v>4639.3333333333339</v>
      </c>
      <c r="H22" s="65"/>
      <c r="I22" s="46"/>
      <c r="J22" s="66">
        <f>+G22*24</f>
        <v>111344.00000000001</v>
      </c>
      <c r="K22" s="65">
        <f t="shared" ref="J22:K25" si="2">+H22*24</f>
        <v>0</v>
      </c>
      <c r="L22" s="46"/>
    </row>
    <row r="23" spans="3:12" ht="15.75" thickBot="1" x14ac:dyDescent="0.3">
      <c r="D23" s="67" t="s">
        <v>150</v>
      </c>
      <c r="E23" s="68"/>
      <c r="F23" s="68"/>
      <c r="G23" s="69">
        <f>8600*2</f>
        <v>17200</v>
      </c>
      <c r="H23" s="70"/>
      <c r="I23" s="46"/>
      <c r="J23" s="69">
        <f t="shared" si="2"/>
        <v>412800</v>
      </c>
      <c r="K23" s="70">
        <f t="shared" si="2"/>
        <v>0</v>
      </c>
      <c r="L23" s="46"/>
    </row>
    <row r="24" spans="3:12" x14ac:dyDescent="0.25">
      <c r="D24" s="72" t="s">
        <v>151</v>
      </c>
      <c r="E24" s="62"/>
      <c r="F24" s="73"/>
      <c r="G24" s="71">
        <v>1550</v>
      </c>
      <c r="H24" s="63"/>
      <c r="I24" s="46"/>
      <c r="J24" s="71">
        <f t="shared" si="2"/>
        <v>37200</v>
      </c>
      <c r="K24" s="63">
        <f t="shared" si="2"/>
        <v>0</v>
      </c>
      <c r="L24" s="46"/>
    </row>
    <row r="25" spans="3:12" ht="15.75" thickBot="1" x14ac:dyDescent="0.3">
      <c r="D25" s="74" t="s">
        <v>152</v>
      </c>
      <c r="E25" s="68"/>
      <c r="F25" s="75"/>
      <c r="G25" s="69"/>
      <c r="H25" s="70"/>
      <c r="I25" s="46"/>
      <c r="J25" s="69">
        <f t="shared" si="2"/>
        <v>0</v>
      </c>
      <c r="K25" s="70">
        <f t="shared" si="2"/>
        <v>0</v>
      </c>
      <c r="L25" s="46"/>
    </row>
    <row r="27" spans="3:12" x14ac:dyDescent="0.25">
      <c r="G27" s="66">
        <f>(((204000*75%)+(50000*25%))/24)*0.8</f>
        <v>5516.666666666667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7"/>
  <sheetViews>
    <sheetView zoomScale="90" zoomScaleNormal="90" workbookViewId="0">
      <selection activeCell="J9" sqref="J9"/>
    </sheetView>
  </sheetViews>
  <sheetFormatPr baseColWidth="10" defaultRowHeight="15" x14ac:dyDescent="0.25"/>
  <cols>
    <col min="1" max="1" width="7.28515625" style="1" customWidth="1"/>
    <col min="2" max="2" width="56.85546875" style="1" bestFit="1" customWidth="1"/>
    <col min="3" max="3" width="11.140625" style="1" hidden="1" customWidth="1"/>
    <col min="4" max="4" width="12.7109375" style="1" bestFit="1" customWidth="1"/>
    <col min="5" max="15" width="11.42578125" style="1"/>
    <col min="16" max="16" width="13.5703125" style="1" bestFit="1" customWidth="1"/>
    <col min="17" max="16384" width="11.42578125" style="1"/>
  </cols>
  <sheetData>
    <row r="1" spans="2:16" x14ac:dyDescent="0.25">
      <c r="B1" s="3"/>
    </row>
    <row r="2" spans="2:16" x14ac:dyDescent="0.25">
      <c r="B2" s="86" t="s">
        <v>158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8"/>
    </row>
    <row r="3" spans="2:16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2:16" x14ac:dyDescent="0.25">
      <c r="D4" s="3" t="s">
        <v>159</v>
      </c>
    </row>
    <row r="6" spans="2:16" ht="30" x14ac:dyDescent="0.25">
      <c r="C6" s="11" t="s">
        <v>47</v>
      </c>
      <c r="D6" s="23" t="s">
        <v>36</v>
      </c>
      <c r="E6" s="23" t="s">
        <v>35</v>
      </c>
      <c r="F6" s="23" t="s">
        <v>37</v>
      </c>
      <c r="G6" s="23" t="s">
        <v>38</v>
      </c>
      <c r="H6" s="23" t="s">
        <v>39</v>
      </c>
      <c r="I6" s="23" t="s">
        <v>40</v>
      </c>
      <c r="J6" s="23" t="s">
        <v>41</v>
      </c>
      <c r="K6" s="23" t="s">
        <v>42</v>
      </c>
      <c r="L6" s="23" t="s">
        <v>43</v>
      </c>
      <c r="M6" s="23" t="s">
        <v>44</v>
      </c>
      <c r="N6" s="23" t="s">
        <v>45</v>
      </c>
      <c r="O6" s="23" t="s">
        <v>46</v>
      </c>
      <c r="P6" s="23" t="s">
        <v>48</v>
      </c>
    </row>
    <row r="7" spans="2:16" x14ac:dyDescent="0.25">
      <c r="B7" s="7" t="s">
        <v>49</v>
      </c>
      <c r="C7" s="14"/>
      <c r="D7" s="15">
        <f>+D72</f>
        <v>5217</v>
      </c>
      <c r="E7" s="15">
        <f>+E72</f>
        <v>5285</v>
      </c>
      <c r="F7" s="15">
        <f>+F72</f>
        <v>6701</v>
      </c>
      <c r="G7" s="15">
        <f t="shared" ref="G7" si="0">+G72</f>
        <v>5735</v>
      </c>
      <c r="H7" s="15">
        <v>5460</v>
      </c>
      <c r="I7" s="15">
        <v>6051</v>
      </c>
      <c r="J7" s="15">
        <v>11858</v>
      </c>
      <c r="K7" s="15">
        <f t="shared" ref="J7:L7" si="1">+K72</f>
        <v>0</v>
      </c>
      <c r="L7" s="15">
        <f t="shared" si="1"/>
        <v>0</v>
      </c>
      <c r="M7" s="15">
        <f t="shared" ref="M7:N7" si="2">+M72</f>
        <v>0</v>
      </c>
      <c r="N7" s="15">
        <f t="shared" si="2"/>
        <v>0</v>
      </c>
      <c r="O7" s="15">
        <f t="shared" ref="O7" si="3">+O72</f>
        <v>0</v>
      </c>
      <c r="P7" s="15">
        <f>AVERAGE(D7:O7)</f>
        <v>3858.9166666666665</v>
      </c>
    </row>
    <row r="8" spans="2:16" x14ac:dyDescent="0.25">
      <c r="B8" s="7" t="s">
        <v>50</v>
      </c>
      <c r="C8" s="14"/>
      <c r="D8" s="15">
        <f>+D83</f>
        <v>6319</v>
      </c>
      <c r="E8" s="15">
        <f>+E83</f>
        <v>6027</v>
      </c>
      <c r="F8" s="15">
        <f>+F83</f>
        <v>6157</v>
      </c>
      <c r="G8" s="15">
        <f t="shared" ref="G8" si="4">+G83</f>
        <v>6002</v>
      </c>
      <c r="H8" s="15">
        <v>6500</v>
      </c>
      <c r="I8" s="15">
        <v>6946</v>
      </c>
      <c r="J8" s="15">
        <v>12670</v>
      </c>
      <c r="K8" s="15">
        <f t="shared" ref="J8:L8" si="5">+K83</f>
        <v>0</v>
      </c>
      <c r="L8" s="15">
        <f t="shared" si="5"/>
        <v>0</v>
      </c>
      <c r="M8" s="15">
        <f t="shared" ref="M8:N8" si="6">+M83</f>
        <v>0</v>
      </c>
      <c r="N8" s="15">
        <f t="shared" si="6"/>
        <v>0</v>
      </c>
      <c r="O8" s="15">
        <f t="shared" ref="O8" si="7">+O83</f>
        <v>0</v>
      </c>
      <c r="P8" s="15">
        <f t="shared" ref="P8:P11" si="8">AVERAGE(D8:O8)</f>
        <v>4218.416666666667</v>
      </c>
    </row>
    <row r="9" spans="2:16" x14ac:dyDescent="0.25">
      <c r="B9" s="10" t="s">
        <v>62</v>
      </c>
      <c r="C9" s="14"/>
      <c r="D9" s="19">
        <f>+D7/D8</f>
        <v>0.82560531729704068</v>
      </c>
      <c r="E9" s="19">
        <f>+E7/E8</f>
        <v>0.87688734030197446</v>
      </c>
      <c r="F9" s="19">
        <f>+F7/F8</f>
        <v>1.0883547182069189</v>
      </c>
      <c r="G9" s="82">
        <f>+G7/G8</f>
        <v>0.95551482839053647</v>
      </c>
      <c r="H9" s="19">
        <f t="shared" ref="H9" si="9">+H7/H8</f>
        <v>0.84</v>
      </c>
      <c r="I9" s="19">
        <f t="shared" ref="I9:L9" si="10">+I7/I8</f>
        <v>0.87114886265476532</v>
      </c>
      <c r="J9" s="19">
        <f t="shared" si="10"/>
        <v>0.93591160220994474</v>
      </c>
      <c r="K9" s="19" t="e">
        <f t="shared" si="10"/>
        <v>#DIV/0!</v>
      </c>
      <c r="L9" s="19" t="e">
        <f t="shared" si="10"/>
        <v>#DIV/0!</v>
      </c>
      <c r="M9" s="19" t="e">
        <f t="shared" ref="M9:N9" si="11">+M7/M8</f>
        <v>#DIV/0!</v>
      </c>
      <c r="N9" s="19" t="e">
        <f t="shared" si="11"/>
        <v>#DIV/0!</v>
      </c>
      <c r="O9" s="19" t="e">
        <f t="shared" ref="O9" si="12">+O7/O8</f>
        <v>#DIV/0!</v>
      </c>
      <c r="P9" s="17" t="e">
        <f t="shared" si="8"/>
        <v>#DIV/0!</v>
      </c>
    </row>
    <row r="10" spans="2:16" x14ac:dyDescent="0.25">
      <c r="B10" s="13" t="s">
        <v>156</v>
      </c>
      <c r="C10" s="6">
        <v>100</v>
      </c>
      <c r="D10" s="18">
        <v>0.97</v>
      </c>
      <c r="E10" s="18">
        <v>0.97</v>
      </c>
      <c r="F10" s="18">
        <v>0.97</v>
      </c>
      <c r="G10" s="18">
        <v>0.97</v>
      </c>
      <c r="H10" s="18">
        <v>0.97</v>
      </c>
      <c r="I10" s="18">
        <v>0.97</v>
      </c>
      <c r="J10" s="18">
        <v>0.97</v>
      </c>
      <c r="K10" s="18">
        <v>0.97</v>
      </c>
      <c r="L10" s="18">
        <v>0.97</v>
      </c>
      <c r="M10" s="18">
        <v>0.97</v>
      </c>
      <c r="N10" s="18">
        <v>0.97</v>
      </c>
      <c r="O10" s="18">
        <v>0.97</v>
      </c>
      <c r="P10" s="18">
        <f t="shared" si="8"/>
        <v>0.97000000000000008</v>
      </c>
    </row>
    <row r="11" spans="2:16" x14ac:dyDescent="0.25">
      <c r="B11" s="13" t="s">
        <v>157</v>
      </c>
      <c r="C11" s="6">
        <v>100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J11" s="18">
        <v>1</v>
      </c>
      <c r="K11" s="18">
        <v>1</v>
      </c>
      <c r="L11" s="18">
        <v>1</v>
      </c>
      <c r="M11" s="18">
        <v>1</v>
      </c>
      <c r="N11" s="18">
        <v>1</v>
      </c>
      <c r="O11" s="18">
        <v>1</v>
      </c>
      <c r="P11" s="18">
        <f t="shared" si="8"/>
        <v>1</v>
      </c>
    </row>
    <row r="14" spans="2:16" x14ac:dyDescent="0.25">
      <c r="D14" s="3" t="s">
        <v>160</v>
      </c>
    </row>
    <row r="16" spans="2:16" ht="30" x14ac:dyDescent="0.25">
      <c r="C16" s="11" t="s">
        <v>47</v>
      </c>
      <c r="D16" s="23" t="s">
        <v>36</v>
      </c>
      <c r="E16" s="23" t="s">
        <v>35</v>
      </c>
      <c r="F16" s="23" t="s">
        <v>37</v>
      </c>
      <c r="G16" s="23" t="s">
        <v>38</v>
      </c>
      <c r="H16" s="23" t="s">
        <v>39</v>
      </c>
      <c r="I16" s="23" t="s">
        <v>40</v>
      </c>
      <c r="J16" s="23" t="s">
        <v>41</v>
      </c>
      <c r="K16" s="23" t="s">
        <v>42</v>
      </c>
      <c r="L16" s="23" t="s">
        <v>43</v>
      </c>
      <c r="M16" s="23" t="s">
        <v>44</v>
      </c>
      <c r="N16" s="23" t="s">
        <v>45</v>
      </c>
      <c r="O16" s="23" t="s">
        <v>46</v>
      </c>
      <c r="P16" s="23" t="s">
        <v>48</v>
      </c>
    </row>
    <row r="17" spans="2:16" x14ac:dyDescent="0.25">
      <c r="B17" s="7" t="s">
        <v>111</v>
      </c>
      <c r="C17" s="14"/>
      <c r="D17" s="15">
        <f>+D18</f>
        <v>3293</v>
      </c>
      <c r="E17" s="83">
        <f>+E18</f>
        <v>3759</v>
      </c>
      <c r="F17" s="83">
        <f>+F18</f>
        <v>5007</v>
      </c>
      <c r="G17" s="15">
        <f>+G18</f>
        <v>3460</v>
      </c>
      <c r="H17" s="15">
        <f t="shared" ref="H17:I17" si="13">+H18</f>
        <v>3130</v>
      </c>
      <c r="I17" s="15">
        <f t="shared" si="13"/>
        <v>1702</v>
      </c>
      <c r="J17" s="14">
        <f>+J18</f>
        <v>2238</v>
      </c>
      <c r="K17" s="14">
        <f t="shared" ref="K17" si="14">+K18</f>
        <v>0</v>
      </c>
      <c r="L17" s="14">
        <f>+L18</f>
        <v>0</v>
      </c>
      <c r="M17" s="14">
        <f>+M18</f>
        <v>0</v>
      </c>
      <c r="N17" s="14">
        <f>+N18</f>
        <v>0</v>
      </c>
      <c r="O17" s="14">
        <f>+O18</f>
        <v>0</v>
      </c>
      <c r="P17" s="15">
        <f>AVERAGE(D17:O17)</f>
        <v>1882.4166666666667</v>
      </c>
    </row>
    <row r="18" spans="2:16" x14ac:dyDescent="0.25">
      <c r="B18" s="7" t="s">
        <v>154</v>
      </c>
      <c r="C18" s="14"/>
      <c r="D18" s="15">
        <v>3293</v>
      </c>
      <c r="E18" s="15">
        <v>3759</v>
      </c>
      <c r="F18" s="15">
        <v>5007</v>
      </c>
      <c r="G18" s="15">
        <v>3460</v>
      </c>
      <c r="H18" s="15">
        <v>3130</v>
      </c>
      <c r="I18" s="15">
        <v>1702</v>
      </c>
      <c r="J18" s="14">
        <v>2238</v>
      </c>
      <c r="K18" s="14"/>
      <c r="L18" s="14"/>
      <c r="M18" s="14"/>
      <c r="N18" s="14"/>
      <c r="O18" s="81"/>
      <c r="P18" s="15">
        <f t="shared" ref="P18:P21" si="15">AVERAGE(D18:O18)</f>
        <v>3227</v>
      </c>
    </row>
    <row r="19" spans="2:16" ht="30" x14ac:dyDescent="0.25">
      <c r="B19" s="10" t="s">
        <v>114</v>
      </c>
      <c r="C19" s="14"/>
      <c r="D19" s="19">
        <f>+D17/D18</f>
        <v>1</v>
      </c>
      <c r="E19" s="19">
        <f t="shared" ref="E19:O19" si="16">+E17/E18</f>
        <v>1</v>
      </c>
      <c r="F19" s="19">
        <f t="shared" si="16"/>
        <v>1</v>
      </c>
      <c r="G19" s="19">
        <f t="shared" si="16"/>
        <v>1</v>
      </c>
      <c r="H19" s="19">
        <f t="shared" si="16"/>
        <v>1</v>
      </c>
      <c r="I19" s="19">
        <f t="shared" si="16"/>
        <v>1</v>
      </c>
      <c r="J19" s="19">
        <f t="shared" si="16"/>
        <v>1</v>
      </c>
      <c r="K19" s="19" t="e">
        <f t="shared" si="16"/>
        <v>#DIV/0!</v>
      </c>
      <c r="L19" s="19" t="e">
        <f t="shared" si="16"/>
        <v>#DIV/0!</v>
      </c>
      <c r="M19" s="19" t="e">
        <f t="shared" si="16"/>
        <v>#DIV/0!</v>
      </c>
      <c r="N19" s="19" t="e">
        <f t="shared" si="16"/>
        <v>#DIV/0!</v>
      </c>
      <c r="O19" s="82" t="e">
        <f t="shared" si="16"/>
        <v>#DIV/0!</v>
      </c>
      <c r="P19" s="17" t="e">
        <f t="shared" si="15"/>
        <v>#DIV/0!</v>
      </c>
    </row>
    <row r="20" spans="2:16" x14ac:dyDescent="0.25">
      <c r="B20" s="13" t="s">
        <v>156</v>
      </c>
      <c r="C20" s="6">
        <v>100</v>
      </c>
      <c r="D20" s="18">
        <v>1</v>
      </c>
      <c r="E20" s="18">
        <v>1</v>
      </c>
      <c r="F20" s="18">
        <v>1</v>
      </c>
      <c r="G20" s="18">
        <v>1</v>
      </c>
      <c r="H20" s="18">
        <v>1</v>
      </c>
      <c r="I20" s="18">
        <v>1</v>
      </c>
      <c r="J20" s="18">
        <v>1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f t="shared" si="15"/>
        <v>1</v>
      </c>
    </row>
    <row r="21" spans="2:16" x14ac:dyDescent="0.25">
      <c r="B21" s="13" t="s">
        <v>157</v>
      </c>
      <c r="C21" s="6">
        <v>100</v>
      </c>
      <c r="D21" s="18">
        <v>1</v>
      </c>
      <c r="E21" s="18">
        <v>1</v>
      </c>
      <c r="F21" s="18">
        <v>1</v>
      </c>
      <c r="G21" s="18">
        <v>1</v>
      </c>
      <c r="H21" s="18">
        <v>1</v>
      </c>
      <c r="I21" s="18">
        <v>1</v>
      </c>
      <c r="J21" s="18">
        <v>1</v>
      </c>
      <c r="K21" s="18">
        <v>1</v>
      </c>
      <c r="L21" s="18">
        <v>1</v>
      </c>
      <c r="M21" s="18">
        <v>1</v>
      </c>
      <c r="N21" s="18">
        <v>1</v>
      </c>
      <c r="O21" s="18">
        <v>1</v>
      </c>
      <c r="P21" s="18">
        <f t="shared" si="15"/>
        <v>1</v>
      </c>
    </row>
    <row r="24" spans="2:16" x14ac:dyDescent="0.25">
      <c r="D24" s="3" t="s">
        <v>161</v>
      </c>
    </row>
    <row r="26" spans="2:16" ht="30" x14ac:dyDescent="0.25">
      <c r="C26" s="11" t="s">
        <v>47</v>
      </c>
      <c r="D26" s="23" t="s">
        <v>36</v>
      </c>
      <c r="E26" s="23" t="s">
        <v>35</v>
      </c>
      <c r="F26" s="23" t="s">
        <v>37</v>
      </c>
      <c r="G26" s="23" t="s">
        <v>38</v>
      </c>
      <c r="H26" s="23" t="s">
        <v>39</v>
      </c>
      <c r="I26" s="23" t="s">
        <v>40</v>
      </c>
      <c r="J26" s="23" t="s">
        <v>41</v>
      </c>
      <c r="K26" s="23" t="s">
        <v>42</v>
      </c>
      <c r="L26" s="23" t="s">
        <v>43</v>
      </c>
      <c r="M26" s="23" t="s">
        <v>44</v>
      </c>
      <c r="N26" s="23" t="s">
        <v>45</v>
      </c>
      <c r="O26" s="23" t="s">
        <v>46</v>
      </c>
      <c r="P26" s="23" t="s">
        <v>48</v>
      </c>
    </row>
    <row r="27" spans="2:16" x14ac:dyDescent="0.25">
      <c r="B27" s="7" t="s">
        <v>115</v>
      </c>
      <c r="C27" s="14"/>
      <c r="D27" s="15">
        <f>+D68</f>
        <v>479</v>
      </c>
      <c r="E27" s="15">
        <f t="shared" ref="E27:L27" si="17">+E68</f>
        <v>424</v>
      </c>
      <c r="F27" s="15">
        <f t="shared" si="17"/>
        <v>493</v>
      </c>
      <c r="G27" s="15">
        <f t="shared" si="17"/>
        <v>744</v>
      </c>
      <c r="H27" s="15">
        <f t="shared" si="17"/>
        <v>379</v>
      </c>
      <c r="I27" s="15">
        <f t="shared" si="17"/>
        <v>568</v>
      </c>
      <c r="J27" s="15">
        <f t="shared" si="17"/>
        <v>476</v>
      </c>
      <c r="K27" s="15">
        <f t="shared" si="17"/>
        <v>0</v>
      </c>
      <c r="L27" s="15">
        <f t="shared" si="17"/>
        <v>0</v>
      </c>
      <c r="M27" s="15">
        <f t="shared" ref="M27" si="18">+M68</f>
        <v>0</v>
      </c>
      <c r="N27" s="15">
        <f>+N68</f>
        <v>0</v>
      </c>
      <c r="O27" s="15">
        <f>+O68</f>
        <v>0</v>
      </c>
      <c r="P27" s="15">
        <f>AVERAGE(D27:O27)</f>
        <v>296.91666666666669</v>
      </c>
    </row>
    <row r="28" spans="2:16" x14ac:dyDescent="0.25">
      <c r="B28" s="10" t="s">
        <v>116</v>
      </c>
      <c r="C28" s="14"/>
      <c r="D28" s="15">
        <f t="shared" ref="D28:O28" si="19">+(D90*D100)/1000</f>
        <v>466.2</v>
      </c>
      <c r="E28" s="15">
        <f t="shared" si="19"/>
        <v>465</v>
      </c>
      <c r="F28" s="15">
        <f t="shared" si="19"/>
        <v>507.2</v>
      </c>
      <c r="G28" s="15">
        <f t="shared" si="19"/>
        <v>691.5</v>
      </c>
      <c r="H28" s="15">
        <f t="shared" si="19"/>
        <v>373.5</v>
      </c>
      <c r="I28" s="15">
        <f t="shared" si="19"/>
        <v>675</v>
      </c>
      <c r="J28" s="15">
        <f t="shared" si="19"/>
        <v>535.5</v>
      </c>
      <c r="K28" s="15">
        <f t="shared" si="19"/>
        <v>0</v>
      </c>
      <c r="L28" s="15">
        <f t="shared" si="19"/>
        <v>0</v>
      </c>
      <c r="M28" s="15">
        <f t="shared" si="19"/>
        <v>0</v>
      </c>
      <c r="N28" s="15">
        <f t="shared" si="19"/>
        <v>0</v>
      </c>
      <c r="O28" s="15">
        <f t="shared" si="19"/>
        <v>0</v>
      </c>
      <c r="P28" s="15">
        <f t="shared" ref="P28:P31" si="20">AVERAGE(D28:O28)</f>
        <v>309.49166666666667</v>
      </c>
    </row>
    <row r="29" spans="2:16" ht="30" x14ac:dyDescent="0.25">
      <c r="B29" s="10" t="s">
        <v>117</v>
      </c>
      <c r="C29" s="14"/>
      <c r="D29" s="19">
        <f>+D27/D28</f>
        <v>1.0274560274560274</v>
      </c>
      <c r="E29" s="19">
        <f>+E27/E28</f>
        <v>0.91182795698924735</v>
      </c>
      <c r="F29" s="19">
        <f>+F27/F28</f>
        <v>0.97200315457413256</v>
      </c>
      <c r="G29" s="82">
        <f t="shared" ref="G29:H29" si="21">+G27/G28</f>
        <v>1.0759219088937093</v>
      </c>
      <c r="H29" s="19">
        <f t="shared" si="21"/>
        <v>1.0147255689424364</v>
      </c>
      <c r="I29" s="19">
        <f>+I27/I28</f>
        <v>0.8414814814814815</v>
      </c>
      <c r="J29" s="19">
        <f t="shared" ref="J29:L29" si="22">+J27/J28</f>
        <v>0.88888888888888884</v>
      </c>
      <c r="K29" s="19" t="e">
        <f t="shared" si="22"/>
        <v>#DIV/0!</v>
      </c>
      <c r="L29" s="19" t="e">
        <f t="shared" si="22"/>
        <v>#DIV/0!</v>
      </c>
      <c r="M29" s="19" t="e">
        <f t="shared" ref="M29:N29" si="23">+M27/M28</f>
        <v>#DIV/0!</v>
      </c>
      <c r="N29" s="19" t="e">
        <f t="shared" si="23"/>
        <v>#DIV/0!</v>
      </c>
      <c r="O29" s="19" t="e">
        <f t="shared" ref="O29" si="24">+O27/O28</f>
        <v>#DIV/0!</v>
      </c>
      <c r="P29" s="17" t="e">
        <f t="shared" si="20"/>
        <v>#DIV/0!</v>
      </c>
    </row>
    <row r="30" spans="2:16" x14ac:dyDescent="0.25">
      <c r="B30" s="13" t="s">
        <v>156</v>
      </c>
      <c r="C30" s="6">
        <v>100</v>
      </c>
      <c r="D30" s="18">
        <v>0.94</v>
      </c>
      <c r="E30" s="18">
        <v>0.94</v>
      </c>
      <c r="F30" s="18">
        <v>0.94</v>
      </c>
      <c r="G30" s="18">
        <v>0.94</v>
      </c>
      <c r="H30" s="18">
        <v>0.94</v>
      </c>
      <c r="I30" s="18">
        <v>0.94</v>
      </c>
      <c r="J30" s="18">
        <v>0.94</v>
      </c>
      <c r="K30" s="18">
        <v>0.94</v>
      </c>
      <c r="L30" s="18">
        <v>0.94</v>
      </c>
      <c r="M30" s="18">
        <v>0.94</v>
      </c>
      <c r="N30" s="18">
        <v>0.94</v>
      </c>
      <c r="O30" s="18">
        <v>0.94</v>
      </c>
      <c r="P30" s="18">
        <f t="shared" si="20"/>
        <v>0.93999999999999961</v>
      </c>
    </row>
    <row r="31" spans="2:16" x14ac:dyDescent="0.25">
      <c r="B31" s="13" t="s">
        <v>157</v>
      </c>
      <c r="C31" s="6">
        <v>100</v>
      </c>
      <c r="D31" s="18">
        <v>1</v>
      </c>
      <c r="E31" s="18">
        <v>1</v>
      </c>
      <c r="F31" s="18">
        <v>1</v>
      </c>
      <c r="G31" s="18">
        <v>1</v>
      </c>
      <c r="H31" s="18">
        <v>1</v>
      </c>
      <c r="I31" s="18">
        <v>1</v>
      </c>
      <c r="J31" s="18">
        <v>1</v>
      </c>
      <c r="K31" s="18">
        <v>1</v>
      </c>
      <c r="L31" s="18">
        <v>1</v>
      </c>
      <c r="M31" s="18">
        <v>1</v>
      </c>
      <c r="N31" s="18">
        <v>1</v>
      </c>
      <c r="O31" s="18">
        <v>1</v>
      </c>
      <c r="P31" s="18">
        <f t="shared" si="20"/>
        <v>1</v>
      </c>
    </row>
    <row r="34" spans="2:16" x14ac:dyDescent="0.25">
      <c r="D34" s="3" t="s">
        <v>162</v>
      </c>
    </row>
    <row r="36" spans="2:16" ht="30" x14ac:dyDescent="0.25">
      <c r="C36" s="11" t="s">
        <v>47</v>
      </c>
      <c r="D36" s="23" t="s">
        <v>36</v>
      </c>
      <c r="E36" s="23" t="s">
        <v>35</v>
      </c>
      <c r="F36" s="23" t="s">
        <v>37</v>
      </c>
      <c r="G36" s="23" t="s">
        <v>38</v>
      </c>
      <c r="H36" s="23" t="s">
        <v>39</v>
      </c>
      <c r="I36" s="23" t="s">
        <v>40</v>
      </c>
      <c r="J36" s="23" t="s">
        <v>41</v>
      </c>
      <c r="K36" s="23" t="s">
        <v>42</v>
      </c>
      <c r="L36" s="23" t="s">
        <v>43</v>
      </c>
      <c r="M36" s="23" t="s">
        <v>44</v>
      </c>
      <c r="N36" s="23" t="s">
        <v>45</v>
      </c>
      <c r="O36" s="23" t="s">
        <v>46</v>
      </c>
      <c r="P36" s="23" t="s">
        <v>48</v>
      </c>
    </row>
    <row r="37" spans="2:16" x14ac:dyDescent="0.25">
      <c r="B37" s="7" t="s">
        <v>115</v>
      </c>
      <c r="C37" s="14"/>
      <c r="D37" s="15">
        <f>+D69</f>
        <v>2774</v>
      </c>
      <c r="E37" s="15">
        <f t="shared" ref="E37:L37" si="25">+E69</f>
        <v>2893</v>
      </c>
      <c r="F37" s="15">
        <f t="shared" si="25"/>
        <v>4243</v>
      </c>
      <c r="G37" s="15">
        <f t="shared" si="25"/>
        <v>3587</v>
      </c>
      <c r="H37" s="15">
        <f t="shared" si="25"/>
        <v>2967</v>
      </c>
      <c r="I37" s="15">
        <f t="shared" si="25"/>
        <v>3950</v>
      </c>
      <c r="J37" s="15">
        <f t="shared" si="25"/>
        <v>4392</v>
      </c>
      <c r="K37" s="15">
        <f t="shared" si="25"/>
        <v>0</v>
      </c>
      <c r="L37" s="15">
        <f t="shared" si="25"/>
        <v>0</v>
      </c>
      <c r="M37" s="15">
        <f t="shared" ref="M37:N37" si="26">+M69</f>
        <v>0</v>
      </c>
      <c r="N37" s="15">
        <f t="shared" si="26"/>
        <v>0</v>
      </c>
      <c r="O37" s="15">
        <f t="shared" ref="O37" si="27">+O69</f>
        <v>0</v>
      </c>
      <c r="P37" s="15">
        <f>AVERAGE(D37:O37)</f>
        <v>2067.1666666666665</v>
      </c>
    </row>
    <row r="38" spans="2:16" x14ac:dyDescent="0.25">
      <c r="B38" s="10" t="s">
        <v>116</v>
      </c>
      <c r="C38" s="14"/>
      <c r="D38" s="15">
        <f>+(D91*D101)/1000</f>
        <v>3080</v>
      </c>
      <c r="E38" s="15">
        <f t="shared" ref="E38:O38" si="28">+(E91*E101)/1000</f>
        <v>3384</v>
      </c>
      <c r="F38" s="15">
        <f t="shared" si="28"/>
        <v>4320</v>
      </c>
      <c r="G38" s="15">
        <f t="shared" si="28"/>
        <v>4000</v>
      </c>
      <c r="H38" s="15">
        <f t="shared" si="28"/>
        <v>4616</v>
      </c>
      <c r="I38" s="15">
        <f t="shared" si="28"/>
        <v>4696</v>
      </c>
      <c r="J38" s="15">
        <f t="shared" si="28"/>
        <v>3738</v>
      </c>
      <c r="K38" s="15">
        <f t="shared" si="28"/>
        <v>0</v>
      </c>
      <c r="L38" s="15">
        <f t="shared" si="28"/>
        <v>0</v>
      </c>
      <c r="M38" s="15">
        <f t="shared" si="28"/>
        <v>0</v>
      </c>
      <c r="N38" s="15">
        <f t="shared" si="28"/>
        <v>0</v>
      </c>
      <c r="O38" s="15">
        <f t="shared" si="28"/>
        <v>0</v>
      </c>
      <c r="P38" s="15">
        <f t="shared" ref="P38:P41" si="29">AVERAGE(D38:O38)</f>
        <v>2319.5</v>
      </c>
    </row>
    <row r="39" spans="2:16" ht="30" x14ac:dyDescent="0.25">
      <c r="B39" s="10" t="s">
        <v>117</v>
      </c>
      <c r="C39" s="14"/>
      <c r="D39" s="19">
        <f>+D37/D38</f>
        <v>0.9006493506493507</v>
      </c>
      <c r="E39" s="19">
        <f>+E37/E38</f>
        <v>0.85490543735224589</v>
      </c>
      <c r="F39" s="19">
        <f>+F37/F38</f>
        <v>0.98217592592592595</v>
      </c>
      <c r="G39" s="82">
        <f t="shared" ref="G39:H39" si="30">+G37/G38</f>
        <v>0.89675000000000005</v>
      </c>
      <c r="H39" s="19">
        <f t="shared" si="30"/>
        <v>0.64276429809358748</v>
      </c>
      <c r="I39" s="19">
        <f t="shared" ref="I39:L39" si="31">+I37/I38</f>
        <v>0.84114139693356049</v>
      </c>
      <c r="J39" s="19">
        <f t="shared" si="31"/>
        <v>1.174959871589085</v>
      </c>
      <c r="K39" s="19" t="e">
        <f t="shared" si="31"/>
        <v>#DIV/0!</v>
      </c>
      <c r="L39" s="19" t="e">
        <f t="shared" si="31"/>
        <v>#DIV/0!</v>
      </c>
      <c r="M39" s="19" t="e">
        <f t="shared" ref="M39:N39" si="32">+M37/M38</f>
        <v>#DIV/0!</v>
      </c>
      <c r="N39" s="19" t="e">
        <f t="shared" si="32"/>
        <v>#DIV/0!</v>
      </c>
      <c r="O39" s="19" t="e">
        <f t="shared" ref="O39" si="33">+O37/O38</f>
        <v>#DIV/0!</v>
      </c>
      <c r="P39" s="17" t="e">
        <f t="shared" si="29"/>
        <v>#DIV/0!</v>
      </c>
    </row>
    <row r="40" spans="2:16" x14ac:dyDescent="0.25">
      <c r="B40" s="13" t="s">
        <v>156</v>
      </c>
      <c r="C40" s="6">
        <v>100</v>
      </c>
      <c r="D40" s="18">
        <v>0.94</v>
      </c>
      <c r="E40" s="18">
        <v>0.94</v>
      </c>
      <c r="F40" s="18">
        <v>0.94</v>
      </c>
      <c r="G40" s="18">
        <v>0.94</v>
      </c>
      <c r="H40" s="18">
        <v>0.94</v>
      </c>
      <c r="I40" s="18">
        <v>0.94</v>
      </c>
      <c r="J40" s="18">
        <v>0.94</v>
      </c>
      <c r="K40" s="18">
        <v>0.94</v>
      </c>
      <c r="L40" s="18">
        <v>0.94</v>
      </c>
      <c r="M40" s="18">
        <v>0.94</v>
      </c>
      <c r="N40" s="18">
        <v>0.94</v>
      </c>
      <c r="O40" s="18">
        <v>0.94</v>
      </c>
      <c r="P40" s="18">
        <f t="shared" si="29"/>
        <v>0.93999999999999961</v>
      </c>
    </row>
    <row r="41" spans="2:16" x14ac:dyDescent="0.25">
      <c r="B41" s="13" t="s">
        <v>157</v>
      </c>
      <c r="C41" s="6">
        <v>100</v>
      </c>
      <c r="D41" s="18">
        <v>1</v>
      </c>
      <c r="E41" s="18">
        <v>1</v>
      </c>
      <c r="F41" s="18">
        <v>1</v>
      </c>
      <c r="G41" s="18">
        <v>1</v>
      </c>
      <c r="H41" s="18">
        <v>1</v>
      </c>
      <c r="I41" s="18">
        <v>1</v>
      </c>
      <c r="J41" s="18">
        <v>1</v>
      </c>
      <c r="K41" s="18">
        <v>1</v>
      </c>
      <c r="L41" s="18">
        <v>1</v>
      </c>
      <c r="M41" s="18">
        <v>1</v>
      </c>
      <c r="N41" s="18">
        <v>1</v>
      </c>
      <c r="O41" s="18">
        <v>1</v>
      </c>
      <c r="P41" s="18">
        <f t="shared" si="29"/>
        <v>1</v>
      </c>
    </row>
    <row r="44" spans="2:16" x14ac:dyDescent="0.25">
      <c r="D44" s="3" t="s">
        <v>163</v>
      </c>
    </row>
    <row r="46" spans="2:16" ht="30" x14ac:dyDescent="0.25">
      <c r="C46" s="11" t="s">
        <v>47</v>
      </c>
      <c r="D46" s="23" t="s">
        <v>36</v>
      </c>
      <c r="E46" s="23" t="s">
        <v>35</v>
      </c>
      <c r="F46" s="23" t="s">
        <v>37</v>
      </c>
      <c r="G46" s="23" t="s">
        <v>38</v>
      </c>
      <c r="H46" s="23" t="s">
        <v>39</v>
      </c>
      <c r="I46" s="23" t="s">
        <v>40</v>
      </c>
      <c r="J46" s="23" t="s">
        <v>41</v>
      </c>
      <c r="K46" s="23" t="s">
        <v>42</v>
      </c>
      <c r="L46" s="23" t="s">
        <v>43</v>
      </c>
      <c r="M46" s="23" t="s">
        <v>44</v>
      </c>
      <c r="N46" s="23" t="s">
        <v>45</v>
      </c>
      <c r="O46" s="23" t="s">
        <v>46</v>
      </c>
      <c r="P46" s="23" t="s">
        <v>48</v>
      </c>
    </row>
    <row r="47" spans="2:16" x14ac:dyDescent="0.25">
      <c r="B47" s="7" t="s">
        <v>115</v>
      </c>
      <c r="C47" s="14"/>
      <c r="D47" s="15">
        <f>+D71</f>
        <v>1964</v>
      </c>
      <c r="E47" s="15">
        <f t="shared" ref="E47:L47" si="34">+E71</f>
        <v>1968</v>
      </c>
      <c r="F47" s="15">
        <f t="shared" si="34"/>
        <v>1940</v>
      </c>
      <c r="G47" s="15">
        <f t="shared" si="34"/>
        <v>1404</v>
      </c>
      <c r="H47" s="15">
        <f t="shared" si="34"/>
        <v>2097</v>
      </c>
      <c r="I47" s="15">
        <f t="shared" si="34"/>
        <v>1806</v>
      </c>
      <c r="J47" s="15">
        <f t="shared" si="34"/>
        <v>1996</v>
      </c>
      <c r="K47" s="15">
        <f t="shared" si="34"/>
        <v>0</v>
      </c>
      <c r="L47" s="15">
        <f t="shared" si="34"/>
        <v>0</v>
      </c>
      <c r="M47" s="15">
        <f t="shared" ref="M47:N47" si="35">+M71</f>
        <v>0</v>
      </c>
      <c r="N47" s="15">
        <f t="shared" si="35"/>
        <v>0</v>
      </c>
      <c r="O47" s="15">
        <f t="shared" ref="O47" si="36">+O71</f>
        <v>0</v>
      </c>
      <c r="P47" s="15">
        <f>AVERAGE(D47:O47)</f>
        <v>1097.9166666666667</v>
      </c>
    </row>
    <row r="48" spans="2:16" x14ac:dyDescent="0.25">
      <c r="B48" s="10" t="s">
        <v>116</v>
      </c>
      <c r="C48" s="14"/>
      <c r="D48" s="15">
        <f t="shared" ref="D48:O48" si="37">+(D93*D103)/1000</f>
        <v>2505.2400000000007</v>
      </c>
      <c r="E48" s="15">
        <f t="shared" si="37"/>
        <v>2482.0433333333335</v>
      </c>
      <c r="F48" s="15">
        <f t="shared" si="37"/>
        <v>2222.240666666667</v>
      </c>
      <c r="G48" s="15">
        <f t="shared" si="37"/>
        <v>1564.92</v>
      </c>
      <c r="H48" s="15">
        <f t="shared" si="37"/>
        <v>2170.8000000000002</v>
      </c>
      <c r="I48" s="15">
        <f>+(I93*I103)/1000</f>
        <v>1965.6</v>
      </c>
      <c r="J48" s="15">
        <f t="shared" si="37"/>
        <v>2117.88</v>
      </c>
      <c r="K48" s="15">
        <f t="shared" si="37"/>
        <v>0</v>
      </c>
      <c r="L48" s="15">
        <f t="shared" si="37"/>
        <v>0</v>
      </c>
      <c r="M48" s="15">
        <f t="shared" si="37"/>
        <v>0</v>
      </c>
      <c r="N48" s="15">
        <f t="shared" si="37"/>
        <v>0</v>
      </c>
      <c r="O48" s="15">
        <f t="shared" si="37"/>
        <v>0</v>
      </c>
      <c r="P48" s="15">
        <f t="shared" ref="P48:P51" si="38">AVERAGE(D48:O48)</f>
        <v>1252.3936666666668</v>
      </c>
    </row>
    <row r="49" spans="2:16" ht="30" x14ac:dyDescent="0.25">
      <c r="B49" s="10" t="s">
        <v>117</v>
      </c>
      <c r="C49" s="14"/>
      <c r="D49" s="19">
        <f>+D47/D48</f>
        <v>0.7839568264916732</v>
      </c>
      <c r="E49" s="19">
        <f>+E47/E48</f>
        <v>0.79289510121365048</v>
      </c>
      <c r="F49" s="19">
        <f>+F47/F48</f>
        <v>0.87299275416014033</v>
      </c>
      <c r="G49" s="82">
        <f t="shared" ref="G49:H49" si="39">+G47/G48</f>
        <v>0.8971704623878537</v>
      </c>
      <c r="H49" s="19">
        <f t="shared" si="39"/>
        <v>0.96600331674958528</v>
      </c>
      <c r="I49" s="19">
        <f t="shared" ref="I49:L49" si="40">+I47/I48</f>
        <v>0.91880341880341887</v>
      </c>
      <c r="J49" s="19">
        <f t="shared" si="40"/>
        <v>0.94245188584811224</v>
      </c>
      <c r="K49" s="19" t="e">
        <f t="shared" si="40"/>
        <v>#DIV/0!</v>
      </c>
      <c r="L49" s="19" t="e">
        <f t="shared" si="40"/>
        <v>#DIV/0!</v>
      </c>
      <c r="M49" s="19" t="e">
        <f t="shared" ref="M49:N49" si="41">+M47/M48</f>
        <v>#DIV/0!</v>
      </c>
      <c r="N49" s="19" t="e">
        <f t="shared" si="41"/>
        <v>#DIV/0!</v>
      </c>
      <c r="O49" s="19" t="e">
        <f t="shared" ref="O49" si="42">+O47/O48</f>
        <v>#DIV/0!</v>
      </c>
      <c r="P49" s="17" t="e">
        <f t="shared" si="38"/>
        <v>#DIV/0!</v>
      </c>
    </row>
    <row r="50" spans="2:16" x14ac:dyDescent="0.25">
      <c r="B50" s="13" t="s">
        <v>156</v>
      </c>
      <c r="C50" s="6">
        <v>100</v>
      </c>
      <c r="D50" s="18">
        <v>0.94</v>
      </c>
      <c r="E50" s="18">
        <v>0.94</v>
      </c>
      <c r="F50" s="18">
        <v>0.94</v>
      </c>
      <c r="G50" s="18">
        <v>0.94</v>
      </c>
      <c r="H50" s="18">
        <v>0.94</v>
      </c>
      <c r="I50" s="18">
        <v>0.94</v>
      </c>
      <c r="J50" s="18">
        <v>0.94</v>
      </c>
      <c r="K50" s="18">
        <v>0.94</v>
      </c>
      <c r="L50" s="18">
        <v>0.94</v>
      </c>
      <c r="M50" s="18">
        <v>0.94</v>
      </c>
      <c r="N50" s="18">
        <v>0.94</v>
      </c>
      <c r="O50" s="18">
        <v>0.94</v>
      </c>
      <c r="P50" s="18">
        <f t="shared" si="38"/>
        <v>0.93999999999999961</v>
      </c>
    </row>
    <row r="51" spans="2:16" x14ac:dyDescent="0.25">
      <c r="B51" s="13" t="s">
        <v>157</v>
      </c>
      <c r="C51" s="6">
        <v>100</v>
      </c>
      <c r="D51" s="18">
        <v>1</v>
      </c>
      <c r="E51" s="18">
        <v>1</v>
      </c>
      <c r="F51" s="18">
        <v>1</v>
      </c>
      <c r="G51" s="18">
        <v>1</v>
      </c>
      <c r="H51" s="18">
        <v>1</v>
      </c>
      <c r="I51" s="18">
        <v>1</v>
      </c>
      <c r="J51" s="18">
        <v>1</v>
      </c>
      <c r="K51" s="18">
        <v>1</v>
      </c>
      <c r="L51" s="18">
        <v>1</v>
      </c>
      <c r="M51" s="18">
        <v>1</v>
      </c>
      <c r="N51" s="18">
        <v>1</v>
      </c>
      <c r="O51" s="18">
        <v>1</v>
      </c>
      <c r="P51" s="18">
        <f t="shared" si="38"/>
        <v>1</v>
      </c>
    </row>
    <row r="52" spans="2:16" x14ac:dyDescent="0.25">
      <c r="B52" s="2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</row>
    <row r="53" spans="2:16" x14ac:dyDescent="0.25">
      <c r="B53" s="2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</row>
    <row r="54" spans="2:16" x14ac:dyDescent="0.25">
      <c r="D54" s="3" t="s">
        <v>164</v>
      </c>
    </row>
    <row r="56" spans="2:16" ht="30" x14ac:dyDescent="0.25">
      <c r="C56" s="11" t="s">
        <v>47</v>
      </c>
      <c r="D56" s="23" t="s">
        <v>36</v>
      </c>
      <c r="E56" s="23" t="s">
        <v>35</v>
      </c>
      <c r="F56" s="23" t="s">
        <v>37</v>
      </c>
      <c r="G56" s="23" t="s">
        <v>38</v>
      </c>
      <c r="H56" s="23" t="s">
        <v>39</v>
      </c>
      <c r="I56" s="23" t="s">
        <v>40</v>
      </c>
      <c r="J56" s="23" t="s">
        <v>41</v>
      </c>
      <c r="K56" s="23" t="s">
        <v>42</v>
      </c>
      <c r="L56" s="23" t="s">
        <v>43</v>
      </c>
      <c r="M56" s="23" t="s">
        <v>44</v>
      </c>
      <c r="N56" s="23" t="s">
        <v>45</v>
      </c>
      <c r="O56" s="23" t="s">
        <v>46</v>
      </c>
      <c r="P56" s="23" t="s">
        <v>48</v>
      </c>
    </row>
    <row r="57" spans="2:16" x14ac:dyDescent="0.25">
      <c r="B57" s="7" t="s">
        <v>112</v>
      </c>
      <c r="C57" s="14"/>
      <c r="D57" s="15">
        <f>+D114</f>
        <v>25</v>
      </c>
      <c r="E57" s="83">
        <f>+E114</f>
        <v>30</v>
      </c>
      <c r="F57" s="15">
        <f t="shared" ref="F57:L57" si="43">+F114</f>
        <v>0</v>
      </c>
      <c r="G57" s="15">
        <f t="shared" si="43"/>
        <v>20</v>
      </c>
      <c r="H57" s="15">
        <f t="shared" si="43"/>
        <v>0</v>
      </c>
      <c r="I57" s="15">
        <f t="shared" si="43"/>
        <v>0</v>
      </c>
      <c r="J57" s="15">
        <v>18</v>
      </c>
      <c r="K57" s="15">
        <f t="shared" si="43"/>
        <v>0</v>
      </c>
      <c r="L57" s="15">
        <f t="shared" si="43"/>
        <v>0</v>
      </c>
      <c r="M57" s="15">
        <v>37</v>
      </c>
      <c r="N57" s="15">
        <v>2</v>
      </c>
      <c r="O57" s="81">
        <v>0</v>
      </c>
      <c r="P57" s="15">
        <f>AVERAGE(D57:O57)</f>
        <v>11</v>
      </c>
    </row>
    <row r="58" spans="2:16" x14ac:dyDescent="0.25">
      <c r="B58" s="7" t="s">
        <v>63</v>
      </c>
      <c r="C58" s="14"/>
      <c r="D58" s="15">
        <f>+D72</f>
        <v>5217</v>
      </c>
      <c r="E58" s="15">
        <f t="shared" ref="E58:M58" si="44">+E72</f>
        <v>5285</v>
      </c>
      <c r="F58" s="15">
        <f>+F72</f>
        <v>6701</v>
      </c>
      <c r="G58" s="15">
        <f t="shared" si="44"/>
        <v>5735</v>
      </c>
      <c r="H58" s="15">
        <f t="shared" si="44"/>
        <v>5443</v>
      </c>
      <c r="I58" s="15">
        <f>+I72</f>
        <v>6324</v>
      </c>
      <c r="J58" s="15">
        <f>+J72</f>
        <v>6864</v>
      </c>
      <c r="K58" s="15">
        <f t="shared" si="44"/>
        <v>0</v>
      </c>
      <c r="L58" s="15">
        <f t="shared" si="44"/>
        <v>0</v>
      </c>
      <c r="M58" s="15">
        <f t="shared" si="44"/>
        <v>0</v>
      </c>
      <c r="N58" s="15">
        <f>+N72</f>
        <v>0</v>
      </c>
      <c r="O58" s="15">
        <f>+O72</f>
        <v>0</v>
      </c>
      <c r="P58" s="15">
        <f t="shared" ref="P58:P59" si="45">AVERAGE(D58:O58)</f>
        <v>3464.0833333333335</v>
      </c>
    </row>
    <row r="59" spans="2:16" x14ac:dyDescent="0.25">
      <c r="B59" s="10" t="s">
        <v>113</v>
      </c>
      <c r="C59" s="14"/>
      <c r="D59" s="19">
        <f>+D57/D58</f>
        <v>4.7920260686218135E-3</v>
      </c>
      <c r="E59" s="19">
        <f>+E57/E58</f>
        <v>5.6764427625354778E-3</v>
      </c>
      <c r="F59" s="19">
        <f>+F57/F58</f>
        <v>0</v>
      </c>
      <c r="G59" s="19">
        <f t="shared" ref="G59:H59" si="46">+G57/G58</f>
        <v>3.4873583260680036E-3</v>
      </c>
      <c r="H59" s="19">
        <f t="shared" si="46"/>
        <v>0</v>
      </c>
      <c r="I59" s="19">
        <f>+I57/I58</f>
        <v>0</v>
      </c>
      <c r="J59" s="19">
        <f t="shared" ref="J59:O59" si="47">+J57/J58</f>
        <v>2.6223776223776225E-3</v>
      </c>
      <c r="K59" s="19" t="e">
        <f t="shared" si="47"/>
        <v>#DIV/0!</v>
      </c>
      <c r="L59" s="19" t="e">
        <f t="shared" si="47"/>
        <v>#DIV/0!</v>
      </c>
      <c r="M59" s="19" t="e">
        <f t="shared" si="47"/>
        <v>#DIV/0!</v>
      </c>
      <c r="N59" s="80" t="e">
        <f t="shared" si="47"/>
        <v>#DIV/0!</v>
      </c>
      <c r="O59" s="80" t="e">
        <f t="shared" si="47"/>
        <v>#DIV/0!</v>
      </c>
      <c r="P59" s="17" t="e">
        <f t="shared" si="45"/>
        <v>#DIV/0!</v>
      </c>
    </row>
    <row r="60" spans="2:16" x14ac:dyDescent="0.25">
      <c r="B60" s="2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2:16" x14ac:dyDescent="0.25">
      <c r="B61" s="2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</row>
    <row r="62" spans="2:16" s="21" customFormat="1" x14ac:dyDescent="0.25"/>
    <row r="64" spans="2:16" x14ac:dyDescent="0.25">
      <c r="D64" s="3" t="s">
        <v>165</v>
      </c>
    </row>
    <row r="66" spans="2:18" ht="30" x14ac:dyDescent="0.25">
      <c r="C66" s="11" t="s">
        <v>47</v>
      </c>
      <c r="D66" s="24" t="s">
        <v>36</v>
      </c>
      <c r="E66" s="24" t="s">
        <v>35</v>
      </c>
      <c r="F66" s="24" t="s">
        <v>37</v>
      </c>
      <c r="G66" s="24" t="s">
        <v>38</v>
      </c>
      <c r="H66" s="24" t="s">
        <v>39</v>
      </c>
      <c r="I66" s="24" t="s">
        <v>40</v>
      </c>
      <c r="J66" s="24" t="s">
        <v>41</v>
      </c>
      <c r="K66" s="24" t="s">
        <v>42</v>
      </c>
      <c r="L66" s="24" t="s">
        <v>43</v>
      </c>
      <c r="M66" s="24" t="s">
        <v>44</v>
      </c>
      <c r="N66" s="24" t="s">
        <v>45</v>
      </c>
      <c r="O66" s="24" t="s">
        <v>46</v>
      </c>
      <c r="P66" s="24" t="s">
        <v>48</v>
      </c>
    </row>
    <row r="67" spans="2:18" x14ac:dyDescent="0.25">
      <c r="B67" s="7" t="s">
        <v>51</v>
      </c>
      <c r="C67" s="14"/>
      <c r="D67" s="15">
        <v>0</v>
      </c>
      <c r="E67" s="15">
        <v>0</v>
      </c>
      <c r="F67" s="15">
        <v>25</v>
      </c>
      <c r="G67" s="15">
        <v>0</v>
      </c>
      <c r="H67" s="15">
        <v>0</v>
      </c>
      <c r="I67" s="15">
        <v>0</v>
      </c>
      <c r="J67" s="14">
        <v>0</v>
      </c>
      <c r="K67" s="14"/>
      <c r="L67" s="14"/>
      <c r="M67" s="14"/>
      <c r="N67" s="14"/>
      <c r="O67" s="14"/>
      <c r="P67" s="8">
        <f t="shared" ref="P67:P72" si="48">AVERAGE(D67:O67)</f>
        <v>3.5714285714285716</v>
      </c>
      <c r="R67" s="29"/>
    </row>
    <row r="68" spans="2:18" x14ac:dyDescent="0.25">
      <c r="B68" s="7" t="s">
        <v>52</v>
      </c>
      <c r="C68" s="14"/>
      <c r="D68" s="15">
        <v>479</v>
      </c>
      <c r="E68" s="15">
        <v>424</v>
      </c>
      <c r="F68" s="15">
        <v>493</v>
      </c>
      <c r="G68" s="15">
        <v>744</v>
      </c>
      <c r="H68" s="15">
        <v>379</v>
      </c>
      <c r="I68" s="15">
        <v>568</v>
      </c>
      <c r="J68" s="14">
        <v>476</v>
      </c>
      <c r="K68" s="14"/>
      <c r="L68" s="14"/>
      <c r="M68" s="14"/>
      <c r="N68" s="14"/>
      <c r="O68" s="14"/>
      <c r="P68" s="8">
        <f t="shared" si="48"/>
        <v>509</v>
      </c>
      <c r="R68" s="29"/>
    </row>
    <row r="69" spans="2:18" x14ac:dyDescent="0.25">
      <c r="B69" s="7" t="s">
        <v>53</v>
      </c>
      <c r="C69" s="14"/>
      <c r="D69" s="15">
        <v>2774</v>
      </c>
      <c r="E69" s="15">
        <v>2893</v>
      </c>
      <c r="F69" s="15">
        <v>4243</v>
      </c>
      <c r="G69" s="15">
        <v>3587</v>
      </c>
      <c r="H69" s="15">
        <v>2967</v>
      </c>
      <c r="I69" s="15">
        <v>3950</v>
      </c>
      <c r="J69" s="14">
        <v>4392</v>
      </c>
      <c r="K69" s="14"/>
      <c r="L69" s="14"/>
      <c r="M69" s="14"/>
      <c r="N69" s="14"/>
      <c r="O69" s="14"/>
      <c r="P69" s="8">
        <f t="shared" si="48"/>
        <v>3543.7142857142858</v>
      </c>
      <c r="R69" s="29"/>
    </row>
    <row r="70" spans="2:18" x14ac:dyDescent="0.25">
      <c r="B70" s="7" t="s">
        <v>55</v>
      </c>
      <c r="C70" s="14"/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8">
        <f t="shared" si="48"/>
        <v>0</v>
      </c>
      <c r="R70" s="29"/>
    </row>
    <row r="71" spans="2:18" x14ac:dyDescent="0.25">
      <c r="B71" s="7" t="s">
        <v>56</v>
      </c>
      <c r="C71" s="14"/>
      <c r="D71" s="15">
        <v>1964</v>
      </c>
      <c r="E71" s="15">
        <v>1968</v>
      </c>
      <c r="F71" s="15">
        <v>1940</v>
      </c>
      <c r="G71" s="15">
        <v>1404</v>
      </c>
      <c r="H71" s="15">
        <v>2097</v>
      </c>
      <c r="I71" s="15">
        <v>1806</v>
      </c>
      <c r="J71" s="14">
        <v>1996</v>
      </c>
      <c r="K71" s="14"/>
      <c r="L71" s="14"/>
      <c r="M71" s="14"/>
      <c r="N71" s="14"/>
      <c r="O71" s="14"/>
      <c r="P71" s="8">
        <f t="shared" si="48"/>
        <v>1882.1428571428571</v>
      </c>
      <c r="R71" s="29"/>
    </row>
    <row r="72" spans="2:18" x14ac:dyDescent="0.25">
      <c r="B72" s="13" t="s">
        <v>61</v>
      </c>
      <c r="C72" s="6"/>
      <c r="D72" s="16">
        <f>SUM(D67:D71)</f>
        <v>5217</v>
      </c>
      <c r="E72" s="16">
        <f t="shared" ref="E72:L72" si="49">SUM(E67:E71)</f>
        <v>5285</v>
      </c>
      <c r="F72" s="16">
        <f t="shared" si="49"/>
        <v>6701</v>
      </c>
      <c r="G72" s="16">
        <f t="shared" si="49"/>
        <v>5735</v>
      </c>
      <c r="H72" s="16">
        <f t="shared" si="49"/>
        <v>5443</v>
      </c>
      <c r="I72" s="16">
        <f t="shared" si="49"/>
        <v>6324</v>
      </c>
      <c r="J72" s="16">
        <f t="shared" si="49"/>
        <v>6864</v>
      </c>
      <c r="K72" s="16">
        <f t="shared" si="49"/>
        <v>0</v>
      </c>
      <c r="L72" s="16">
        <f t="shared" si="49"/>
        <v>0</v>
      </c>
      <c r="M72" s="16">
        <f>SUM(M67:M71)</f>
        <v>0</v>
      </c>
      <c r="N72" s="16">
        <f>SUM(N67:N71)</f>
        <v>0</v>
      </c>
      <c r="O72" s="16">
        <f>SUM(O67:O71)</f>
        <v>0</v>
      </c>
      <c r="P72" s="9">
        <f t="shared" si="48"/>
        <v>3464.0833333333335</v>
      </c>
    </row>
    <row r="75" spans="2:18" x14ac:dyDescent="0.25">
      <c r="D75" s="3" t="s">
        <v>64</v>
      </c>
    </row>
    <row r="77" spans="2:18" ht="30" x14ac:dyDescent="0.25">
      <c r="C77" s="11" t="s">
        <v>47</v>
      </c>
      <c r="D77" s="24" t="s">
        <v>36</v>
      </c>
      <c r="E77" s="24" t="s">
        <v>35</v>
      </c>
      <c r="F77" s="24" t="s">
        <v>37</v>
      </c>
      <c r="G77" s="24" t="s">
        <v>38</v>
      </c>
      <c r="H77" s="24" t="s">
        <v>39</v>
      </c>
      <c r="I77" s="24" t="s">
        <v>40</v>
      </c>
      <c r="J77" s="24" t="s">
        <v>41</v>
      </c>
      <c r="K77" s="24" t="s">
        <v>42</v>
      </c>
      <c r="L77" s="24" t="s">
        <v>43</v>
      </c>
      <c r="M77" s="24" t="s">
        <v>44</v>
      </c>
      <c r="N77" s="24" t="s">
        <v>45</v>
      </c>
      <c r="O77" s="24" t="s">
        <v>46</v>
      </c>
      <c r="P77" s="24" t="s">
        <v>48</v>
      </c>
    </row>
    <row r="78" spans="2:18" x14ac:dyDescent="0.25">
      <c r="B78" s="7" t="s">
        <v>51</v>
      </c>
      <c r="C78" s="5"/>
      <c r="D78" s="8">
        <v>0</v>
      </c>
      <c r="E78" s="8">
        <v>0</v>
      </c>
      <c r="F78" s="14">
        <v>0</v>
      </c>
      <c r="G78" s="14">
        <v>0</v>
      </c>
      <c r="H78" s="14">
        <v>0</v>
      </c>
      <c r="I78" s="85"/>
      <c r="J78" s="14"/>
      <c r="K78" s="14"/>
      <c r="L78" s="14"/>
      <c r="M78" s="14"/>
      <c r="N78" s="14"/>
      <c r="O78" s="14"/>
      <c r="P78" s="8">
        <f t="shared" ref="P78:P83" si="50">AVERAGE(D78:O78)</f>
        <v>0</v>
      </c>
    </row>
    <row r="79" spans="2:18" x14ac:dyDescent="0.25">
      <c r="B79" s="7" t="s">
        <v>52</v>
      </c>
      <c r="C79" s="5"/>
      <c r="D79" s="8">
        <v>714</v>
      </c>
      <c r="E79" s="8">
        <v>235</v>
      </c>
      <c r="F79" s="8">
        <v>530</v>
      </c>
      <c r="G79" s="14">
        <v>650</v>
      </c>
      <c r="H79" s="14">
        <v>408</v>
      </c>
      <c r="I79" s="85"/>
      <c r="J79" s="14"/>
      <c r="K79" s="14"/>
      <c r="L79" s="14"/>
      <c r="M79" s="14"/>
      <c r="N79" s="14"/>
      <c r="O79" s="14"/>
      <c r="P79" s="8">
        <f t="shared" si="50"/>
        <v>507.4</v>
      </c>
    </row>
    <row r="80" spans="2:18" x14ac:dyDescent="0.25">
      <c r="B80" s="7" t="s">
        <v>53</v>
      </c>
      <c r="C80" s="5"/>
      <c r="D80" s="8">
        <v>4250</v>
      </c>
      <c r="E80" s="8">
        <v>5000</v>
      </c>
      <c r="F80" s="8">
        <v>3780</v>
      </c>
      <c r="G80" s="14">
        <v>3900</v>
      </c>
      <c r="H80" s="14">
        <v>4810</v>
      </c>
      <c r="I80" s="85"/>
      <c r="J80" s="14"/>
      <c r="K80" s="14"/>
      <c r="L80" s="14"/>
      <c r="M80" s="14"/>
      <c r="N80" s="14"/>
      <c r="O80" s="14"/>
      <c r="P80" s="8">
        <f t="shared" si="50"/>
        <v>4348</v>
      </c>
    </row>
    <row r="81" spans="2:16" x14ac:dyDescent="0.25">
      <c r="B81" s="7" t="s">
        <v>55</v>
      </c>
      <c r="C81" s="5"/>
      <c r="D81" s="8">
        <v>0</v>
      </c>
      <c r="E81" s="8">
        <v>0</v>
      </c>
      <c r="F81" s="14">
        <v>0</v>
      </c>
      <c r="G81" s="14">
        <v>0</v>
      </c>
      <c r="H81" s="14">
        <v>0</v>
      </c>
      <c r="I81" s="14">
        <v>0</v>
      </c>
      <c r="J81" s="14"/>
      <c r="K81" s="14"/>
      <c r="L81" s="14"/>
      <c r="M81" s="14"/>
      <c r="N81" s="14"/>
      <c r="O81" s="14"/>
      <c r="P81" s="8"/>
    </row>
    <row r="82" spans="2:16" x14ac:dyDescent="0.25">
      <c r="B82" s="7" t="s">
        <v>56</v>
      </c>
      <c r="C82" s="5"/>
      <c r="D82" s="8">
        <v>1355</v>
      </c>
      <c r="E82" s="8">
        <v>792</v>
      </c>
      <c r="F82" s="8">
        <v>1847</v>
      </c>
      <c r="G82" s="14">
        <v>1452</v>
      </c>
      <c r="H82" s="14">
        <v>3002</v>
      </c>
      <c r="I82" s="85"/>
      <c r="J82" s="14"/>
      <c r="K82" s="14"/>
      <c r="L82" s="14"/>
      <c r="M82" s="14"/>
      <c r="N82" s="14"/>
      <c r="O82" s="14"/>
      <c r="P82" s="8">
        <f t="shared" si="50"/>
        <v>1689.6</v>
      </c>
    </row>
    <row r="83" spans="2:16" x14ac:dyDescent="0.25">
      <c r="B83" s="13" t="s">
        <v>61</v>
      </c>
      <c r="C83" s="7"/>
      <c r="D83" s="9">
        <f>SUM(D78:D82)</f>
        <v>6319</v>
      </c>
      <c r="E83" s="9">
        <f t="shared" ref="E83:O83" si="51">SUM(E78:E82)</f>
        <v>6027</v>
      </c>
      <c r="F83" s="9">
        <f t="shared" si="51"/>
        <v>6157</v>
      </c>
      <c r="G83" s="9">
        <f t="shared" si="51"/>
        <v>6002</v>
      </c>
      <c r="H83" s="9">
        <f t="shared" si="51"/>
        <v>8220</v>
      </c>
      <c r="I83" s="9">
        <f t="shared" si="51"/>
        <v>0</v>
      </c>
      <c r="J83" s="9">
        <f t="shared" si="51"/>
        <v>0</v>
      </c>
      <c r="K83" s="9">
        <f t="shared" si="51"/>
        <v>0</v>
      </c>
      <c r="L83" s="9">
        <f t="shared" si="51"/>
        <v>0</v>
      </c>
      <c r="M83" s="9">
        <f t="shared" si="51"/>
        <v>0</v>
      </c>
      <c r="N83" s="9">
        <f t="shared" si="51"/>
        <v>0</v>
      </c>
      <c r="O83" s="9">
        <f t="shared" si="51"/>
        <v>0</v>
      </c>
      <c r="P83" s="9">
        <f t="shared" si="50"/>
        <v>2727.0833333333335</v>
      </c>
    </row>
    <row r="86" spans="2:16" x14ac:dyDescent="0.25">
      <c r="D86" s="3" t="s">
        <v>118</v>
      </c>
    </row>
    <row r="88" spans="2:16" ht="30" x14ac:dyDescent="0.25">
      <c r="C88" s="12" t="s">
        <v>47</v>
      </c>
      <c r="D88" s="24" t="s">
        <v>36</v>
      </c>
      <c r="E88" s="24" t="s">
        <v>35</v>
      </c>
      <c r="F88" s="24" t="s">
        <v>37</v>
      </c>
      <c r="G88" s="24" t="s">
        <v>38</v>
      </c>
      <c r="H88" s="24" t="s">
        <v>39</v>
      </c>
      <c r="I88" s="24" t="s">
        <v>40</v>
      </c>
      <c r="J88" s="24" t="s">
        <v>41</v>
      </c>
      <c r="K88" s="24" t="s">
        <v>42</v>
      </c>
      <c r="L88" s="24" t="s">
        <v>43</v>
      </c>
      <c r="M88" s="24" t="s">
        <v>44</v>
      </c>
      <c r="N88" s="24" t="s">
        <v>45</v>
      </c>
      <c r="O88" s="24" t="s">
        <v>46</v>
      </c>
      <c r="P88" s="24" t="s">
        <v>48</v>
      </c>
    </row>
    <row r="89" spans="2:16" x14ac:dyDescent="0.25">
      <c r="B89" s="7" t="s">
        <v>51</v>
      </c>
      <c r="C89" s="5"/>
      <c r="D89" s="8">
        <v>0</v>
      </c>
      <c r="E89" s="79">
        <v>0</v>
      </c>
      <c r="F89" s="79">
        <v>35</v>
      </c>
      <c r="G89" s="79">
        <v>0</v>
      </c>
      <c r="H89" s="79">
        <v>0</v>
      </c>
      <c r="I89" s="78">
        <v>0</v>
      </c>
      <c r="J89" s="78">
        <v>0</v>
      </c>
      <c r="K89" s="78"/>
      <c r="L89" s="78"/>
      <c r="M89" s="78"/>
      <c r="N89" s="78"/>
      <c r="O89" s="78"/>
      <c r="P89" s="8">
        <f t="shared" ref="P89:P93" si="52">AVERAGE(D89:O89)</f>
        <v>5</v>
      </c>
    </row>
    <row r="90" spans="2:16" x14ac:dyDescent="0.25">
      <c r="B90" s="7" t="s">
        <v>52</v>
      </c>
      <c r="C90" s="5"/>
      <c r="D90" s="8">
        <v>259</v>
      </c>
      <c r="E90" s="79">
        <v>310</v>
      </c>
      <c r="F90" s="79">
        <v>317</v>
      </c>
      <c r="G90" s="79">
        <v>461</v>
      </c>
      <c r="H90" s="78">
        <v>249</v>
      </c>
      <c r="I90" s="78">
        <v>450</v>
      </c>
      <c r="J90" s="78">
        <v>357</v>
      </c>
      <c r="K90" s="78"/>
      <c r="L90" s="78"/>
      <c r="M90" s="78"/>
      <c r="N90" s="78"/>
      <c r="O90" s="78"/>
      <c r="P90" s="8">
        <f t="shared" si="52"/>
        <v>343.28571428571428</v>
      </c>
    </row>
    <row r="91" spans="2:16" x14ac:dyDescent="0.25">
      <c r="B91" s="7" t="s">
        <v>53</v>
      </c>
      <c r="C91" s="5"/>
      <c r="D91" s="8">
        <v>385</v>
      </c>
      <c r="E91" s="79">
        <v>423</v>
      </c>
      <c r="F91" s="79">
        <v>540</v>
      </c>
      <c r="G91" s="79">
        <v>500</v>
      </c>
      <c r="H91" s="78">
        <v>577</v>
      </c>
      <c r="I91" s="78">
        <v>587</v>
      </c>
      <c r="J91" s="78">
        <v>534</v>
      </c>
      <c r="K91" s="78"/>
      <c r="L91" s="78"/>
      <c r="M91" s="78"/>
      <c r="N91" s="78"/>
      <c r="O91" s="78"/>
      <c r="P91" s="8">
        <f t="shared" si="52"/>
        <v>506.57142857142856</v>
      </c>
    </row>
    <row r="92" spans="2:16" x14ac:dyDescent="0.25">
      <c r="B92" s="7" t="s">
        <v>55</v>
      </c>
      <c r="C92" s="5"/>
      <c r="D92" s="8">
        <v>0</v>
      </c>
      <c r="E92" s="79">
        <v>0</v>
      </c>
      <c r="F92" s="79">
        <v>0</v>
      </c>
      <c r="G92" s="79">
        <v>0</v>
      </c>
      <c r="H92" s="78">
        <v>0</v>
      </c>
      <c r="I92" s="78">
        <v>0</v>
      </c>
      <c r="J92" s="78">
        <v>0</v>
      </c>
      <c r="K92" s="78"/>
      <c r="L92" s="78"/>
      <c r="M92" s="78"/>
      <c r="N92" s="78"/>
      <c r="O92" s="78"/>
      <c r="P92" s="8"/>
    </row>
    <row r="93" spans="2:16" x14ac:dyDescent="0.25">
      <c r="B93" s="7" t="s">
        <v>56</v>
      </c>
      <c r="C93" s="5"/>
      <c r="D93" s="8">
        <v>540</v>
      </c>
      <c r="E93" s="79">
        <v>535</v>
      </c>
      <c r="F93" s="78">
        <v>479</v>
      </c>
      <c r="G93" s="79">
        <v>486</v>
      </c>
      <c r="H93" s="78">
        <v>648</v>
      </c>
      <c r="I93" s="79">
        <v>630</v>
      </c>
      <c r="J93" s="78">
        <v>666</v>
      </c>
      <c r="K93" s="78"/>
      <c r="L93" s="78"/>
      <c r="M93" s="78"/>
      <c r="N93" s="78"/>
      <c r="O93" s="78"/>
      <c r="P93" s="8">
        <f t="shared" si="52"/>
        <v>569.14285714285711</v>
      </c>
    </row>
    <row r="96" spans="2:16" x14ac:dyDescent="0.25">
      <c r="D96" s="3" t="s">
        <v>119</v>
      </c>
    </row>
    <row r="98" spans="1:16" ht="30" x14ac:dyDescent="0.25">
      <c r="A98" s="1" t="s">
        <v>153</v>
      </c>
      <c r="C98" s="20" t="s">
        <v>47</v>
      </c>
      <c r="D98" s="24" t="s">
        <v>36</v>
      </c>
      <c r="E98" s="24" t="s">
        <v>35</v>
      </c>
      <c r="F98" s="24" t="s">
        <v>37</v>
      </c>
      <c r="G98" s="24" t="s">
        <v>38</v>
      </c>
      <c r="H98" s="24" t="s">
        <v>39</v>
      </c>
      <c r="I98" s="24" t="s">
        <v>40</v>
      </c>
      <c r="J98" s="24" t="s">
        <v>41</v>
      </c>
      <c r="K98" s="24" t="s">
        <v>42</v>
      </c>
      <c r="L98" s="24" t="s">
        <v>43</v>
      </c>
      <c r="M98" s="24" t="s">
        <v>44</v>
      </c>
      <c r="N98" s="24" t="s">
        <v>45</v>
      </c>
      <c r="O98" s="24" t="s">
        <v>46</v>
      </c>
      <c r="P98" s="24" t="s">
        <v>48</v>
      </c>
    </row>
    <row r="99" spans="1:16" x14ac:dyDescent="0.25">
      <c r="A99" s="1">
        <f>+Capacidad!G17</f>
        <v>1600</v>
      </c>
      <c r="B99" s="7" t="s">
        <v>51</v>
      </c>
      <c r="C99" s="5"/>
      <c r="D99" s="14">
        <f>+$A$99</f>
        <v>1600</v>
      </c>
      <c r="E99" s="14">
        <f>+$A$99</f>
        <v>1600</v>
      </c>
      <c r="F99" s="14">
        <f>+$A$99</f>
        <v>1600</v>
      </c>
      <c r="G99" s="14">
        <f t="shared" ref="G99:O99" si="53">+$A$99</f>
        <v>1600</v>
      </c>
      <c r="H99" s="14">
        <f t="shared" si="53"/>
        <v>1600</v>
      </c>
      <c r="I99" s="14">
        <f t="shared" si="53"/>
        <v>1600</v>
      </c>
      <c r="J99" s="14">
        <f t="shared" si="53"/>
        <v>1600</v>
      </c>
      <c r="K99" s="14">
        <f t="shared" si="53"/>
        <v>1600</v>
      </c>
      <c r="L99" s="14">
        <f t="shared" si="53"/>
        <v>1600</v>
      </c>
      <c r="M99" s="14">
        <f t="shared" si="53"/>
        <v>1600</v>
      </c>
      <c r="N99" s="14">
        <f t="shared" si="53"/>
        <v>1600</v>
      </c>
      <c r="O99" s="14">
        <f t="shared" si="53"/>
        <v>1600</v>
      </c>
      <c r="P99" s="8">
        <f t="shared" ref="P99:P102" si="54">AVERAGE(D99:O99)</f>
        <v>1600</v>
      </c>
    </row>
    <row r="100" spans="1:16" x14ac:dyDescent="0.25">
      <c r="A100" s="1">
        <f>+Capacidad!G18</f>
        <v>1500</v>
      </c>
      <c r="B100" s="7" t="s">
        <v>52</v>
      </c>
      <c r="C100" s="5"/>
      <c r="D100" s="14">
        <v>1800</v>
      </c>
      <c r="E100" s="14">
        <f>+$A$100</f>
        <v>1500</v>
      </c>
      <c r="F100" s="14">
        <v>1600</v>
      </c>
      <c r="G100" s="14">
        <f t="shared" ref="G100:O100" si="55">+$A$100</f>
        <v>1500</v>
      </c>
      <c r="H100" s="14">
        <f t="shared" si="55"/>
        <v>1500</v>
      </c>
      <c r="I100" s="14">
        <f t="shared" si="55"/>
        <v>1500</v>
      </c>
      <c r="J100" s="14">
        <f t="shared" si="55"/>
        <v>1500</v>
      </c>
      <c r="K100" s="14">
        <f t="shared" si="55"/>
        <v>1500</v>
      </c>
      <c r="L100" s="14">
        <f t="shared" si="55"/>
        <v>1500</v>
      </c>
      <c r="M100" s="14">
        <f t="shared" si="55"/>
        <v>1500</v>
      </c>
      <c r="N100" s="14">
        <f t="shared" si="55"/>
        <v>1500</v>
      </c>
      <c r="O100" s="14">
        <f t="shared" si="55"/>
        <v>1500</v>
      </c>
      <c r="P100" s="8">
        <f t="shared" si="54"/>
        <v>1533.3333333333333</v>
      </c>
    </row>
    <row r="101" spans="1:16" x14ac:dyDescent="0.25">
      <c r="A101" s="76">
        <f>+Capacidad!G19</f>
        <v>8000</v>
      </c>
      <c r="B101" s="7" t="s">
        <v>53</v>
      </c>
      <c r="C101" s="5"/>
      <c r="D101" s="8">
        <f>+$A$101</f>
        <v>8000</v>
      </c>
      <c r="E101" s="8">
        <f t="shared" ref="E101:O101" si="56">+$A$101</f>
        <v>8000</v>
      </c>
      <c r="F101" s="8">
        <f t="shared" si="56"/>
        <v>8000</v>
      </c>
      <c r="G101" s="8">
        <f t="shared" si="56"/>
        <v>8000</v>
      </c>
      <c r="H101" s="8">
        <f t="shared" si="56"/>
        <v>8000</v>
      </c>
      <c r="I101" s="8">
        <f t="shared" si="56"/>
        <v>8000</v>
      </c>
      <c r="J101" s="8">
        <v>7000</v>
      </c>
      <c r="K101" s="8">
        <f t="shared" si="56"/>
        <v>8000</v>
      </c>
      <c r="L101" s="8">
        <f t="shared" si="56"/>
        <v>8000</v>
      </c>
      <c r="M101" s="8">
        <f t="shared" si="56"/>
        <v>8000</v>
      </c>
      <c r="N101" s="8">
        <f t="shared" si="56"/>
        <v>8000</v>
      </c>
      <c r="O101" s="8">
        <f t="shared" si="56"/>
        <v>8000</v>
      </c>
      <c r="P101" s="8">
        <f t="shared" si="54"/>
        <v>7916.666666666667</v>
      </c>
    </row>
    <row r="102" spans="1:16" x14ac:dyDescent="0.25">
      <c r="B102" s="7" t="s">
        <v>55</v>
      </c>
      <c r="C102" s="5"/>
      <c r="D102" s="14">
        <f>+$A$102</f>
        <v>0</v>
      </c>
      <c r="E102" s="14">
        <f>+$A$102</f>
        <v>0</v>
      </c>
      <c r="F102" s="14">
        <f>+$A$102</f>
        <v>0</v>
      </c>
      <c r="G102" s="14">
        <f t="shared" ref="G102:L102" si="57">+$A$102</f>
        <v>0</v>
      </c>
      <c r="H102" s="14">
        <f t="shared" si="57"/>
        <v>0</v>
      </c>
      <c r="I102" s="14">
        <f t="shared" si="57"/>
        <v>0</v>
      </c>
      <c r="J102" s="14">
        <f t="shared" si="57"/>
        <v>0</v>
      </c>
      <c r="K102" s="14">
        <f t="shared" si="57"/>
        <v>0</v>
      </c>
      <c r="L102" s="14">
        <f t="shared" si="57"/>
        <v>0</v>
      </c>
      <c r="M102" s="78">
        <v>0</v>
      </c>
      <c r="N102" s="78">
        <v>0</v>
      </c>
      <c r="O102" s="78">
        <v>0</v>
      </c>
      <c r="P102" s="8">
        <f t="shared" si="54"/>
        <v>0</v>
      </c>
    </row>
    <row r="103" spans="1:16" x14ac:dyDescent="0.25">
      <c r="A103" s="76">
        <f>+Capacidad!G22</f>
        <v>4639.3333333333339</v>
      </c>
      <c r="B103" s="7" t="s">
        <v>56</v>
      </c>
      <c r="C103" s="5"/>
      <c r="D103" s="8">
        <f>+$A$103</f>
        <v>4639.3333333333339</v>
      </c>
      <c r="E103" s="8">
        <f t="shared" ref="E103:O103" si="58">+$A$103</f>
        <v>4639.3333333333339</v>
      </c>
      <c r="F103" s="8">
        <f t="shared" si="58"/>
        <v>4639.3333333333339</v>
      </c>
      <c r="G103" s="8">
        <v>3220</v>
      </c>
      <c r="H103" s="8">
        <v>3350</v>
      </c>
      <c r="I103" s="8">
        <v>3120</v>
      </c>
      <c r="J103" s="8">
        <v>3180</v>
      </c>
      <c r="K103" s="8">
        <f t="shared" si="58"/>
        <v>4639.3333333333339</v>
      </c>
      <c r="L103" s="8">
        <f t="shared" si="58"/>
        <v>4639.3333333333339</v>
      </c>
      <c r="M103" s="8">
        <f t="shared" si="58"/>
        <v>4639.3333333333339</v>
      </c>
      <c r="N103" s="8">
        <f t="shared" si="58"/>
        <v>4639.3333333333339</v>
      </c>
      <c r="O103" s="8">
        <f t="shared" si="58"/>
        <v>4639.3333333333339</v>
      </c>
      <c r="P103" s="8">
        <f>AVERAGE(D103:O103)</f>
        <v>4165.3888888888896</v>
      </c>
    </row>
    <row r="106" spans="1:16" x14ac:dyDescent="0.25">
      <c r="D106" s="3" t="s">
        <v>65</v>
      </c>
    </row>
    <row r="108" spans="1:16" ht="30" x14ac:dyDescent="0.25">
      <c r="C108" s="11" t="s">
        <v>47</v>
      </c>
      <c r="D108" s="24" t="s">
        <v>36</v>
      </c>
      <c r="E108" s="24" t="s">
        <v>35</v>
      </c>
      <c r="F108" s="24" t="s">
        <v>37</v>
      </c>
      <c r="G108" s="24" t="s">
        <v>38</v>
      </c>
      <c r="H108" s="24" t="s">
        <v>39</v>
      </c>
      <c r="I108" s="24" t="s">
        <v>40</v>
      </c>
      <c r="J108" s="24" t="s">
        <v>41</v>
      </c>
      <c r="K108" s="24" t="s">
        <v>42</v>
      </c>
      <c r="L108" s="24" t="s">
        <v>43</v>
      </c>
      <c r="M108" s="24" t="s">
        <v>44</v>
      </c>
      <c r="N108" s="24" t="s">
        <v>45</v>
      </c>
      <c r="O108" s="24" t="s">
        <v>46</v>
      </c>
      <c r="P108" s="24" t="s">
        <v>48</v>
      </c>
    </row>
    <row r="109" spans="1:16" x14ac:dyDescent="0.25">
      <c r="B109" s="7" t="s">
        <v>51</v>
      </c>
      <c r="C109" s="5"/>
      <c r="D109" s="77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/>
      <c r="K109" s="8"/>
      <c r="L109" s="8"/>
      <c r="M109" s="8"/>
      <c r="N109" s="8"/>
      <c r="O109" s="8"/>
      <c r="P109" s="8">
        <f t="shared" ref="P109:P114" si="59">AVERAGE(D109:O109)</f>
        <v>0</v>
      </c>
    </row>
    <row r="110" spans="1:16" x14ac:dyDescent="0.25">
      <c r="B110" s="7" t="s">
        <v>52</v>
      </c>
      <c r="C110" s="5"/>
      <c r="D110" s="77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/>
      <c r="K110" s="8"/>
      <c r="L110" s="8"/>
      <c r="M110" s="8"/>
      <c r="N110" s="8"/>
      <c r="O110" s="8"/>
      <c r="P110" s="8">
        <f t="shared" si="59"/>
        <v>0</v>
      </c>
    </row>
    <row r="111" spans="1:16" x14ac:dyDescent="0.25">
      <c r="B111" s="7" t="s">
        <v>53</v>
      </c>
      <c r="C111" s="5"/>
      <c r="D111" s="77">
        <v>25</v>
      </c>
      <c r="E111" s="84">
        <v>30</v>
      </c>
      <c r="F111" s="8">
        <v>0</v>
      </c>
      <c r="G111" s="8">
        <v>20</v>
      </c>
      <c r="H111" s="8">
        <v>0</v>
      </c>
      <c r="I111" s="8">
        <v>0</v>
      </c>
      <c r="J111" s="8"/>
      <c r="K111" s="8"/>
      <c r="L111" s="8"/>
      <c r="M111" s="8"/>
      <c r="N111" s="8"/>
      <c r="O111" s="8"/>
      <c r="P111" s="8">
        <f t="shared" si="59"/>
        <v>12.5</v>
      </c>
    </row>
    <row r="112" spans="1:16" x14ac:dyDescent="0.25">
      <c r="B112" s="7" t="s">
        <v>55</v>
      </c>
      <c r="C112" s="5"/>
      <c r="D112" s="77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/>
      <c r="K112" s="8"/>
      <c r="L112" s="8"/>
      <c r="M112" s="8"/>
      <c r="N112" s="8"/>
      <c r="O112" s="8"/>
      <c r="P112" s="8">
        <f t="shared" si="59"/>
        <v>0</v>
      </c>
    </row>
    <row r="113" spans="2:16" x14ac:dyDescent="0.25">
      <c r="B113" s="7" t="s">
        <v>56</v>
      </c>
      <c r="C113" s="5"/>
      <c r="D113" s="77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/>
      <c r="K113" s="8"/>
      <c r="L113" s="8"/>
      <c r="M113" s="8"/>
      <c r="N113" s="8"/>
      <c r="O113" s="8"/>
      <c r="P113" s="8">
        <f t="shared" si="59"/>
        <v>0</v>
      </c>
    </row>
    <row r="114" spans="2:16" x14ac:dyDescent="0.25">
      <c r="B114" s="13" t="s">
        <v>61</v>
      </c>
      <c r="C114" s="7"/>
      <c r="D114" s="9">
        <f>SUM(D109:D113)</f>
        <v>25</v>
      </c>
      <c r="E114" s="9">
        <f>SUM(E109:E113)</f>
        <v>30</v>
      </c>
      <c r="F114" s="9">
        <f>SUM(F109:F113)</f>
        <v>0</v>
      </c>
      <c r="G114" s="9">
        <f t="shared" ref="G114:M114" si="60">SUM(G109:G113)</f>
        <v>20</v>
      </c>
      <c r="H114" s="9">
        <f t="shared" si="60"/>
        <v>0</v>
      </c>
      <c r="I114" s="9">
        <f t="shared" si="60"/>
        <v>0</v>
      </c>
      <c r="J114" s="9">
        <f t="shared" si="60"/>
        <v>0</v>
      </c>
      <c r="K114" s="9">
        <f t="shared" si="60"/>
        <v>0</v>
      </c>
      <c r="L114" s="9">
        <f t="shared" si="60"/>
        <v>0</v>
      </c>
      <c r="M114" s="9">
        <f t="shared" si="60"/>
        <v>0</v>
      </c>
      <c r="N114" s="9">
        <v>0</v>
      </c>
      <c r="O114" s="9">
        <v>0</v>
      </c>
      <c r="P114" s="8">
        <f t="shared" si="59"/>
        <v>6.25</v>
      </c>
    </row>
    <row r="117" spans="2:16" hidden="1" x14ac:dyDescent="0.25">
      <c r="D117" s="3" t="s">
        <v>66</v>
      </c>
    </row>
    <row r="118" spans="2:16" hidden="1" x14ac:dyDescent="0.25"/>
    <row r="119" spans="2:16" ht="30" hidden="1" x14ac:dyDescent="0.25">
      <c r="C119" s="11" t="s">
        <v>47</v>
      </c>
      <c r="D119" s="24" t="s">
        <v>36</v>
      </c>
      <c r="E119" s="24" t="s">
        <v>35</v>
      </c>
      <c r="F119" s="24" t="s">
        <v>37</v>
      </c>
      <c r="G119" s="24" t="s">
        <v>38</v>
      </c>
      <c r="H119" s="24" t="s">
        <v>39</v>
      </c>
      <c r="I119" s="24" t="s">
        <v>40</v>
      </c>
      <c r="J119" s="24" t="s">
        <v>41</v>
      </c>
      <c r="K119" s="24" t="s">
        <v>42</v>
      </c>
      <c r="L119" s="24" t="s">
        <v>43</v>
      </c>
      <c r="M119" s="24" t="s">
        <v>44</v>
      </c>
      <c r="N119" s="24" t="s">
        <v>45</v>
      </c>
      <c r="O119" s="24" t="s">
        <v>46</v>
      </c>
      <c r="P119" s="24" t="s">
        <v>48</v>
      </c>
    </row>
    <row r="120" spans="2:16" hidden="1" x14ac:dyDescent="0.25">
      <c r="B120" s="7" t="s">
        <v>51</v>
      </c>
      <c r="C120" s="5"/>
      <c r="D120" s="8">
        <f t="shared" ref="D120:L120" si="61">+D67-D109</f>
        <v>0</v>
      </c>
      <c r="E120" s="8">
        <f t="shared" si="61"/>
        <v>0</v>
      </c>
      <c r="F120" s="8">
        <f t="shared" si="61"/>
        <v>25</v>
      </c>
      <c r="G120" s="8">
        <f t="shared" si="61"/>
        <v>0</v>
      </c>
      <c r="H120" s="8">
        <f t="shared" si="61"/>
        <v>0</v>
      </c>
      <c r="I120" s="8">
        <f t="shared" si="61"/>
        <v>0</v>
      </c>
      <c r="J120" s="8">
        <f t="shared" si="61"/>
        <v>0</v>
      </c>
      <c r="K120" s="8">
        <f t="shared" si="61"/>
        <v>0</v>
      </c>
      <c r="L120" s="8">
        <f t="shared" si="61"/>
        <v>0</v>
      </c>
      <c r="M120" s="5"/>
      <c r="N120" s="5"/>
      <c r="O120" s="5"/>
      <c r="P120" s="8">
        <f t="shared" ref="P120:P125" si="62">AVERAGE(D120:O120)</f>
        <v>2.7777777777777777</v>
      </c>
    </row>
    <row r="121" spans="2:16" hidden="1" x14ac:dyDescent="0.25">
      <c r="B121" s="7" t="s">
        <v>52</v>
      </c>
      <c r="C121" s="5"/>
      <c r="D121" s="8">
        <f t="shared" ref="D121:L121" si="63">+D68-D110</f>
        <v>479</v>
      </c>
      <c r="E121" s="8">
        <f t="shared" si="63"/>
        <v>424</v>
      </c>
      <c r="F121" s="8">
        <f t="shared" si="63"/>
        <v>493</v>
      </c>
      <c r="G121" s="8">
        <f t="shared" si="63"/>
        <v>744</v>
      </c>
      <c r="H121" s="8">
        <f t="shared" si="63"/>
        <v>379</v>
      </c>
      <c r="I121" s="8">
        <f t="shared" si="63"/>
        <v>568</v>
      </c>
      <c r="J121" s="8">
        <f t="shared" si="63"/>
        <v>476</v>
      </c>
      <c r="K121" s="8">
        <f t="shared" si="63"/>
        <v>0</v>
      </c>
      <c r="L121" s="8">
        <f t="shared" si="63"/>
        <v>0</v>
      </c>
      <c r="M121" s="5"/>
      <c r="N121" s="5"/>
      <c r="O121" s="5"/>
      <c r="P121" s="8">
        <f t="shared" si="62"/>
        <v>395.88888888888891</v>
      </c>
    </row>
    <row r="122" spans="2:16" hidden="1" x14ac:dyDescent="0.25">
      <c r="B122" s="7" t="s">
        <v>53</v>
      </c>
      <c r="C122" s="5"/>
      <c r="D122" s="8">
        <f t="shared" ref="D122:L122" si="64">+D69-D111</f>
        <v>2749</v>
      </c>
      <c r="E122" s="8">
        <f t="shared" si="64"/>
        <v>2863</v>
      </c>
      <c r="F122" s="8">
        <f t="shared" si="64"/>
        <v>4243</v>
      </c>
      <c r="G122" s="8">
        <f t="shared" si="64"/>
        <v>3567</v>
      </c>
      <c r="H122" s="8">
        <f t="shared" si="64"/>
        <v>2967</v>
      </c>
      <c r="I122" s="8">
        <f t="shared" si="64"/>
        <v>3950</v>
      </c>
      <c r="J122" s="8">
        <f t="shared" si="64"/>
        <v>4392</v>
      </c>
      <c r="K122" s="8">
        <f t="shared" si="64"/>
        <v>0</v>
      </c>
      <c r="L122" s="8">
        <f t="shared" si="64"/>
        <v>0</v>
      </c>
      <c r="M122" s="5"/>
      <c r="N122" s="5"/>
      <c r="O122" s="5"/>
      <c r="P122" s="8">
        <f t="shared" si="62"/>
        <v>2747.8888888888887</v>
      </c>
    </row>
    <row r="123" spans="2:16" hidden="1" x14ac:dyDescent="0.25">
      <c r="B123" s="7" t="s">
        <v>55</v>
      </c>
      <c r="C123" s="5"/>
      <c r="D123" s="8">
        <f t="shared" ref="D123:L123" si="65">+D70-D112</f>
        <v>0</v>
      </c>
      <c r="E123" s="8">
        <f t="shared" si="65"/>
        <v>0</v>
      </c>
      <c r="F123" s="8">
        <f t="shared" si="65"/>
        <v>0</v>
      </c>
      <c r="G123" s="8">
        <f t="shared" si="65"/>
        <v>0</v>
      </c>
      <c r="H123" s="8">
        <f t="shared" si="65"/>
        <v>0</v>
      </c>
      <c r="I123" s="8">
        <f t="shared" si="65"/>
        <v>0</v>
      </c>
      <c r="J123" s="8">
        <f t="shared" si="65"/>
        <v>0</v>
      </c>
      <c r="K123" s="8">
        <f t="shared" si="65"/>
        <v>0</v>
      </c>
      <c r="L123" s="8">
        <f t="shared" si="65"/>
        <v>0</v>
      </c>
      <c r="M123" s="5"/>
      <c r="N123" s="5"/>
      <c r="O123" s="5"/>
      <c r="P123" s="8">
        <f t="shared" si="62"/>
        <v>0</v>
      </c>
    </row>
    <row r="124" spans="2:16" hidden="1" x14ac:dyDescent="0.25">
      <c r="B124" s="7" t="s">
        <v>56</v>
      </c>
      <c r="C124" s="5"/>
      <c r="D124" s="8">
        <f t="shared" ref="D124:L124" si="66">+D71-D113</f>
        <v>1964</v>
      </c>
      <c r="E124" s="8">
        <f t="shared" si="66"/>
        <v>1968</v>
      </c>
      <c r="F124" s="8">
        <f t="shared" si="66"/>
        <v>1940</v>
      </c>
      <c r="G124" s="8">
        <f t="shared" si="66"/>
        <v>1404</v>
      </c>
      <c r="H124" s="8">
        <f t="shared" si="66"/>
        <v>2097</v>
      </c>
      <c r="I124" s="8">
        <f t="shared" si="66"/>
        <v>1806</v>
      </c>
      <c r="J124" s="8">
        <f t="shared" si="66"/>
        <v>1996</v>
      </c>
      <c r="K124" s="8">
        <f t="shared" si="66"/>
        <v>0</v>
      </c>
      <c r="L124" s="8">
        <f t="shared" si="66"/>
        <v>0</v>
      </c>
      <c r="M124" s="5"/>
      <c r="N124" s="5"/>
      <c r="O124" s="5"/>
      <c r="P124" s="8">
        <f t="shared" si="62"/>
        <v>1463.8888888888889</v>
      </c>
    </row>
    <row r="125" spans="2:16" hidden="1" x14ac:dyDescent="0.25">
      <c r="B125" s="13" t="s">
        <v>61</v>
      </c>
      <c r="C125" s="7"/>
      <c r="D125" s="9">
        <f>SUM(D120:D124)</f>
        <v>5192</v>
      </c>
      <c r="E125" s="9">
        <f>SUM(E120:E124)</f>
        <v>5255</v>
      </c>
      <c r="F125" s="9">
        <f>SUM(F120:F124)</f>
        <v>6701</v>
      </c>
      <c r="G125" s="9">
        <f t="shared" ref="G125:H125" si="67">SUM(G120:G124)</f>
        <v>5715</v>
      </c>
      <c r="H125" s="9">
        <f t="shared" si="67"/>
        <v>5443</v>
      </c>
      <c r="I125" s="9">
        <f t="shared" ref="I125:L125" si="68">SUM(I120:I124)</f>
        <v>6324</v>
      </c>
      <c r="J125" s="9">
        <f t="shared" si="68"/>
        <v>6864</v>
      </c>
      <c r="K125" s="9">
        <f t="shared" si="68"/>
        <v>0</v>
      </c>
      <c r="L125" s="9">
        <f t="shared" si="68"/>
        <v>0</v>
      </c>
      <c r="M125" s="7"/>
      <c r="N125" s="7"/>
      <c r="O125" s="7"/>
      <c r="P125" s="8">
        <f t="shared" si="62"/>
        <v>4610.4444444444443</v>
      </c>
    </row>
    <row r="126" spans="2:16" hidden="1" x14ac:dyDescent="0.25"/>
    <row r="127" spans="2:16" hidden="1" x14ac:dyDescent="0.25"/>
  </sheetData>
  <mergeCells count="1">
    <mergeCell ref="B2:P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193"/>
  <sheetViews>
    <sheetView zoomScale="80" zoomScaleNormal="80" workbookViewId="0">
      <selection activeCell="D80" sqref="D80"/>
    </sheetView>
  </sheetViews>
  <sheetFormatPr baseColWidth="10" defaultRowHeight="15" x14ac:dyDescent="0.25"/>
  <cols>
    <col min="1" max="1" width="11.42578125" style="1"/>
    <col min="2" max="2" width="32.140625" style="1" customWidth="1"/>
    <col min="3" max="3" width="0" style="1" hidden="1" customWidth="1"/>
    <col min="4" max="16384" width="11.42578125" style="1"/>
  </cols>
  <sheetData>
    <row r="2" spans="2:16" x14ac:dyDescent="0.25">
      <c r="D2" s="3" t="s">
        <v>71</v>
      </c>
    </row>
    <row r="5" spans="2:16" ht="30" x14ac:dyDescent="0.25">
      <c r="C5" s="4" t="s">
        <v>47</v>
      </c>
      <c r="D5" s="4" t="s">
        <v>36</v>
      </c>
      <c r="E5" s="4" t="s">
        <v>35</v>
      </c>
      <c r="F5" s="4" t="s">
        <v>37</v>
      </c>
      <c r="G5" s="4" t="s">
        <v>38</v>
      </c>
      <c r="H5" s="4" t="s">
        <v>39</v>
      </c>
      <c r="I5" s="4" t="s">
        <v>40</v>
      </c>
      <c r="J5" s="4" t="s">
        <v>41</v>
      </c>
      <c r="K5" s="4" t="s">
        <v>42</v>
      </c>
      <c r="L5" s="4" t="s">
        <v>43</v>
      </c>
      <c r="M5" s="4" t="s">
        <v>44</v>
      </c>
      <c r="N5" s="4" t="s">
        <v>45</v>
      </c>
      <c r="O5" s="4" t="s">
        <v>46</v>
      </c>
      <c r="P5" s="4" t="s">
        <v>48</v>
      </c>
    </row>
    <row r="6" spans="2:16" x14ac:dyDescent="0.25">
      <c r="B6" s="7" t="s">
        <v>72</v>
      </c>
      <c r="C6" s="14"/>
      <c r="D6" s="15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2:16" x14ac:dyDescent="0.25">
      <c r="B7" s="7" t="s">
        <v>49</v>
      </c>
      <c r="C7" s="14"/>
      <c r="D7" s="1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2:16" x14ac:dyDescent="0.25">
      <c r="B8" s="10" t="s">
        <v>73</v>
      </c>
      <c r="C8" s="14"/>
      <c r="D8" s="19">
        <f>+IF(D7=0,0,D6/D7)</f>
        <v>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2:16" x14ac:dyDescent="0.25">
      <c r="B9" s="13" t="s">
        <v>2</v>
      </c>
      <c r="C9" s="6"/>
      <c r="D9" s="18">
        <v>0.95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6"/>
    </row>
    <row r="12" spans="2:16" x14ac:dyDescent="0.25">
      <c r="D12" s="3" t="s">
        <v>74</v>
      </c>
    </row>
    <row r="14" spans="2:16" ht="30" x14ac:dyDescent="0.25">
      <c r="C14" s="4" t="s">
        <v>47</v>
      </c>
      <c r="D14" s="4" t="s">
        <v>36</v>
      </c>
      <c r="E14" s="4" t="s">
        <v>35</v>
      </c>
      <c r="F14" s="4" t="s">
        <v>37</v>
      </c>
      <c r="G14" s="4" t="s">
        <v>38</v>
      </c>
      <c r="H14" s="4" t="s">
        <v>39</v>
      </c>
      <c r="I14" s="4" t="s">
        <v>40</v>
      </c>
      <c r="J14" s="4" t="s">
        <v>41</v>
      </c>
      <c r="K14" s="4" t="s">
        <v>42</v>
      </c>
      <c r="L14" s="4" t="s">
        <v>43</v>
      </c>
      <c r="M14" s="4" t="s">
        <v>44</v>
      </c>
      <c r="N14" s="4" t="s">
        <v>45</v>
      </c>
      <c r="O14" s="4" t="s">
        <v>46</v>
      </c>
      <c r="P14" s="4" t="s">
        <v>48</v>
      </c>
    </row>
    <row r="15" spans="2:16" x14ac:dyDescent="0.25">
      <c r="B15" s="7" t="s">
        <v>72</v>
      </c>
      <c r="C15" s="14"/>
      <c r="D15" s="15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2:16" x14ac:dyDescent="0.25">
      <c r="B16" s="7" t="s">
        <v>49</v>
      </c>
      <c r="C16" s="14"/>
      <c r="D16" s="15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2:16" x14ac:dyDescent="0.25">
      <c r="B17" s="10" t="s">
        <v>75</v>
      </c>
      <c r="C17" s="14"/>
      <c r="D17" s="19">
        <f>+IF(D16=0,0,D15/D16)</f>
        <v>0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2:16" x14ac:dyDescent="0.25">
      <c r="B18" s="13" t="s">
        <v>2</v>
      </c>
      <c r="C18" s="6"/>
      <c r="D18" s="18">
        <v>0.95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6"/>
    </row>
    <row r="21" spans="2:16" x14ac:dyDescent="0.25">
      <c r="D21" s="3" t="s">
        <v>76</v>
      </c>
    </row>
    <row r="23" spans="2:16" ht="30" x14ac:dyDescent="0.25">
      <c r="C23" s="4" t="s">
        <v>47</v>
      </c>
      <c r="D23" s="4" t="s">
        <v>36</v>
      </c>
      <c r="E23" s="4" t="s">
        <v>35</v>
      </c>
      <c r="F23" s="4" t="s">
        <v>37</v>
      </c>
      <c r="G23" s="4" t="s">
        <v>38</v>
      </c>
      <c r="H23" s="4" t="s">
        <v>39</v>
      </c>
      <c r="I23" s="4" t="s">
        <v>40</v>
      </c>
      <c r="J23" s="4" t="s">
        <v>41</v>
      </c>
      <c r="K23" s="4" t="s">
        <v>42</v>
      </c>
      <c r="L23" s="4" t="s">
        <v>43</v>
      </c>
      <c r="M23" s="4" t="s">
        <v>44</v>
      </c>
      <c r="N23" s="4" t="s">
        <v>45</v>
      </c>
      <c r="O23" s="4" t="s">
        <v>46</v>
      </c>
      <c r="P23" s="4" t="s">
        <v>48</v>
      </c>
    </row>
    <row r="24" spans="2:16" x14ac:dyDescent="0.25">
      <c r="B24" s="7" t="s">
        <v>72</v>
      </c>
      <c r="C24" s="14"/>
      <c r="D24" s="15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2:16" x14ac:dyDescent="0.25">
      <c r="B25" s="7" t="s">
        <v>49</v>
      </c>
      <c r="C25" s="14"/>
      <c r="D25" s="15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2:16" x14ac:dyDescent="0.25">
      <c r="B26" s="10" t="s">
        <v>77</v>
      </c>
      <c r="C26" s="14"/>
      <c r="D26" s="19">
        <f>+IF(D25=0,0,D24/D25)</f>
        <v>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2:16" x14ac:dyDescent="0.25">
      <c r="B27" s="13" t="s">
        <v>2</v>
      </c>
      <c r="C27" s="6"/>
      <c r="D27" s="18">
        <v>0.95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6"/>
    </row>
    <row r="30" spans="2:16" x14ac:dyDescent="0.25">
      <c r="D30" s="3" t="s">
        <v>78</v>
      </c>
    </row>
    <row r="33" spans="2:16" ht="30" x14ac:dyDescent="0.25">
      <c r="C33" s="4" t="s">
        <v>47</v>
      </c>
      <c r="D33" s="4" t="s">
        <v>36</v>
      </c>
      <c r="E33" s="4" t="s">
        <v>35</v>
      </c>
      <c r="F33" s="4" t="s">
        <v>37</v>
      </c>
      <c r="G33" s="4" t="s">
        <v>38</v>
      </c>
      <c r="H33" s="4" t="s">
        <v>39</v>
      </c>
      <c r="I33" s="4" t="s">
        <v>40</v>
      </c>
      <c r="J33" s="4" t="s">
        <v>41</v>
      </c>
      <c r="K33" s="4" t="s">
        <v>42</v>
      </c>
      <c r="L33" s="4" t="s">
        <v>43</v>
      </c>
      <c r="M33" s="4" t="s">
        <v>44</v>
      </c>
      <c r="N33" s="4" t="s">
        <v>45</v>
      </c>
      <c r="O33" s="4" t="s">
        <v>46</v>
      </c>
      <c r="P33" s="4" t="s">
        <v>48</v>
      </c>
    </row>
    <row r="34" spans="2:16" x14ac:dyDescent="0.25">
      <c r="B34" s="7" t="s">
        <v>79</v>
      </c>
      <c r="C34" s="14"/>
      <c r="D34" s="15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</row>
    <row r="35" spans="2:16" x14ac:dyDescent="0.25">
      <c r="B35" s="7" t="s">
        <v>72</v>
      </c>
      <c r="C35" s="14"/>
      <c r="D35" s="15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2:16" x14ac:dyDescent="0.25">
      <c r="B36" s="10" t="s">
        <v>80</v>
      </c>
      <c r="C36" s="14"/>
      <c r="D36" s="19">
        <f>+IF(D35=0,0,D34/D35)</f>
        <v>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spans="2:16" x14ac:dyDescent="0.25">
      <c r="B37" s="13" t="s">
        <v>2</v>
      </c>
      <c r="C37" s="6"/>
      <c r="D37" s="18">
        <v>0.95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6"/>
    </row>
    <row r="40" spans="2:16" x14ac:dyDescent="0.25">
      <c r="D40" s="3" t="s">
        <v>83</v>
      </c>
    </row>
    <row r="42" spans="2:16" ht="30" x14ac:dyDescent="0.25">
      <c r="C42" s="4" t="s">
        <v>47</v>
      </c>
      <c r="D42" s="4" t="s">
        <v>36</v>
      </c>
      <c r="E42" s="4" t="s">
        <v>35</v>
      </c>
      <c r="F42" s="4" t="s">
        <v>37</v>
      </c>
      <c r="G42" s="4" t="s">
        <v>38</v>
      </c>
      <c r="H42" s="4" t="s">
        <v>39</v>
      </c>
      <c r="I42" s="4" t="s">
        <v>40</v>
      </c>
      <c r="J42" s="4" t="s">
        <v>41</v>
      </c>
      <c r="K42" s="4" t="s">
        <v>42</v>
      </c>
      <c r="L42" s="4" t="s">
        <v>43</v>
      </c>
      <c r="M42" s="4" t="s">
        <v>44</v>
      </c>
      <c r="N42" s="4" t="s">
        <v>45</v>
      </c>
      <c r="O42" s="4" t="s">
        <v>46</v>
      </c>
      <c r="P42" s="4" t="s">
        <v>48</v>
      </c>
    </row>
    <row r="43" spans="2:16" x14ac:dyDescent="0.25">
      <c r="B43" s="7" t="s">
        <v>79</v>
      </c>
      <c r="C43" s="14"/>
      <c r="D43" s="15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2:16" x14ac:dyDescent="0.25">
      <c r="B44" s="7" t="s">
        <v>81</v>
      </c>
      <c r="C44" s="14"/>
      <c r="D44" s="15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</row>
    <row r="45" spans="2:16" x14ac:dyDescent="0.25">
      <c r="B45" s="10" t="s">
        <v>82</v>
      </c>
      <c r="C45" s="14"/>
      <c r="D45" s="19">
        <f>+IF(D44=0,0,D43/D44)</f>
        <v>0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 spans="2:16" x14ac:dyDescent="0.25">
      <c r="B46" s="13" t="s">
        <v>2</v>
      </c>
      <c r="C46" s="6"/>
      <c r="D46" s="18">
        <v>0.95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6"/>
    </row>
    <row r="49" spans="2:16" x14ac:dyDescent="0.25">
      <c r="D49" s="3" t="s">
        <v>76</v>
      </c>
    </row>
    <row r="51" spans="2:16" ht="30" x14ac:dyDescent="0.25">
      <c r="C51" s="4" t="s">
        <v>47</v>
      </c>
      <c r="D51" s="4" t="s">
        <v>36</v>
      </c>
      <c r="E51" s="4" t="s">
        <v>35</v>
      </c>
      <c r="F51" s="4" t="s">
        <v>37</v>
      </c>
      <c r="G51" s="4" t="s">
        <v>38</v>
      </c>
      <c r="H51" s="4" t="s">
        <v>39</v>
      </c>
      <c r="I51" s="4" t="s">
        <v>40</v>
      </c>
      <c r="J51" s="4" t="s">
        <v>41</v>
      </c>
      <c r="K51" s="4" t="s">
        <v>42</v>
      </c>
      <c r="L51" s="4" t="s">
        <v>43</v>
      </c>
      <c r="M51" s="4" t="s">
        <v>44</v>
      </c>
      <c r="N51" s="4" t="s">
        <v>45</v>
      </c>
      <c r="O51" s="4" t="s">
        <v>46</v>
      </c>
      <c r="P51" s="4" t="s">
        <v>48</v>
      </c>
    </row>
    <row r="52" spans="2:16" x14ac:dyDescent="0.25">
      <c r="B52" s="7" t="s">
        <v>79</v>
      </c>
      <c r="C52" s="14"/>
      <c r="D52" s="15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</row>
    <row r="53" spans="2:16" x14ac:dyDescent="0.25">
      <c r="B53" s="7" t="s">
        <v>84</v>
      </c>
      <c r="C53" s="14"/>
      <c r="D53" s="15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 spans="2:16" x14ac:dyDescent="0.25">
      <c r="B54" s="10" t="s">
        <v>85</v>
      </c>
      <c r="C54" s="14"/>
      <c r="D54" s="19">
        <f>+IF(D53=0,0,D52/D53)</f>
        <v>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 spans="2:16" x14ac:dyDescent="0.25">
      <c r="B55" s="13" t="s">
        <v>2</v>
      </c>
      <c r="C55" s="6"/>
      <c r="D55" s="18">
        <v>0.95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6"/>
    </row>
    <row r="58" spans="2:16" x14ac:dyDescent="0.25">
      <c r="D58" s="3" t="s">
        <v>17</v>
      </c>
    </row>
    <row r="60" spans="2:16" ht="30" x14ac:dyDescent="0.25">
      <c r="C60" s="4" t="s">
        <v>47</v>
      </c>
      <c r="D60" s="4" t="s">
        <v>36</v>
      </c>
      <c r="E60" s="4" t="s">
        <v>35</v>
      </c>
      <c r="F60" s="4" t="s">
        <v>37</v>
      </c>
      <c r="G60" s="4" t="s">
        <v>38</v>
      </c>
      <c r="H60" s="4" t="s">
        <v>39</v>
      </c>
      <c r="I60" s="4" t="s">
        <v>40</v>
      </c>
      <c r="J60" s="4" t="s">
        <v>41</v>
      </c>
      <c r="K60" s="4" t="s">
        <v>42</v>
      </c>
      <c r="L60" s="4" t="s">
        <v>43</v>
      </c>
      <c r="M60" s="4" t="s">
        <v>44</v>
      </c>
      <c r="N60" s="4" t="s">
        <v>45</v>
      </c>
      <c r="O60" s="4" t="s">
        <v>46</v>
      </c>
      <c r="P60" s="4" t="s">
        <v>48</v>
      </c>
    </row>
    <row r="61" spans="2:16" x14ac:dyDescent="0.25">
      <c r="B61" s="7" t="s">
        <v>91</v>
      </c>
      <c r="C61" s="14"/>
      <c r="D61" s="17">
        <f>+IF($D$75=0,0,D71/$D$75)</f>
        <v>0</v>
      </c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 spans="2:16" x14ac:dyDescent="0.25">
      <c r="B62" s="7" t="s">
        <v>92</v>
      </c>
      <c r="C62" s="14"/>
      <c r="D62" s="17">
        <f t="shared" ref="D62:D64" si="0">+IF($D$75=0,0,D72/$D$75)</f>
        <v>0</v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 spans="2:16" x14ac:dyDescent="0.25">
      <c r="B63" s="10" t="s">
        <v>93</v>
      </c>
      <c r="C63" s="14"/>
      <c r="D63" s="17">
        <f t="shared" si="0"/>
        <v>0</v>
      </c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 spans="2:16" x14ac:dyDescent="0.25">
      <c r="B64" s="10" t="s">
        <v>95</v>
      </c>
      <c r="C64" s="14"/>
      <c r="D64" s="17">
        <f t="shared" si="0"/>
        <v>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 spans="2:16" x14ac:dyDescent="0.25">
      <c r="B65" s="13" t="s">
        <v>86</v>
      </c>
      <c r="C65" s="6"/>
      <c r="D65" s="18">
        <f>+SUM(D61:D63)</f>
        <v>0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6"/>
    </row>
    <row r="68" spans="2:16" x14ac:dyDescent="0.25">
      <c r="D68" s="3" t="s">
        <v>87</v>
      </c>
    </row>
    <row r="70" spans="2:16" ht="30" x14ac:dyDescent="0.25">
      <c r="C70" s="4" t="s">
        <v>47</v>
      </c>
      <c r="D70" s="4" t="s">
        <v>36</v>
      </c>
      <c r="E70" s="4" t="s">
        <v>35</v>
      </c>
      <c r="F70" s="4" t="s">
        <v>37</v>
      </c>
      <c r="G70" s="4" t="s">
        <v>38</v>
      </c>
      <c r="H70" s="4" t="s">
        <v>39</v>
      </c>
      <c r="I70" s="4" t="s">
        <v>40</v>
      </c>
      <c r="J70" s="4" t="s">
        <v>41</v>
      </c>
      <c r="K70" s="4" t="s">
        <v>42</v>
      </c>
      <c r="L70" s="4" t="s">
        <v>43</v>
      </c>
      <c r="M70" s="4" t="s">
        <v>44</v>
      </c>
      <c r="N70" s="4" t="s">
        <v>45</v>
      </c>
      <c r="O70" s="4" t="s">
        <v>46</v>
      </c>
      <c r="P70" s="4" t="s">
        <v>48</v>
      </c>
    </row>
    <row r="71" spans="2:16" x14ac:dyDescent="0.25">
      <c r="B71" s="7" t="s">
        <v>88</v>
      </c>
      <c r="C71" s="14"/>
      <c r="D71" s="17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 spans="2:16" x14ac:dyDescent="0.25">
      <c r="B72" s="7" t="s">
        <v>89</v>
      </c>
      <c r="C72" s="14"/>
      <c r="D72" s="15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</row>
    <row r="73" spans="2:16" x14ac:dyDescent="0.25">
      <c r="B73" s="10" t="s">
        <v>90</v>
      </c>
      <c r="C73" s="14"/>
      <c r="D73" s="19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</row>
    <row r="74" spans="2:16" x14ac:dyDescent="0.25">
      <c r="B74" s="10" t="s">
        <v>94</v>
      </c>
      <c r="C74" s="14"/>
      <c r="D74" s="19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</row>
    <row r="75" spans="2:16" x14ac:dyDescent="0.25">
      <c r="B75" s="10" t="s">
        <v>96</v>
      </c>
      <c r="C75" s="14"/>
      <c r="D75" s="19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</row>
    <row r="77" spans="2:16" x14ac:dyDescent="0.25">
      <c r="D77" s="3" t="s">
        <v>109</v>
      </c>
    </row>
    <row r="79" spans="2:16" ht="30" x14ac:dyDescent="0.25">
      <c r="C79" s="4" t="s">
        <v>47</v>
      </c>
      <c r="D79" s="4" t="s">
        <v>36</v>
      </c>
      <c r="E79" s="4" t="s">
        <v>35</v>
      </c>
      <c r="F79" s="4" t="s">
        <v>37</v>
      </c>
      <c r="G79" s="4" t="s">
        <v>38</v>
      </c>
      <c r="H79" s="4" t="s">
        <v>39</v>
      </c>
      <c r="I79" s="4" t="s">
        <v>40</v>
      </c>
      <c r="J79" s="4" t="s">
        <v>41</v>
      </c>
      <c r="K79" s="4" t="s">
        <v>42</v>
      </c>
      <c r="L79" s="4" t="s">
        <v>43</v>
      </c>
      <c r="M79" s="4" t="s">
        <v>44</v>
      </c>
      <c r="N79" s="4" t="s">
        <v>45</v>
      </c>
      <c r="O79" s="4" t="s">
        <v>46</v>
      </c>
      <c r="P79" s="4" t="s">
        <v>48</v>
      </c>
    </row>
    <row r="80" spans="2:16" x14ac:dyDescent="0.25">
      <c r="B80" s="7" t="s">
        <v>107</v>
      </c>
      <c r="C80" s="14"/>
      <c r="D80" s="15">
        <f>+D98</f>
        <v>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</row>
    <row r="81" spans="2:16" x14ac:dyDescent="0.25">
      <c r="B81" s="7" t="s">
        <v>97</v>
      </c>
      <c r="C81" s="14"/>
      <c r="D81" s="15">
        <f>+D146</f>
        <v>0</v>
      </c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</row>
    <row r="82" spans="2:16" x14ac:dyDescent="0.25">
      <c r="B82" s="10" t="s">
        <v>98</v>
      </c>
      <c r="C82" s="14"/>
      <c r="D82" s="19">
        <f>+IF(D81=0,0,D80/D81)</f>
        <v>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</row>
    <row r="84" spans="2:16" x14ac:dyDescent="0.25">
      <c r="D84" s="3" t="s">
        <v>110</v>
      </c>
    </row>
    <row r="86" spans="2:16" ht="30" x14ac:dyDescent="0.25">
      <c r="C86" s="4" t="s">
        <v>47</v>
      </c>
      <c r="D86" s="4" t="s">
        <v>36</v>
      </c>
      <c r="E86" s="4" t="s">
        <v>35</v>
      </c>
      <c r="F86" s="4" t="s">
        <v>37</v>
      </c>
      <c r="G86" s="4" t="s">
        <v>38</v>
      </c>
      <c r="H86" s="4" t="s">
        <v>39</v>
      </c>
      <c r="I86" s="4" t="s">
        <v>40</v>
      </c>
      <c r="J86" s="4" t="s">
        <v>41</v>
      </c>
      <c r="K86" s="4" t="s">
        <v>42</v>
      </c>
      <c r="L86" s="4" t="s">
        <v>43</v>
      </c>
      <c r="M86" s="4" t="s">
        <v>44</v>
      </c>
      <c r="N86" s="4" t="s">
        <v>45</v>
      </c>
      <c r="O86" s="4" t="s">
        <v>46</v>
      </c>
      <c r="P86" s="4" t="s">
        <v>48</v>
      </c>
    </row>
    <row r="87" spans="2:16" x14ac:dyDescent="0.25">
      <c r="B87" s="7" t="s">
        <v>51</v>
      </c>
      <c r="C87" s="14"/>
      <c r="D87" s="8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</row>
    <row r="88" spans="2:16" x14ac:dyDescent="0.25">
      <c r="B88" s="7" t="s">
        <v>52</v>
      </c>
      <c r="C88" s="14"/>
      <c r="D88" s="8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</row>
    <row r="89" spans="2:16" x14ac:dyDescent="0.25">
      <c r="B89" s="7" t="s">
        <v>53</v>
      </c>
      <c r="C89" s="14"/>
      <c r="D89" s="8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</row>
    <row r="90" spans="2:16" x14ac:dyDescent="0.25">
      <c r="B90" s="7" t="s">
        <v>54</v>
      </c>
      <c r="C90" s="14"/>
      <c r="D90" s="8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</row>
    <row r="91" spans="2:16" x14ac:dyDescent="0.25">
      <c r="B91" s="7" t="s">
        <v>55</v>
      </c>
      <c r="C91" s="14"/>
      <c r="D91" s="8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</row>
    <row r="92" spans="2:16" x14ac:dyDescent="0.25">
      <c r="B92" s="7" t="s">
        <v>56</v>
      </c>
      <c r="C92" s="14"/>
      <c r="D92" s="8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</row>
    <row r="93" spans="2:16" x14ac:dyDescent="0.25">
      <c r="B93" s="7" t="s">
        <v>57</v>
      </c>
      <c r="C93" s="14"/>
      <c r="D93" s="8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</row>
    <row r="94" spans="2:16" x14ac:dyDescent="0.25">
      <c r="B94" s="7" t="s">
        <v>58</v>
      </c>
      <c r="C94" s="14"/>
      <c r="D94" s="8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</row>
    <row r="95" spans="2:16" x14ac:dyDescent="0.25">
      <c r="B95" s="7" t="s">
        <v>59</v>
      </c>
      <c r="C95" s="14"/>
      <c r="D95" s="8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</row>
    <row r="96" spans="2:16" x14ac:dyDescent="0.25">
      <c r="B96" s="7" t="s">
        <v>60</v>
      </c>
      <c r="C96" s="14"/>
      <c r="D96" s="8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</row>
    <row r="97" spans="2:18" x14ac:dyDescent="0.25">
      <c r="B97" s="7" t="s">
        <v>102</v>
      </c>
      <c r="C97" s="14"/>
      <c r="D97" s="8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 spans="2:18" x14ac:dyDescent="0.25">
      <c r="B98" s="13" t="s">
        <v>100</v>
      </c>
      <c r="C98" s="6"/>
      <c r="D98" s="30">
        <f>SUM(D87:D97)</f>
        <v>0</v>
      </c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6"/>
    </row>
    <row r="100" spans="2:18" x14ac:dyDescent="0.25">
      <c r="D100" s="3" t="s">
        <v>99</v>
      </c>
    </row>
    <row r="102" spans="2:18" ht="30" x14ac:dyDescent="0.25">
      <c r="C102" s="4" t="s">
        <v>47</v>
      </c>
      <c r="D102" s="4" t="s">
        <v>36</v>
      </c>
      <c r="E102" s="4" t="s">
        <v>35</v>
      </c>
      <c r="F102" s="4" t="s">
        <v>37</v>
      </c>
      <c r="G102" s="4" t="s">
        <v>38</v>
      </c>
      <c r="H102" s="4" t="s">
        <v>39</v>
      </c>
      <c r="I102" s="4" t="s">
        <v>40</v>
      </c>
      <c r="J102" s="4" t="s">
        <v>41</v>
      </c>
      <c r="K102" s="4" t="s">
        <v>42</v>
      </c>
      <c r="L102" s="4" t="s">
        <v>43</v>
      </c>
      <c r="M102" s="4" t="s">
        <v>44</v>
      </c>
      <c r="N102" s="4" t="s">
        <v>45</v>
      </c>
      <c r="O102" s="4" t="s">
        <v>46</v>
      </c>
      <c r="P102" s="4" t="s">
        <v>48</v>
      </c>
    </row>
    <row r="103" spans="2:18" x14ac:dyDescent="0.25">
      <c r="B103" s="7" t="s">
        <v>51</v>
      </c>
      <c r="C103" s="14"/>
      <c r="D103" s="19">
        <f>+'Indicadores Gest TEQ 2021'!D67/'Indicadores Gest TEQ 2021'!$D$72</f>
        <v>0</v>
      </c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R103" s="29"/>
    </row>
    <row r="104" spans="2:18" x14ac:dyDescent="0.25">
      <c r="B104" s="7" t="s">
        <v>52</v>
      </c>
      <c r="C104" s="14"/>
      <c r="D104" s="19">
        <f>+'Indicadores Gest TEQ 2021'!D68/'Indicadores Gest TEQ 2021'!$D$72</f>
        <v>9.1815219474793944E-2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R104" s="29"/>
    </row>
    <row r="105" spans="2:18" x14ac:dyDescent="0.25">
      <c r="B105" s="7" t="s">
        <v>53</v>
      </c>
      <c r="C105" s="14"/>
      <c r="D105" s="19">
        <f>+'Indicadores Gest TEQ 2021'!D69/'Indicadores Gest TEQ 2021'!$D$72</f>
        <v>0.53172321257427635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R105" s="29"/>
    </row>
    <row r="106" spans="2:18" x14ac:dyDescent="0.25">
      <c r="B106" s="7" t="s">
        <v>54</v>
      </c>
      <c r="C106" s="14"/>
      <c r="D106" s="19" t="e">
        <f>+'Indicadores Gest TEQ 2021'!#REF!/'Indicadores Gest TEQ 2021'!$D$72</f>
        <v>#REF!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R106" s="29"/>
    </row>
    <row r="107" spans="2:18" x14ac:dyDescent="0.25">
      <c r="B107" s="7" t="s">
        <v>55</v>
      </c>
      <c r="C107" s="14"/>
      <c r="D107" s="19">
        <f>+'Indicadores Gest TEQ 2021'!D70/'Indicadores Gest TEQ 2021'!$D$72</f>
        <v>0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R107" s="29"/>
    </row>
    <row r="108" spans="2:18" x14ac:dyDescent="0.25">
      <c r="B108" s="7" t="s">
        <v>56</v>
      </c>
      <c r="C108" s="14"/>
      <c r="D108" s="19">
        <f>+'Indicadores Gest TEQ 2021'!D71/'Indicadores Gest TEQ 2021'!$D$72</f>
        <v>0.37646156795092967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R108" s="29"/>
    </row>
    <row r="109" spans="2:18" x14ac:dyDescent="0.25">
      <c r="B109" s="7" t="s">
        <v>57</v>
      </c>
      <c r="C109" s="14"/>
      <c r="D109" s="19" t="e">
        <f>+'Indicadores Gest TEQ 2021'!#REF!/'Indicadores Gest TEQ 2021'!$D$72</f>
        <v>#REF!</v>
      </c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R109" s="29"/>
    </row>
    <row r="110" spans="2:18" x14ac:dyDescent="0.25">
      <c r="B110" s="7" t="s">
        <v>58</v>
      </c>
      <c r="C110" s="14"/>
      <c r="D110" s="19" t="e">
        <f>+'Indicadores Gest TEQ 2021'!#REF!/'Indicadores Gest TEQ 2021'!$D$72</f>
        <v>#REF!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R110" s="29"/>
    </row>
    <row r="111" spans="2:18" x14ac:dyDescent="0.25">
      <c r="B111" s="7" t="s">
        <v>59</v>
      </c>
      <c r="C111" s="14"/>
      <c r="D111" s="19" t="e">
        <f>+'Indicadores Gest TEQ 2021'!#REF!/'Indicadores Gest TEQ 2021'!$D$72</f>
        <v>#REF!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R111" s="29"/>
    </row>
    <row r="112" spans="2:18" x14ac:dyDescent="0.25">
      <c r="B112" s="7" t="s">
        <v>60</v>
      </c>
      <c r="C112" s="14"/>
      <c r="D112" s="19" t="e">
        <f>+'Indicadores Gest TEQ 2021'!#REF!/'Indicadores Gest TEQ 2021'!$D$72</f>
        <v>#REF!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R112" s="29"/>
    </row>
    <row r="113" spans="2:18" x14ac:dyDescent="0.25">
      <c r="B113" s="7" t="s">
        <v>101</v>
      </c>
      <c r="C113" s="14"/>
      <c r="D113" s="19" t="e">
        <f>+'Indicadores Gest TEQ 2021'!#REF!/'Indicadores Gest TEQ 2021'!$D$72</f>
        <v>#REF!</v>
      </c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R113" s="29"/>
    </row>
    <row r="114" spans="2:18" x14ac:dyDescent="0.25">
      <c r="B114" s="13" t="s">
        <v>100</v>
      </c>
      <c r="C114" s="6"/>
      <c r="D114" s="28" t="e">
        <f>SUM(D103:D113)</f>
        <v>#REF!</v>
      </c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6"/>
    </row>
    <row r="116" spans="2:18" x14ac:dyDescent="0.25">
      <c r="D116" s="3" t="s">
        <v>103</v>
      </c>
    </row>
    <row r="118" spans="2:18" ht="30" x14ac:dyDescent="0.25">
      <c r="C118" s="4" t="s">
        <v>47</v>
      </c>
      <c r="D118" s="4" t="s">
        <v>36</v>
      </c>
      <c r="E118" s="4" t="s">
        <v>35</v>
      </c>
      <c r="F118" s="4" t="s">
        <v>37</v>
      </c>
      <c r="G118" s="4" t="s">
        <v>38</v>
      </c>
      <c r="H118" s="4" t="s">
        <v>39</v>
      </c>
      <c r="I118" s="4" t="s">
        <v>40</v>
      </c>
      <c r="J118" s="4" t="s">
        <v>41</v>
      </c>
      <c r="K118" s="4" t="s">
        <v>42</v>
      </c>
      <c r="L118" s="4" t="s">
        <v>43</v>
      </c>
      <c r="M118" s="4" t="s">
        <v>44</v>
      </c>
      <c r="N118" s="4" t="s">
        <v>45</v>
      </c>
      <c r="O118" s="4" t="s">
        <v>46</v>
      </c>
      <c r="P118" s="4" t="s">
        <v>48</v>
      </c>
    </row>
    <row r="119" spans="2:18" x14ac:dyDescent="0.25">
      <c r="B119" s="7" t="s">
        <v>51</v>
      </c>
      <c r="C119" s="14"/>
      <c r="D119" s="8">
        <f>+IF('Sub indicadores CP Cluster'!D135=0,0,'Indicadores Gest TEQ 2021'!D67/'Sub indicadores CP Cluster'!D135)</f>
        <v>0</v>
      </c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</row>
    <row r="120" spans="2:18" x14ac:dyDescent="0.25">
      <c r="B120" s="7" t="s">
        <v>52</v>
      </c>
      <c r="C120" s="14"/>
      <c r="D120" s="8">
        <f>+IF('Sub indicadores CP Cluster'!D136=0,0,'Indicadores Gest TEQ 2021'!D68/'Sub indicadores CP Cluster'!D136)</f>
        <v>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</row>
    <row r="121" spans="2:18" x14ac:dyDescent="0.25">
      <c r="B121" s="7" t="s">
        <v>53</v>
      </c>
      <c r="C121" s="14"/>
      <c r="D121" s="8">
        <f>+IF('Sub indicadores CP Cluster'!D137=0,0,'Indicadores Gest TEQ 2021'!D69/'Sub indicadores CP Cluster'!D137)</f>
        <v>0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</row>
    <row r="122" spans="2:18" x14ac:dyDescent="0.25">
      <c r="B122" s="7" t="s">
        <v>54</v>
      </c>
      <c r="C122" s="14"/>
      <c r="D122" s="8">
        <f>+IF('Sub indicadores CP Cluster'!D138=0,0,'Indicadores Gest TEQ 2021'!#REF!/'Sub indicadores CP Cluster'!D138)</f>
        <v>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</row>
    <row r="123" spans="2:18" x14ac:dyDescent="0.25">
      <c r="B123" s="7" t="s">
        <v>55</v>
      </c>
      <c r="C123" s="14"/>
      <c r="D123" s="8">
        <f>+IF('Sub indicadores CP Cluster'!D139=0,0,'Indicadores Gest TEQ 2021'!D70/'Sub indicadores CP Cluster'!D139)</f>
        <v>0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</row>
    <row r="124" spans="2:18" x14ac:dyDescent="0.25">
      <c r="B124" s="7" t="s">
        <v>56</v>
      </c>
      <c r="C124" s="14"/>
      <c r="D124" s="8">
        <f>+IF('Sub indicadores CP Cluster'!D140=0,0,'Indicadores Gest TEQ 2021'!D71/'Sub indicadores CP Cluster'!D140)</f>
        <v>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</row>
    <row r="125" spans="2:18" x14ac:dyDescent="0.25">
      <c r="B125" s="7" t="s">
        <v>57</v>
      </c>
      <c r="C125" s="14"/>
      <c r="D125" s="8">
        <f>+IF('Sub indicadores CP Cluster'!D141=0,0,'Indicadores Gest TEQ 2021'!#REF!/'Sub indicadores CP Cluster'!D141)</f>
        <v>0</v>
      </c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</row>
    <row r="126" spans="2:18" x14ac:dyDescent="0.25">
      <c r="B126" s="7" t="s">
        <v>58</v>
      </c>
      <c r="C126" s="14"/>
      <c r="D126" s="8">
        <f>+IF('Sub indicadores CP Cluster'!D142=0,0,'Indicadores Gest TEQ 2021'!#REF!/'Sub indicadores CP Cluster'!D142)</f>
        <v>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</row>
    <row r="127" spans="2:18" x14ac:dyDescent="0.25">
      <c r="B127" s="7" t="s">
        <v>59</v>
      </c>
      <c r="C127" s="14"/>
      <c r="D127" s="8">
        <f>+IF('Sub indicadores CP Cluster'!D143=0,0,'Indicadores Gest TEQ 2021'!#REF!/'Sub indicadores CP Cluster'!D143)</f>
        <v>0</v>
      </c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</row>
    <row r="128" spans="2:18" x14ac:dyDescent="0.25">
      <c r="B128" s="7" t="s">
        <v>60</v>
      </c>
      <c r="C128" s="14"/>
      <c r="D128" s="8">
        <f>+IF('Sub indicadores CP Cluster'!D144=0,0,'Indicadores Gest TEQ 2021'!#REF!/'Sub indicadores CP Cluster'!D144)</f>
        <v>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</row>
    <row r="129" spans="2:16" x14ac:dyDescent="0.25">
      <c r="B129" s="7" t="s">
        <v>101</v>
      </c>
      <c r="C129" s="14"/>
      <c r="D129" s="8">
        <f>+IF('Sub indicadores CP Cluster'!D145=0,0,'Indicadores Gest TEQ 2021'!#REF!/'Sub indicadores CP Cluster'!D145)</f>
        <v>0</v>
      </c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</row>
    <row r="130" spans="2:16" x14ac:dyDescent="0.25">
      <c r="B130" s="13" t="s">
        <v>100</v>
      </c>
      <c r="C130" s="6"/>
      <c r="D130" s="8">
        <f>+IF('Sub indicadores CP Cluster'!D146=0,0,'Indicadores Gest TEQ 2021'!D72/'Sub indicadores CP Cluster'!D146)</f>
        <v>0</v>
      </c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6"/>
    </row>
    <row r="132" spans="2:16" x14ac:dyDescent="0.25">
      <c r="D132" s="3" t="s">
        <v>104</v>
      </c>
    </row>
    <row r="134" spans="2:16" ht="30" x14ac:dyDescent="0.25">
      <c r="C134" s="4" t="s">
        <v>47</v>
      </c>
      <c r="D134" s="4" t="s">
        <v>36</v>
      </c>
      <c r="E134" s="4" t="s">
        <v>35</v>
      </c>
      <c r="F134" s="4" t="s">
        <v>37</v>
      </c>
      <c r="G134" s="4" t="s">
        <v>38</v>
      </c>
      <c r="H134" s="4" t="s">
        <v>39</v>
      </c>
      <c r="I134" s="4" t="s">
        <v>40</v>
      </c>
      <c r="J134" s="4" t="s">
        <v>41</v>
      </c>
      <c r="K134" s="4" t="s">
        <v>42</v>
      </c>
      <c r="L134" s="4" t="s">
        <v>43</v>
      </c>
      <c r="M134" s="4" t="s">
        <v>44</v>
      </c>
      <c r="N134" s="4" t="s">
        <v>45</v>
      </c>
      <c r="O134" s="4" t="s">
        <v>46</v>
      </c>
      <c r="P134" s="4" t="s">
        <v>48</v>
      </c>
    </row>
    <row r="135" spans="2:16" x14ac:dyDescent="0.25">
      <c r="B135" s="7" t="s">
        <v>51</v>
      </c>
      <c r="C135" s="14"/>
      <c r="D135" s="8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</row>
    <row r="136" spans="2:16" x14ac:dyDescent="0.25">
      <c r="B136" s="7" t="s">
        <v>52</v>
      </c>
      <c r="C136" s="14"/>
      <c r="D136" s="8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</row>
    <row r="137" spans="2:16" x14ac:dyDescent="0.25">
      <c r="B137" s="7" t="s">
        <v>53</v>
      </c>
      <c r="C137" s="14"/>
      <c r="D137" s="8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</row>
    <row r="138" spans="2:16" x14ac:dyDescent="0.25">
      <c r="B138" s="7" t="s">
        <v>54</v>
      </c>
      <c r="C138" s="14"/>
      <c r="D138" s="8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</row>
    <row r="139" spans="2:16" x14ac:dyDescent="0.25">
      <c r="B139" s="7" t="s">
        <v>55</v>
      </c>
      <c r="C139" s="14"/>
      <c r="D139" s="8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</row>
    <row r="140" spans="2:16" x14ac:dyDescent="0.25">
      <c r="B140" s="7" t="s">
        <v>56</v>
      </c>
      <c r="C140" s="14"/>
      <c r="D140" s="8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</row>
    <row r="141" spans="2:16" x14ac:dyDescent="0.25">
      <c r="B141" s="7" t="s">
        <v>57</v>
      </c>
      <c r="C141" s="14"/>
      <c r="D141" s="8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</row>
    <row r="142" spans="2:16" x14ac:dyDescent="0.25">
      <c r="B142" s="7" t="s">
        <v>58</v>
      </c>
      <c r="C142" s="14"/>
      <c r="D142" s="8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</row>
    <row r="143" spans="2:16" x14ac:dyDescent="0.25">
      <c r="B143" s="7" t="s">
        <v>59</v>
      </c>
      <c r="C143" s="14"/>
      <c r="D143" s="8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</row>
    <row r="144" spans="2:16" x14ac:dyDescent="0.25">
      <c r="B144" s="7" t="s">
        <v>60</v>
      </c>
      <c r="C144" s="14"/>
      <c r="D144" s="8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</row>
    <row r="145" spans="2:16" x14ac:dyDescent="0.25">
      <c r="B145" s="7" t="s">
        <v>101</v>
      </c>
      <c r="C145" s="14"/>
      <c r="D145" s="8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</row>
    <row r="146" spans="2:16" x14ac:dyDescent="0.25">
      <c r="B146" s="13" t="s">
        <v>100</v>
      </c>
      <c r="C146" s="6"/>
      <c r="D146" s="30">
        <f>SUM(D135:D145)</f>
        <v>0</v>
      </c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6"/>
    </row>
    <row r="148" spans="2:16" x14ac:dyDescent="0.25">
      <c r="D148" s="3" t="s">
        <v>105</v>
      </c>
    </row>
    <row r="150" spans="2:16" ht="30" x14ac:dyDescent="0.25">
      <c r="C150" s="4" t="s">
        <v>47</v>
      </c>
      <c r="D150" s="4" t="s">
        <v>36</v>
      </c>
      <c r="E150" s="4" t="s">
        <v>35</v>
      </c>
      <c r="F150" s="4" t="s">
        <v>37</v>
      </c>
      <c r="G150" s="4" t="s">
        <v>38</v>
      </c>
      <c r="H150" s="4" t="s">
        <v>39</v>
      </c>
      <c r="I150" s="4" t="s">
        <v>40</v>
      </c>
      <c r="J150" s="4" t="s">
        <v>41</v>
      </c>
      <c r="K150" s="4" t="s">
        <v>42</v>
      </c>
      <c r="L150" s="4" t="s">
        <v>43</v>
      </c>
      <c r="M150" s="4" t="s">
        <v>44</v>
      </c>
      <c r="N150" s="4" t="s">
        <v>45</v>
      </c>
      <c r="O150" s="4" t="s">
        <v>46</v>
      </c>
      <c r="P150" s="4" t="s">
        <v>48</v>
      </c>
    </row>
    <row r="151" spans="2:16" x14ac:dyDescent="0.25">
      <c r="B151" s="7" t="s">
        <v>51</v>
      </c>
      <c r="C151" s="14"/>
      <c r="D151" s="8">
        <f>+IF('Indicadores Gest TEQ 2021'!D67=0,0,D167/'Indicadores Gest TEQ 2021'!D67)</f>
        <v>0</v>
      </c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</row>
    <row r="152" spans="2:16" x14ac:dyDescent="0.25">
      <c r="B152" s="7" t="s">
        <v>52</v>
      </c>
      <c r="C152" s="14"/>
      <c r="D152" s="8">
        <f>+IF('Indicadores Gest TEQ 2021'!D68=0,0,D168/'Indicadores Gest TEQ 2021'!D68)</f>
        <v>0</v>
      </c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</row>
    <row r="153" spans="2:16" x14ac:dyDescent="0.25">
      <c r="B153" s="7" t="s">
        <v>53</v>
      </c>
      <c r="C153" s="14"/>
      <c r="D153" s="8">
        <f>+IF('Indicadores Gest TEQ 2021'!D69=0,0,D169/'Indicadores Gest TEQ 2021'!D69)</f>
        <v>0</v>
      </c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</row>
    <row r="154" spans="2:16" x14ac:dyDescent="0.25">
      <c r="B154" s="7" t="s">
        <v>54</v>
      </c>
      <c r="C154" s="14"/>
      <c r="D154" s="8" t="e">
        <f>+IF('Indicadores Gest TEQ 2021'!#REF!=0,0,D170/'Indicadores Gest TEQ 2021'!#REF!)</f>
        <v>#REF!</v>
      </c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</row>
    <row r="155" spans="2:16" x14ac:dyDescent="0.25">
      <c r="B155" s="7" t="s">
        <v>55</v>
      </c>
      <c r="C155" s="14"/>
      <c r="D155" s="8">
        <f>+IF('Indicadores Gest TEQ 2021'!D70=0,0,D171/'Indicadores Gest TEQ 2021'!D70)</f>
        <v>0</v>
      </c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</row>
    <row r="156" spans="2:16" x14ac:dyDescent="0.25">
      <c r="B156" s="7" t="s">
        <v>56</v>
      </c>
      <c r="C156" s="14"/>
      <c r="D156" s="8">
        <f>+IF('Indicadores Gest TEQ 2021'!D71=0,0,D172/'Indicadores Gest TEQ 2021'!D71)</f>
        <v>0</v>
      </c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</row>
    <row r="157" spans="2:16" x14ac:dyDescent="0.25">
      <c r="B157" s="7" t="s">
        <v>57</v>
      </c>
      <c r="C157" s="14"/>
      <c r="D157" s="8" t="e">
        <f>+IF('Indicadores Gest TEQ 2021'!#REF!=0,0,D173/'Indicadores Gest TEQ 2021'!#REF!)</f>
        <v>#REF!</v>
      </c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</row>
    <row r="158" spans="2:16" x14ac:dyDescent="0.25">
      <c r="B158" s="7" t="s">
        <v>58</v>
      </c>
      <c r="C158" s="14"/>
      <c r="D158" s="8" t="e">
        <f>+IF('Indicadores Gest TEQ 2021'!#REF!=0,0,D174/'Indicadores Gest TEQ 2021'!#REF!)</f>
        <v>#REF!</v>
      </c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</row>
    <row r="159" spans="2:16" x14ac:dyDescent="0.25">
      <c r="B159" s="7" t="s">
        <v>59</v>
      </c>
      <c r="C159" s="14"/>
      <c r="D159" s="8" t="e">
        <f>+IF('Indicadores Gest TEQ 2021'!#REF!=0,0,D175/'Indicadores Gest TEQ 2021'!#REF!)</f>
        <v>#REF!</v>
      </c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</row>
    <row r="160" spans="2:16" x14ac:dyDescent="0.25">
      <c r="B160" s="7" t="s">
        <v>60</v>
      </c>
      <c r="C160" s="14"/>
      <c r="D160" s="8" t="e">
        <f>+IF('Indicadores Gest TEQ 2021'!#REF!=0,0,D176/'Indicadores Gest TEQ 2021'!#REF!)</f>
        <v>#REF!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</row>
    <row r="161" spans="2:16" x14ac:dyDescent="0.25">
      <c r="B161" s="7" t="s">
        <v>101</v>
      </c>
      <c r="C161" s="14"/>
      <c r="D161" s="8" t="e">
        <f>+IF('Indicadores Gest TEQ 2021'!#REF!=0,0,D177/'Indicadores Gest TEQ 2021'!#REF!)</f>
        <v>#REF!</v>
      </c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</row>
    <row r="162" spans="2:16" x14ac:dyDescent="0.25">
      <c r="B162" s="13" t="s">
        <v>100</v>
      </c>
      <c r="C162" s="6"/>
      <c r="D162" s="8">
        <f>+IF('Indicadores Gest TEQ 2021'!D72=0,0,D178/'Indicadores Gest TEQ 2021'!D72)</f>
        <v>0</v>
      </c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6"/>
    </row>
    <row r="164" spans="2:16" x14ac:dyDescent="0.25">
      <c r="D164" s="3" t="s">
        <v>106</v>
      </c>
    </row>
    <row r="166" spans="2:16" ht="30" x14ac:dyDescent="0.25">
      <c r="C166" s="4" t="s">
        <v>47</v>
      </c>
      <c r="D166" s="4" t="s">
        <v>36</v>
      </c>
      <c r="E166" s="4" t="s">
        <v>35</v>
      </c>
      <c r="F166" s="4" t="s">
        <v>37</v>
      </c>
      <c r="G166" s="4" t="s">
        <v>38</v>
      </c>
      <c r="H166" s="4" t="s">
        <v>39</v>
      </c>
      <c r="I166" s="4" t="s">
        <v>40</v>
      </c>
      <c r="J166" s="4" t="s">
        <v>41</v>
      </c>
      <c r="K166" s="4" t="s">
        <v>42</v>
      </c>
      <c r="L166" s="4" t="s">
        <v>43</v>
      </c>
      <c r="M166" s="4" t="s">
        <v>44</v>
      </c>
      <c r="N166" s="4" t="s">
        <v>45</v>
      </c>
      <c r="O166" s="4" t="s">
        <v>46</v>
      </c>
      <c r="P166" s="4" t="s">
        <v>48</v>
      </c>
    </row>
    <row r="167" spans="2:16" x14ac:dyDescent="0.25">
      <c r="B167" s="7" t="s">
        <v>51</v>
      </c>
      <c r="C167" s="14"/>
      <c r="D167" s="8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</row>
    <row r="168" spans="2:16" x14ac:dyDescent="0.25">
      <c r="B168" s="7" t="s">
        <v>52</v>
      </c>
      <c r="C168" s="14"/>
      <c r="D168" s="8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</row>
    <row r="169" spans="2:16" x14ac:dyDescent="0.25">
      <c r="B169" s="7" t="s">
        <v>53</v>
      </c>
      <c r="C169" s="14"/>
      <c r="D169" s="8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</row>
    <row r="170" spans="2:16" x14ac:dyDescent="0.25">
      <c r="B170" s="7" t="s">
        <v>54</v>
      </c>
      <c r="C170" s="14"/>
      <c r="D170" s="8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</row>
    <row r="171" spans="2:16" x14ac:dyDescent="0.25">
      <c r="B171" s="7" t="s">
        <v>55</v>
      </c>
      <c r="C171" s="14"/>
      <c r="D171" s="8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</row>
    <row r="172" spans="2:16" x14ac:dyDescent="0.25">
      <c r="B172" s="7" t="s">
        <v>56</v>
      </c>
      <c r="C172" s="14"/>
      <c r="D172" s="8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</row>
    <row r="173" spans="2:16" x14ac:dyDescent="0.25">
      <c r="B173" s="7" t="s">
        <v>57</v>
      </c>
      <c r="C173" s="14"/>
      <c r="D173" s="8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</row>
    <row r="174" spans="2:16" x14ac:dyDescent="0.25">
      <c r="B174" s="7" t="s">
        <v>58</v>
      </c>
      <c r="C174" s="14"/>
      <c r="D174" s="8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</row>
    <row r="175" spans="2:16" x14ac:dyDescent="0.25">
      <c r="B175" s="7" t="s">
        <v>59</v>
      </c>
      <c r="C175" s="14"/>
      <c r="D175" s="8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</row>
    <row r="176" spans="2:16" x14ac:dyDescent="0.25">
      <c r="B176" s="7" t="s">
        <v>60</v>
      </c>
      <c r="C176" s="14"/>
      <c r="D176" s="8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</row>
    <row r="177" spans="2:16" x14ac:dyDescent="0.25">
      <c r="B177" s="7" t="s">
        <v>102</v>
      </c>
      <c r="C177" s="14"/>
      <c r="D177" s="8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</row>
    <row r="178" spans="2:16" x14ac:dyDescent="0.25">
      <c r="B178" s="13" t="s">
        <v>100</v>
      </c>
      <c r="C178" s="6"/>
      <c r="D178" s="30">
        <f>SUM(D167:D177)</f>
        <v>0</v>
      </c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6"/>
    </row>
    <row r="180" spans="2:16" x14ac:dyDescent="0.25">
      <c r="D180" s="3" t="s">
        <v>108</v>
      </c>
    </row>
    <row r="182" spans="2:16" ht="30" x14ac:dyDescent="0.25">
      <c r="C182" s="4" t="s">
        <v>47</v>
      </c>
      <c r="D182" s="4" t="s">
        <v>36</v>
      </c>
      <c r="E182" s="4" t="s">
        <v>35</v>
      </c>
      <c r="F182" s="4" t="s">
        <v>37</v>
      </c>
      <c r="G182" s="4" t="s">
        <v>38</v>
      </c>
      <c r="H182" s="4" t="s">
        <v>39</v>
      </c>
      <c r="I182" s="4" t="s">
        <v>40</v>
      </c>
      <c r="J182" s="4" t="s">
        <v>41</v>
      </c>
      <c r="K182" s="4" t="s">
        <v>42</v>
      </c>
      <c r="L182" s="4" t="s">
        <v>43</v>
      </c>
      <c r="M182" s="4" t="s">
        <v>44</v>
      </c>
      <c r="N182" s="4" t="s">
        <v>45</v>
      </c>
      <c r="O182" s="4" t="s">
        <v>46</v>
      </c>
      <c r="P182" s="4" t="s">
        <v>48</v>
      </c>
    </row>
    <row r="183" spans="2:16" x14ac:dyDescent="0.25">
      <c r="B183" s="7" t="s">
        <v>51</v>
      </c>
      <c r="C183" s="14"/>
      <c r="D183" s="17">
        <f>+'[1]Ref-1'!$AV$71</f>
        <v>0</v>
      </c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</row>
    <row r="184" spans="2:16" x14ac:dyDescent="0.25">
      <c r="B184" s="7" t="s">
        <v>52</v>
      </c>
      <c r="C184" s="14"/>
      <c r="D184" s="17">
        <f>+'[1]Ref-2'!$AW$63</f>
        <v>0.26873655913978495</v>
      </c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</row>
    <row r="185" spans="2:16" x14ac:dyDescent="0.25">
      <c r="B185" s="7" t="s">
        <v>53</v>
      </c>
      <c r="C185" s="14"/>
      <c r="D185" s="17">
        <f>+'[1]Ref.-3'!$AW$70</f>
        <v>0.62176075268817199</v>
      </c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</row>
    <row r="186" spans="2:16" x14ac:dyDescent="0.25">
      <c r="B186" s="7" t="s">
        <v>54</v>
      </c>
      <c r="C186" s="14"/>
      <c r="D186" s="17" t="e">
        <f>+#REF!</f>
        <v>#REF!</v>
      </c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</row>
    <row r="187" spans="2:16" x14ac:dyDescent="0.25">
      <c r="B187" s="7" t="s">
        <v>55</v>
      </c>
      <c r="C187" s="14"/>
      <c r="D187" s="17">
        <v>0</v>
      </c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</row>
    <row r="188" spans="2:16" x14ac:dyDescent="0.25">
      <c r="B188" s="7" t="s">
        <v>56</v>
      </c>
      <c r="C188" s="14"/>
      <c r="D188" s="17">
        <f>+[1]Fracc.II!$AX$61</f>
        <v>0.4882258064516129</v>
      </c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</row>
    <row r="189" spans="2:16" x14ac:dyDescent="0.25">
      <c r="B189" s="7" t="s">
        <v>57</v>
      </c>
      <c r="C189" s="14"/>
      <c r="D189" s="17" t="e">
        <f>+#REF!</f>
        <v>#REF!</v>
      </c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</row>
    <row r="190" spans="2:16" x14ac:dyDescent="0.25">
      <c r="B190" s="7" t="s">
        <v>58</v>
      </c>
      <c r="C190" s="14"/>
      <c r="D190" s="17" t="e">
        <f>+#REF!</f>
        <v>#REF!</v>
      </c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</row>
    <row r="191" spans="2:16" x14ac:dyDescent="0.25">
      <c r="B191" s="7" t="s">
        <v>59</v>
      </c>
      <c r="C191" s="14"/>
      <c r="D191" s="17">
        <f>+[2]ENERO2020!$DC$76</f>
        <v>9.9287634408602124E-2</v>
      </c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</row>
    <row r="192" spans="2:16" x14ac:dyDescent="0.25">
      <c r="B192" s="7" t="s">
        <v>60</v>
      </c>
      <c r="C192" s="14"/>
      <c r="D192" s="17" t="e">
        <f>+#REF!</f>
        <v>#REF!</v>
      </c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</row>
    <row r="193" spans="2:16" x14ac:dyDescent="0.25">
      <c r="B193" s="7" t="s">
        <v>101</v>
      </c>
      <c r="C193" s="14"/>
      <c r="D193" s="17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 de Indicadores de Gestión</vt:lpstr>
      <vt:lpstr>Capacidad</vt:lpstr>
      <vt:lpstr>Indicadores Gest TEQ 2021</vt:lpstr>
      <vt:lpstr>Sub indicadores CP Cluster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MRUIZ</dc:creator>
  <cp:lastModifiedBy>LEANDRO QUEVEDO</cp:lastModifiedBy>
  <dcterms:created xsi:type="dcterms:W3CDTF">2019-12-15T23:37:52Z</dcterms:created>
  <dcterms:modified xsi:type="dcterms:W3CDTF">2021-08-07T14:43:55Z</dcterms:modified>
</cp:coreProperties>
</file>