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reyeso\Desktop\Indicadores TER\"/>
    </mc:Choice>
  </mc:AlternateContent>
  <xr:revisionPtr revIDLastSave="0" documentId="13_ncr:1_{6FBB80F2-489F-4CE9-8FDE-87BEF7CE714F}" xr6:coauthVersionLast="47" xr6:coauthVersionMax="47" xr10:uidLastSave="{00000000-0000-0000-0000-000000000000}"/>
  <bookViews>
    <workbookView xWindow="-120" yWindow="-120" windowWidth="20730" windowHeight="11310" tabRatio="846" activeTab="8" xr2:uid="{00000000-000D-0000-FFFF-FFFF00000000}"/>
  </bookViews>
  <sheets>
    <sheet name="TON  MOV " sheetId="57" r:id="rId1"/>
    <sheet name="RESPEL " sheetId="9" r:id="rId2"/>
    <sheet name="RESIDUOS" sheetId="50" r:id="rId3"/>
    <sheet name="AGUA " sheetId="51" r:id="rId4"/>
    <sheet name="Vol_VERT" sheetId="54" r:id="rId5"/>
    <sheet name="EE" sheetId="27" r:id="rId6"/>
    <sheet name="GN" sheetId="48" r:id="rId7"/>
    <sheet name="ACPM_G _2018 " sheetId="53" state="hidden" r:id="rId8"/>
    <sheet name="EDA" sheetId="18" r:id="rId9"/>
    <sheet name="PROGRAMAS AMB Y PMA" sheetId="58" r:id="rId10"/>
  </sheets>
  <definedNames>
    <definedName name="_xlnm.Print_Area" localSheetId="3">'AGUA '!$A$1:$M$16</definedName>
    <definedName name="_xlnm.Print_Area" localSheetId="2">RESIDUOS!$A$1:$P$17</definedName>
    <definedName name="_xlnm.Print_Area" localSheetId="1">'RESPEL '!$A$1:$O$43</definedName>
    <definedName name="_xlnm.Print_Area" localSheetId="4">Vol_VERT!$A$1:$G$17</definedName>
  </definedNames>
  <calcPr calcId="181029"/>
</workbook>
</file>

<file path=xl/calcChain.xml><?xml version="1.0" encoding="utf-8"?>
<calcChain xmlns="http://schemas.openxmlformats.org/spreadsheetml/2006/main">
  <c r="Y15" i="18" l="1"/>
  <c r="O37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6" i="9"/>
  <c r="O5" i="9"/>
  <c r="D37" i="9"/>
  <c r="E37" i="9"/>
  <c r="F37" i="9"/>
  <c r="G37" i="9"/>
  <c r="G41" i="9" s="1"/>
  <c r="H37" i="9"/>
  <c r="I37" i="9"/>
  <c r="J37" i="9"/>
  <c r="K37" i="9"/>
  <c r="K41" i="9" s="1"/>
  <c r="L37" i="9"/>
  <c r="M37" i="9"/>
  <c r="N37" i="9"/>
  <c r="C41" i="9"/>
  <c r="D41" i="9"/>
  <c r="E41" i="9"/>
  <c r="F41" i="9"/>
  <c r="H41" i="9"/>
  <c r="I41" i="9"/>
  <c r="J41" i="9"/>
  <c r="L41" i="9"/>
  <c r="E5" i="27" l="1"/>
  <c r="E11" i="27"/>
  <c r="E12" i="27"/>
  <c r="E13" i="27"/>
  <c r="E14" i="27"/>
  <c r="E15" i="27"/>
  <c r="E16" i="27"/>
  <c r="H13" i="51"/>
  <c r="B13" i="51"/>
  <c r="E15" i="51"/>
  <c r="E13" i="51"/>
  <c r="H16" i="51"/>
  <c r="E16" i="51"/>
  <c r="B16" i="51"/>
  <c r="B15" i="51"/>
  <c r="H15" i="51"/>
  <c r="H14" i="51"/>
  <c r="E14" i="51"/>
  <c r="B14" i="51"/>
  <c r="H12" i="51"/>
  <c r="E12" i="51"/>
  <c r="B12" i="51"/>
  <c r="B11" i="51"/>
  <c r="E11" i="51"/>
  <c r="H11" i="51"/>
  <c r="H10" i="51"/>
  <c r="E10" i="51"/>
  <c r="B10" i="51"/>
  <c r="D16" i="51" l="1"/>
  <c r="J15" i="51"/>
  <c r="E6" i="51"/>
  <c r="E7" i="51"/>
  <c r="E8" i="51"/>
  <c r="E9" i="51"/>
  <c r="J15" i="50"/>
  <c r="J13" i="50" l="1"/>
  <c r="J14" i="50"/>
  <c r="D13" i="51" l="1"/>
  <c r="V15" i="18" l="1"/>
  <c r="T15" i="18" l="1"/>
  <c r="R4" i="18"/>
  <c r="T4" i="18" l="1"/>
  <c r="J9" i="51" l="1"/>
  <c r="B9" i="51"/>
  <c r="K8" i="50" l="1"/>
  <c r="P4" i="18"/>
  <c r="N4" i="18"/>
  <c r="J8" i="51" l="1"/>
  <c r="G8" i="51"/>
  <c r="B8" i="51"/>
  <c r="D8" i="51" s="1"/>
  <c r="J7" i="51"/>
  <c r="G7" i="51"/>
  <c r="B7" i="51"/>
  <c r="D7" i="51" s="1"/>
  <c r="G6" i="51"/>
  <c r="J6" i="51"/>
  <c r="J16" i="51"/>
  <c r="J10" i="51"/>
  <c r="J11" i="51"/>
  <c r="J12" i="51"/>
  <c r="J13" i="51"/>
  <c r="J14" i="51"/>
  <c r="J5" i="51"/>
  <c r="G9" i="51"/>
  <c r="G10" i="51"/>
  <c r="G11" i="51"/>
  <c r="G12" i="51"/>
  <c r="G13" i="51"/>
  <c r="G14" i="51"/>
  <c r="G15" i="51"/>
  <c r="G16" i="51"/>
  <c r="G5" i="51"/>
  <c r="D9" i="51"/>
  <c r="D10" i="51"/>
  <c r="D11" i="51"/>
  <c r="D12" i="51"/>
  <c r="D14" i="51"/>
  <c r="D15" i="51"/>
  <c r="B6" i="51"/>
  <c r="D6" i="51" s="1"/>
  <c r="D5" i="51"/>
  <c r="K5" i="51" l="1"/>
  <c r="K6" i="51"/>
  <c r="K8" i="51"/>
  <c r="F43" i="9"/>
  <c r="D5" i="48" l="1"/>
  <c r="D6" i="48"/>
  <c r="D7" i="48"/>
  <c r="D8" i="48"/>
  <c r="D9" i="48"/>
  <c r="D10" i="48"/>
  <c r="D11" i="48"/>
  <c r="D12" i="48"/>
  <c r="D13" i="48"/>
  <c r="D14" i="48"/>
  <c r="D15" i="48"/>
  <c r="D16" i="48"/>
  <c r="K16" i="50" l="1"/>
  <c r="K15" i="50"/>
  <c r="C17" i="50" l="1"/>
  <c r="D17" i="50"/>
  <c r="E17" i="50"/>
  <c r="F17" i="50"/>
  <c r="G17" i="50"/>
  <c r="H17" i="50"/>
  <c r="I17" i="50"/>
  <c r="B17" i="50"/>
  <c r="J16" i="50"/>
  <c r="J17" i="50" l="1"/>
  <c r="O17" i="50" s="1"/>
  <c r="P15" i="18" l="1"/>
  <c r="P23" i="18" s="1"/>
  <c r="F8" i="54" l="1"/>
  <c r="D43" i="9" l="1"/>
  <c r="D17" i="51"/>
  <c r="F5" i="54" l="1"/>
  <c r="G5" i="54" s="1"/>
  <c r="E6" i="27" l="1"/>
  <c r="D6" i="27" l="1"/>
  <c r="D7" i="27"/>
  <c r="D8" i="27"/>
  <c r="D9" i="27"/>
  <c r="D10" i="27"/>
  <c r="D11" i="27"/>
  <c r="D12" i="27"/>
  <c r="D13" i="27"/>
  <c r="D14" i="27"/>
  <c r="D15" i="27"/>
  <c r="D16" i="27"/>
  <c r="D5" i="27"/>
  <c r="L4" i="18" l="1"/>
  <c r="M43" i="9" l="1"/>
  <c r="J43" i="9"/>
  <c r="U11" i="58"/>
  <c r="M41" i="9"/>
  <c r="N43" i="9"/>
  <c r="F9" i="54"/>
  <c r="F10" i="54"/>
  <c r="F11" i="54"/>
  <c r="F12" i="54"/>
  <c r="F13" i="54"/>
  <c r="F14" i="54"/>
  <c r="F15" i="54"/>
  <c r="F16" i="54"/>
  <c r="C17" i="54"/>
  <c r="U16" i="58" l="1"/>
  <c r="N41" i="9"/>
  <c r="V4" i="18"/>
  <c r="V23" i="18" s="1"/>
  <c r="W23" i="18" s="1"/>
  <c r="T16" i="58" l="1"/>
  <c r="AD23" i="18"/>
  <c r="AE15" i="18"/>
  <c r="AF23" i="18"/>
  <c r="AG15" i="18" l="1"/>
  <c r="S11" i="58"/>
  <c r="R11" i="58"/>
  <c r="Q11" i="58"/>
  <c r="P11" i="58"/>
  <c r="O11" i="58"/>
  <c r="AC15" i="18" l="1"/>
  <c r="H43" i="9" l="1"/>
  <c r="V11" i="18" l="1"/>
  <c r="Q16" i="58"/>
  <c r="O16" i="58"/>
  <c r="R15" i="18" l="1"/>
  <c r="S15" i="18" s="1"/>
  <c r="Q15" i="18"/>
  <c r="F7" i="54"/>
  <c r="L15" i="18" l="1"/>
  <c r="M15" i="18" s="1"/>
  <c r="E8" i="48" l="1"/>
  <c r="E8" i="27"/>
  <c r="G8" i="48"/>
  <c r="F6" i="54"/>
  <c r="E10" i="27" l="1"/>
  <c r="P16" i="50"/>
  <c r="D5" i="54"/>
  <c r="E9" i="48" l="1"/>
  <c r="E9" i="27"/>
  <c r="E7" i="48"/>
  <c r="G7" i="48" s="1"/>
  <c r="E7" i="27"/>
  <c r="G14" i="48"/>
  <c r="G13" i="27"/>
  <c r="G10" i="27"/>
  <c r="H10" i="27" s="1"/>
  <c r="G10" i="48"/>
  <c r="H10" i="48" s="1"/>
  <c r="D16" i="53"/>
  <c r="G16" i="48"/>
  <c r="H16" i="48" s="1"/>
  <c r="D12" i="53"/>
  <c r="E12" i="53" s="1"/>
  <c r="G12" i="48"/>
  <c r="H12" i="48" s="1"/>
  <c r="G13" i="48"/>
  <c r="G15" i="48"/>
  <c r="G11" i="48"/>
  <c r="H11" i="48" s="1"/>
  <c r="D5" i="53"/>
  <c r="F5" i="53" s="1"/>
  <c r="E5" i="48"/>
  <c r="G5" i="48" s="1"/>
  <c r="H5" i="48" s="1"/>
  <c r="G9" i="27"/>
  <c r="H9" i="27" s="1"/>
  <c r="G9" i="48"/>
  <c r="H9" i="48" s="1"/>
  <c r="D38" i="9"/>
  <c r="D42" i="9" s="1"/>
  <c r="E6" i="48"/>
  <c r="G6" i="48" s="1"/>
  <c r="C38" i="9"/>
  <c r="D13" i="53"/>
  <c r="E13" i="53" s="1"/>
  <c r="L38" i="9"/>
  <c r="H38" i="9"/>
  <c r="D10" i="54"/>
  <c r="G14" i="27"/>
  <c r="K38" i="9"/>
  <c r="D11" i="54"/>
  <c r="D15" i="54"/>
  <c r="T11" i="58" s="1"/>
  <c r="G15" i="27"/>
  <c r="D10" i="53"/>
  <c r="E10" i="53" s="1"/>
  <c r="D14" i="53"/>
  <c r="E14" i="53" s="1"/>
  <c r="D14" i="54"/>
  <c r="N38" i="9"/>
  <c r="N39" i="9" s="1"/>
  <c r="J38" i="9"/>
  <c r="D12" i="54"/>
  <c r="D16" i="54"/>
  <c r="G16" i="27"/>
  <c r="D11" i="53"/>
  <c r="E11" i="53" s="1"/>
  <c r="D15" i="53"/>
  <c r="E15" i="53" s="1"/>
  <c r="M38" i="9"/>
  <c r="I38" i="9"/>
  <c r="D13" i="54"/>
  <c r="G38" i="9"/>
  <c r="D9" i="53"/>
  <c r="E9" i="53" s="1"/>
  <c r="D9" i="54"/>
  <c r="F38" i="9"/>
  <c r="D8" i="53"/>
  <c r="F8" i="53" s="1"/>
  <c r="D8" i="54"/>
  <c r="E38" i="9"/>
  <c r="G7" i="27"/>
  <c r="H7" i="27" s="1"/>
  <c r="D7" i="54"/>
  <c r="D7" i="53"/>
  <c r="E7" i="53" s="1"/>
  <c r="D6" i="53"/>
  <c r="F6" i="53" s="1"/>
  <c r="D6" i="54"/>
  <c r="E16" i="53"/>
  <c r="F16" i="53"/>
  <c r="H7" i="48"/>
  <c r="H8" i="48"/>
  <c r="F12" i="53" l="1"/>
  <c r="E5" i="53"/>
  <c r="G8" i="27"/>
  <c r="H8" i="27" s="1"/>
  <c r="G12" i="27"/>
  <c r="Z5" i="18" s="1"/>
  <c r="G11" i="27"/>
  <c r="H11" i="27" s="1"/>
  <c r="G5" i="27"/>
  <c r="H6" i="48"/>
  <c r="I6" i="48"/>
  <c r="J6" i="48" s="1"/>
  <c r="G6" i="27"/>
  <c r="H6" i="27" s="1"/>
  <c r="H15" i="48"/>
  <c r="T10" i="58"/>
  <c r="F14" i="53"/>
  <c r="F13" i="53"/>
  <c r="F11" i="53"/>
  <c r="F7" i="53"/>
  <c r="E6" i="53"/>
  <c r="H15" i="27"/>
  <c r="T9" i="58"/>
  <c r="H16" i="27"/>
  <c r="U9" i="58"/>
  <c r="H13" i="48"/>
  <c r="R10" i="58"/>
  <c r="H13" i="27"/>
  <c r="R9" i="58"/>
  <c r="H14" i="27"/>
  <c r="S9" i="58"/>
  <c r="H14" i="48"/>
  <c r="S10" i="58"/>
  <c r="F15" i="53"/>
  <c r="F9" i="53"/>
  <c r="F10" i="53"/>
  <c r="E8" i="53"/>
  <c r="L23" i="18"/>
  <c r="M23" i="18" s="1"/>
  <c r="AI15" i="18"/>
  <c r="AG23" i="18"/>
  <c r="X23" i="18"/>
  <c r="Y23" i="18" s="1"/>
  <c r="W15" i="18"/>
  <c r="U15" i="18"/>
  <c r="N15" i="18"/>
  <c r="C37" i="9"/>
  <c r="AH5" i="18"/>
  <c r="AF5" i="18"/>
  <c r="AD5" i="18"/>
  <c r="AB5" i="18"/>
  <c r="J5" i="50"/>
  <c r="H5" i="27" l="1"/>
  <c r="G18" i="27"/>
  <c r="H18" i="27" s="1"/>
  <c r="C43" i="9"/>
  <c r="X5" i="18"/>
  <c r="P9" i="58" s="1"/>
  <c r="H12" i="27"/>
  <c r="Z23" i="18"/>
  <c r="AA23" i="18" s="1"/>
  <c r="AA15" i="18"/>
  <c r="L9" i="18"/>
  <c r="J14" i="58" s="1"/>
  <c r="P5" i="50"/>
  <c r="N23" i="18"/>
  <c r="O23" i="18" s="1"/>
  <c r="O15" i="18"/>
  <c r="L11" i="18"/>
  <c r="J16" i="58" s="1"/>
  <c r="AE23" i="18"/>
  <c r="T23" i="18"/>
  <c r="U23" i="18" s="1"/>
  <c r="AH23" i="18"/>
  <c r="AI23" i="18" s="1"/>
  <c r="O5" i="50"/>
  <c r="M9" i="18" s="1"/>
  <c r="AH8" i="18"/>
  <c r="AF8" i="18"/>
  <c r="AD8" i="18"/>
  <c r="AB8" i="18"/>
  <c r="Z8" i="18"/>
  <c r="X8" i="18"/>
  <c r="V8" i="18"/>
  <c r="T8" i="18"/>
  <c r="N11" i="58" s="1"/>
  <c r="R8" i="18"/>
  <c r="M11" i="58" s="1"/>
  <c r="N8" i="18"/>
  <c r="K11" i="58" s="1"/>
  <c r="P8" i="18"/>
  <c r="L11" i="58" s="1"/>
  <c r="L8" i="18"/>
  <c r="J11" i="58" s="1"/>
  <c r="J6" i="50"/>
  <c r="J7" i="50"/>
  <c r="P7" i="50" s="1"/>
  <c r="J8" i="50"/>
  <c r="P8" i="50" s="1"/>
  <c r="J9" i="50"/>
  <c r="P9" i="50" s="1"/>
  <c r="J10" i="50"/>
  <c r="P10" i="50" s="1"/>
  <c r="J11" i="50"/>
  <c r="J12" i="50"/>
  <c r="P12" i="50" s="1"/>
  <c r="P11" i="50" l="1"/>
  <c r="P13" i="50"/>
  <c r="P15" i="50"/>
  <c r="P14" i="50"/>
  <c r="N9" i="18"/>
  <c r="K14" i="58" s="1"/>
  <c r="P6" i="50"/>
  <c r="T9" i="18"/>
  <c r="N14" i="58" s="1"/>
  <c r="AH9" i="18"/>
  <c r="Z9" i="18"/>
  <c r="Q14" i="58" s="1"/>
  <c r="R9" i="18"/>
  <c r="M14" i="58" s="1"/>
  <c r="P9" i="18"/>
  <c r="L14" i="58" s="1"/>
  <c r="AF9" i="18"/>
  <c r="T14" i="58"/>
  <c r="O6" i="50"/>
  <c r="O9" i="18" s="1"/>
  <c r="O16" i="50"/>
  <c r="AI9" i="18" s="1"/>
  <c r="O15" i="50"/>
  <c r="AG9" i="18" s="1"/>
  <c r="AB9" i="18"/>
  <c r="R14" i="58"/>
  <c r="X9" i="18"/>
  <c r="P14" i="58" s="1"/>
  <c r="O11" i="50"/>
  <c r="Y9" i="18" s="1"/>
  <c r="AD9" i="18"/>
  <c r="S14" i="58"/>
  <c r="V9" i="18"/>
  <c r="O14" i="58"/>
  <c r="O14" i="50"/>
  <c r="AE9" i="18" s="1"/>
  <c r="O13" i="50"/>
  <c r="AC9" i="18" s="1"/>
  <c r="O12" i="50"/>
  <c r="AA9" i="18" s="1"/>
  <c r="O10" i="50"/>
  <c r="W9" i="18" s="1"/>
  <c r="O9" i="50"/>
  <c r="U9" i="18" s="1"/>
  <c r="O8" i="50"/>
  <c r="S9" i="18" s="1"/>
  <c r="O7" i="50"/>
  <c r="Q9" i="18" s="1"/>
  <c r="E6" i="54"/>
  <c r="O8" i="18" s="1"/>
  <c r="E7" i="54"/>
  <c r="Q8" i="18" s="1"/>
  <c r="E8" i="54"/>
  <c r="S8" i="18" s="1"/>
  <c r="E9" i="54"/>
  <c r="U8" i="18" s="1"/>
  <c r="E10" i="54"/>
  <c r="W8" i="18" s="1"/>
  <c r="E11" i="54"/>
  <c r="Y8" i="18" s="1"/>
  <c r="E12" i="54"/>
  <c r="AA8" i="18" s="1"/>
  <c r="E13" i="54"/>
  <c r="AC8" i="18" s="1"/>
  <c r="E14" i="54"/>
  <c r="AE8" i="18" s="1"/>
  <c r="E15" i="54"/>
  <c r="AG8" i="18" s="1"/>
  <c r="E16" i="54"/>
  <c r="AI8" i="18" s="1"/>
  <c r="E5" i="54"/>
  <c r="M8" i="18" s="1"/>
  <c r="B17" i="54"/>
  <c r="F17" i="54" s="1"/>
  <c r="G16" i="54"/>
  <c r="G15" i="54"/>
  <c r="G14" i="54"/>
  <c r="G13" i="54"/>
  <c r="G12" i="54"/>
  <c r="G11" i="54"/>
  <c r="G10" i="54"/>
  <c r="G9" i="54"/>
  <c r="G8" i="54"/>
  <c r="G7" i="54"/>
  <c r="G6" i="54"/>
  <c r="G17" i="54" l="1"/>
  <c r="AH6" i="18" l="1"/>
  <c r="AF6" i="18"/>
  <c r="AD6" i="18"/>
  <c r="AB6" i="18"/>
  <c r="Z6" i="18"/>
  <c r="X6" i="18"/>
  <c r="P10" i="58" s="1"/>
  <c r="V6" i="18"/>
  <c r="O10" i="58" s="1"/>
  <c r="T6" i="18"/>
  <c r="N10" i="58" s="1"/>
  <c r="R6" i="18"/>
  <c r="M10" i="58" s="1"/>
  <c r="P6" i="18"/>
  <c r="L10" i="58" s="1"/>
  <c r="N6" i="18"/>
  <c r="K10" i="58" s="1"/>
  <c r="Q9" i="58" l="1"/>
  <c r="Q10" i="58"/>
  <c r="L6" i="18"/>
  <c r="J10" i="58" s="1"/>
  <c r="AI4" i="18"/>
  <c r="O4" i="18"/>
  <c r="V5" i="18"/>
  <c r="O9" i="58" s="1"/>
  <c r="T5" i="18"/>
  <c r="N9" i="58" s="1"/>
  <c r="R5" i="18"/>
  <c r="M9" i="58" s="1"/>
  <c r="P5" i="18"/>
  <c r="L9" i="58" s="1"/>
  <c r="N5" i="18"/>
  <c r="K9" i="58" s="1"/>
  <c r="L5" i="18"/>
  <c r="J9" i="58" s="1"/>
  <c r="D17" i="53"/>
  <c r="B17" i="53"/>
  <c r="C17" i="53"/>
  <c r="F17" i="53"/>
  <c r="E17" i="53"/>
  <c r="M5" i="18" l="1"/>
  <c r="M11" i="18"/>
  <c r="K10" i="51"/>
  <c r="L10" i="51" s="1"/>
  <c r="M10" i="51" s="1"/>
  <c r="K15" i="51"/>
  <c r="L15" i="51" s="1"/>
  <c r="M15" i="51" s="1"/>
  <c r="L5" i="51"/>
  <c r="K7" i="51"/>
  <c r="L7" i="51" s="1"/>
  <c r="L6" i="50"/>
  <c r="N6" i="50" s="1"/>
  <c r="L7" i="50"/>
  <c r="N7" i="50" s="1"/>
  <c r="L8" i="50"/>
  <c r="N8" i="50" s="1"/>
  <c r="L9" i="50"/>
  <c r="N9" i="50" s="1"/>
  <c r="L10" i="50"/>
  <c r="N10" i="50" s="1"/>
  <c r="L11" i="50"/>
  <c r="N11" i="50" s="1"/>
  <c r="L12" i="50"/>
  <c r="N12" i="50" s="1"/>
  <c r="L13" i="50"/>
  <c r="N13" i="50" s="1"/>
  <c r="L14" i="50"/>
  <c r="N14" i="50" s="1"/>
  <c r="L15" i="50"/>
  <c r="N15" i="50" s="1"/>
  <c r="L16" i="50"/>
  <c r="N16" i="50" s="1"/>
  <c r="L5" i="50"/>
  <c r="N5" i="50" s="1"/>
  <c r="K6" i="50"/>
  <c r="N10" i="18" s="1"/>
  <c r="K15" i="58" s="1"/>
  <c r="K7" i="50"/>
  <c r="K9" i="50"/>
  <c r="K10" i="50"/>
  <c r="K11" i="50"/>
  <c r="P15" i="58" s="1"/>
  <c r="K12" i="50"/>
  <c r="Q15" i="58" s="1"/>
  <c r="K13" i="50"/>
  <c r="R15" i="58" s="1"/>
  <c r="K14" i="50"/>
  <c r="T15" i="58"/>
  <c r="K5" i="50"/>
  <c r="O6" i="18"/>
  <c r="Q6" i="18"/>
  <c r="S6" i="18"/>
  <c r="U6" i="18"/>
  <c r="W6" i="18"/>
  <c r="Y6" i="18"/>
  <c r="AA6" i="18"/>
  <c r="AC6" i="18"/>
  <c r="AE6" i="18"/>
  <c r="AG6" i="18"/>
  <c r="AI6" i="18"/>
  <c r="M6" i="18"/>
  <c r="F17" i="48"/>
  <c r="E17" i="48"/>
  <c r="C17" i="48"/>
  <c r="B17" i="48"/>
  <c r="I16" i="48"/>
  <c r="J16" i="48" s="1"/>
  <c r="I15" i="48"/>
  <c r="J15" i="48" s="1"/>
  <c r="I14" i="48"/>
  <c r="J14" i="48" s="1"/>
  <c r="I12" i="48"/>
  <c r="J12" i="48" s="1"/>
  <c r="I11" i="48"/>
  <c r="J11" i="48" s="1"/>
  <c r="I10" i="48"/>
  <c r="J10" i="48" s="1"/>
  <c r="I8" i="48"/>
  <c r="J8" i="48" s="1"/>
  <c r="I7" i="48"/>
  <c r="J7" i="48" s="1"/>
  <c r="F17" i="27"/>
  <c r="E17" i="27"/>
  <c r="B17" i="27"/>
  <c r="O5" i="18"/>
  <c r="Q5" i="18"/>
  <c r="S5" i="18"/>
  <c r="U5" i="18"/>
  <c r="W5" i="18"/>
  <c r="Y5" i="18"/>
  <c r="AA5" i="18"/>
  <c r="AC5" i="18"/>
  <c r="AE5" i="18"/>
  <c r="AG5" i="18"/>
  <c r="AI5" i="18"/>
  <c r="I5" i="27"/>
  <c r="J5" i="27" s="1"/>
  <c r="D17" i="48" l="1"/>
  <c r="M6" i="50"/>
  <c r="O10" i="18" s="1"/>
  <c r="M16" i="50"/>
  <c r="AI10" i="18" s="1"/>
  <c r="AH10" i="18"/>
  <c r="K13" i="51"/>
  <c r="L13" i="51" s="1"/>
  <c r="M15" i="50"/>
  <c r="AG10" i="18" s="1"/>
  <c r="AF10" i="18"/>
  <c r="M7" i="51"/>
  <c r="P7" i="18"/>
  <c r="L8" i="58" s="1"/>
  <c r="D17" i="27"/>
  <c r="AD10" i="18"/>
  <c r="S15" i="58"/>
  <c r="V10" i="18"/>
  <c r="O15" i="58"/>
  <c r="K11" i="51"/>
  <c r="K16" i="51"/>
  <c r="M14" i="50"/>
  <c r="AE10" i="18" s="1"/>
  <c r="K12" i="51"/>
  <c r="K14" i="51"/>
  <c r="M13" i="50"/>
  <c r="AC10" i="18" s="1"/>
  <c r="AB10" i="18"/>
  <c r="M12" i="50"/>
  <c r="AA10" i="18" s="1"/>
  <c r="Z10" i="18"/>
  <c r="M11" i="50"/>
  <c r="Y10" i="18" s="1"/>
  <c r="X10" i="18"/>
  <c r="M10" i="50"/>
  <c r="W10" i="18" s="1"/>
  <c r="M9" i="50"/>
  <c r="U10" i="18" s="1"/>
  <c r="T10" i="18"/>
  <c r="N15" i="58" s="1"/>
  <c r="K9" i="51"/>
  <c r="L9" i="51" s="1"/>
  <c r="M9" i="51" s="1"/>
  <c r="M8" i="50"/>
  <c r="S10" i="18" s="1"/>
  <c r="R10" i="18"/>
  <c r="M15" i="58" s="1"/>
  <c r="M7" i="50"/>
  <c r="Q10" i="18" s="1"/>
  <c r="P10" i="18"/>
  <c r="L15" i="58" s="1"/>
  <c r="L8" i="51"/>
  <c r="M8" i="51" s="1"/>
  <c r="G17" i="27"/>
  <c r="H17" i="27" s="1"/>
  <c r="L7" i="18"/>
  <c r="J8" i="58" s="1"/>
  <c r="G17" i="51"/>
  <c r="M5" i="50"/>
  <c r="M10" i="18" s="1"/>
  <c r="L10" i="18"/>
  <c r="J15" i="58" s="1"/>
  <c r="M4" i="18"/>
  <c r="J17" i="51"/>
  <c r="G17" i="48"/>
  <c r="L17" i="50"/>
  <c r="N17" i="50" s="1"/>
  <c r="K17" i="50"/>
  <c r="M17" i="50" s="1"/>
  <c r="I5" i="48"/>
  <c r="J5" i="48" s="1"/>
  <c r="I9" i="48"/>
  <c r="J9" i="48" s="1"/>
  <c r="I13" i="48"/>
  <c r="J13" i="48" s="1"/>
  <c r="I17" i="48" l="1"/>
  <c r="J17" i="48" s="1"/>
  <c r="L16" i="51"/>
  <c r="M16" i="51" s="1"/>
  <c r="AI7" i="18" s="1"/>
  <c r="L14" i="51"/>
  <c r="M14" i="51" s="1"/>
  <c r="AE7" i="18" s="1"/>
  <c r="L12" i="51"/>
  <c r="L11" i="51"/>
  <c r="M11" i="51" s="1"/>
  <c r="Y7" i="18" s="1"/>
  <c r="T7" i="18"/>
  <c r="N8" i="58" s="1"/>
  <c r="L6" i="51"/>
  <c r="W7" i="18"/>
  <c r="O8" i="58"/>
  <c r="AF7" i="18"/>
  <c r="T8" i="58" s="1"/>
  <c r="V7" i="18"/>
  <c r="H17" i="48"/>
  <c r="I17" i="27"/>
  <c r="J17" i="27" s="1"/>
  <c r="K17" i="51"/>
  <c r="M5" i="51"/>
  <c r="M7" i="18" s="1"/>
  <c r="AG7" i="18"/>
  <c r="Q7" i="18"/>
  <c r="R7" i="18"/>
  <c r="M8" i="58" s="1"/>
  <c r="S7" i="18"/>
  <c r="I6" i="27"/>
  <c r="J6" i="27" s="1"/>
  <c r="I7" i="27"/>
  <c r="J7" i="27" s="1"/>
  <c r="I8" i="27"/>
  <c r="J8" i="27" s="1"/>
  <c r="I9" i="27"/>
  <c r="J9" i="27" s="1"/>
  <c r="I10" i="27"/>
  <c r="J10" i="27" s="1"/>
  <c r="I11" i="27"/>
  <c r="J11" i="27" s="1"/>
  <c r="I12" i="27"/>
  <c r="J12" i="27" s="1"/>
  <c r="I13" i="27"/>
  <c r="J13" i="27" s="1"/>
  <c r="I14" i="27"/>
  <c r="J14" i="27" s="1"/>
  <c r="I15" i="27"/>
  <c r="J15" i="27" s="1"/>
  <c r="I16" i="27"/>
  <c r="J16" i="27" s="1"/>
  <c r="AH7" i="18" l="1"/>
  <c r="U8" i="58"/>
  <c r="M13" i="51"/>
  <c r="AC7" i="18" s="1"/>
  <c r="AD7" i="18"/>
  <c r="S8" i="58"/>
  <c r="M12" i="51"/>
  <c r="AA7" i="18" s="1"/>
  <c r="Z7" i="18"/>
  <c r="AB7" i="18"/>
  <c r="R8" i="58"/>
  <c r="Q8" i="58"/>
  <c r="P8" i="58"/>
  <c r="X7" i="18"/>
  <c r="N7" i="18"/>
  <c r="K8" i="58" s="1"/>
  <c r="E42" i="9"/>
  <c r="F42" i="9"/>
  <c r="G42" i="9"/>
  <c r="H42" i="9"/>
  <c r="I42" i="9"/>
  <c r="J42" i="9"/>
  <c r="K42" i="9"/>
  <c r="L42" i="9"/>
  <c r="M42" i="9"/>
  <c r="N42" i="9"/>
  <c r="C42" i="9"/>
  <c r="O38" i="9"/>
  <c r="K43" i="9"/>
  <c r="C39" i="9"/>
  <c r="L43" i="9" l="1"/>
  <c r="AE11" i="18" s="1"/>
  <c r="E43" i="9"/>
  <c r="Q11" i="18" s="1"/>
  <c r="I43" i="9"/>
  <c r="Y11" i="18" s="1"/>
  <c r="G43" i="9"/>
  <c r="U11" i="18" s="1"/>
  <c r="R16" i="58"/>
  <c r="S16" i="58"/>
  <c r="O41" i="9"/>
  <c r="O42" i="9"/>
  <c r="D17" i="54"/>
  <c r="AB11" i="18"/>
  <c r="AC11" i="18"/>
  <c r="M39" i="9"/>
  <c r="AF11" i="18"/>
  <c r="AG11" i="18"/>
  <c r="X11" i="18"/>
  <c r="P11" i="18"/>
  <c r="L16" i="58" s="1"/>
  <c r="AD11" i="18"/>
  <c r="AH11" i="18"/>
  <c r="AI11" i="18"/>
  <c r="Z11" i="18"/>
  <c r="AA11" i="18"/>
  <c r="G39" i="9"/>
  <c r="T11" i="18"/>
  <c r="N16" i="58" s="1"/>
  <c r="W11" i="18"/>
  <c r="F39" i="9"/>
  <c r="R11" i="18"/>
  <c r="M16" i="58" s="1"/>
  <c r="S11" i="18"/>
  <c r="N11" i="18"/>
  <c r="K16" i="58" s="1"/>
  <c r="O11" i="18"/>
  <c r="U7" i="18"/>
  <c r="L17" i="51"/>
  <c r="M17" i="51" s="1"/>
  <c r="P17" i="50"/>
  <c r="D39" i="9"/>
  <c r="I39" i="9"/>
  <c r="H39" i="9"/>
  <c r="E39" i="9"/>
  <c r="L39" i="9"/>
  <c r="K39" i="9"/>
  <c r="J39" i="9"/>
  <c r="O39" i="9" l="1"/>
  <c r="M6" i="51"/>
  <c r="O7" i="18" s="1"/>
  <c r="AG4" i="18" l="1"/>
  <c r="AE4" i="18"/>
  <c r="AC4" i="18" l="1"/>
  <c r="AB23" i="18"/>
  <c r="AC23" i="18" s="1"/>
  <c r="W4" i="18" l="1"/>
  <c r="Y4" i="18" l="1"/>
  <c r="AA4" i="18"/>
  <c r="R23" i="18" l="1"/>
  <c r="S23" i="18" s="1"/>
  <c r="Q4" i="18" l="1"/>
  <c r="Q23" i="18"/>
  <c r="U4" i="18"/>
  <c r="S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CABRERA</author>
    <author>STULY QUINTO</author>
  </authors>
  <commentList>
    <comment ref="B4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KAREN CABRERA:</t>
        </r>
        <r>
          <rPr>
            <sz val="9"/>
            <color indexed="81"/>
            <rFont val="Tahoma"/>
            <family val="2"/>
          </rPr>
          <t xml:space="preserve">
Nivel de cumplimiento de indicadores internos de comportamiento ambiental</t>
        </r>
      </text>
    </comment>
    <comment ref="G10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KAREN CABRERA:</t>
        </r>
        <r>
          <rPr>
            <sz val="9"/>
            <color indexed="81"/>
            <rFont val="Tahoma"/>
            <family val="2"/>
          </rPr>
          <t xml:space="preserve">
no incluye residuos metálicos o líquidos de aceite vegetal
</t>
        </r>
      </text>
    </comment>
    <comment ref="B15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KAREN CABRERA:</t>
        </r>
        <r>
          <rPr>
            <sz val="9"/>
            <color indexed="81"/>
            <rFont val="Tahoma"/>
            <family val="2"/>
          </rPr>
          <t xml:space="preserve">
Nivel de cumplimiento de indicadores internos de gestión ambiental</t>
        </r>
      </text>
    </comment>
    <comment ref="L19" authorId="1" shapeId="0" xr:uid="{00000000-0006-0000-1000-000004000000}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Para el mes de Enero no se programó capacitaciones 
</t>
        </r>
      </text>
    </comment>
    <comment ref="N19" authorId="1" shapeId="0" xr:uid="{00000000-0006-0000-1000-000005000000}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Para el mes de Febrero no se programó capacitaciones 
</t>
        </r>
      </text>
    </comment>
    <comment ref="P19" authorId="1" shapeId="0" xr:uid="{00000000-0006-0000-1000-000006000000}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Emergencia COVID19
</t>
        </r>
      </text>
    </comment>
    <comment ref="R19" authorId="1" shapeId="0" xr:uid="{00000000-0006-0000-1000-000007000000}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Emergencia COVID19
</t>
        </r>
      </text>
    </comment>
    <comment ref="T19" authorId="1" shapeId="0" xr:uid="{00000000-0006-0000-1000-000008000000}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Emergencia COVID19
</t>
        </r>
      </text>
    </comment>
    <comment ref="V19" authorId="1" shapeId="0" xr:uid="{00000000-0006-0000-1000-000009000000}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No se programó formación para este mes 
</t>
        </r>
      </text>
    </comment>
    <comment ref="X19" authorId="1" shapeId="0" xr:uid="{00000000-0006-0000-1000-00000A000000}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Se cancelaron  formaciones debido a COVID19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CABRERA</author>
    <author>STULY QUINTO</author>
  </authors>
  <commentList>
    <comment ref="J5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KAREN CABRERA:</t>
        </r>
        <r>
          <rPr>
            <sz val="9"/>
            <color indexed="81"/>
            <rFont val="Tahoma"/>
            <family val="2"/>
          </rPr>
          <t xml:space="preserve">
resultado dic 2015</t>
        </r>
      </text>
    </comment>
    <comment ref="G24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KAREN CABRERA:</t>
        </r>
        <r>
          <rPr>
            <sz val="9"/>
            <color indexed="81"/>
            <rFont val="Tahoma"/>
            <family val="2"/>
          </rPr>
          <t xml:space="preserve">
6 m2 jardin interno
9 m2 jardin externo-zona conductores
2016 adiciona la siembra en via de acceso</t>
        </r>
      </text>
    </comment>
    <comment ref="F29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Se realizan 15 al mes 
</t>
        </r>
      </text>
    </comment>
    <comment ref="D31" authorId="1" shapeId="0" xr:uid="{00000000-0006-0000-1100-000004000000}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Definir Número de mantenimientos a realizar
</t>
        </r>
      </text>
    </comment>
    <comment ref="D33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Definir Número de mantenimientos a realizar
</t>
        </r>
      </text>
    </comment>
    <comment ref="F35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Se ralizan dos limpiezas al año 
</t>
        </r>
      </text>
    </comment>
  </commentList>
</comments>
</file>

<file path=xl/sharedStrings.xml><?xml version="1.0" encoding="utf-8"?>
<sst xmlns="http://schemas.openxmlformats.org/spreadsheetml/2006/main" count="676" uniqueCount="352">
  <si>
    <t>Meta</t>
  </si>
  <si>
    <t>Nombre Indicador</t>
  </si>
  <si>
    <t>Unidad</t>
  </si>
  <si>
    <t>Frecuencia</t>
  </si>
  <si>
    <t>feb</t>
  </si>
  <si>
    <t>mar</t>
  </si>
  <si>
    <t>%</t>
  </si>
  <si>
    <t>Mensual</t>
  </si>
  <si>
    <t>Consumo total de agua</t>
  </si>
  <si>
    <t>Generación de Vertimientos</t>
  </si>
  <si>
    <t>Eficiencia</t>
  </si>
  <si>
    <t>Eficacia</t>
  </si>
  <si>
    <t>Tipo Indicador</t>
  </si>
  <si>
    <t>Responsable</t>
  </si>
  <si>
    <t>Ene</t>
  </si>
  <si>
    <t xml:space="preserve">Mensual 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</si>
  <si>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</si>
  <si>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</si>
  <si>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</si>
  <si>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</si>
  <si>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</si>
  <si>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</si>
  <si>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</si>
  <si>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</si>
  <si>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</si>
  <si>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</si>
  <si>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</si>
  <si>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Aspecto</t>
  </si>
  <si>
    <t>1. ICA</t>
  </si>
  <si>
    <t>Fórmula</t>
  </si>
  <si>
    <t>Comportamiento Ambiental</t>
  </si>
  <si>
    <t>Consumo de Energia Eléctrica</t>
  </si>
  <si>
    <t>kg</t>
  </si>
  <si>
    <t>m3</t>
  </si>
  <si>
    <t>2. IGA</t>
  </si>
  <si>
    <t>Gestión Ambiental</t>
  </si>
  <si>
    <t>Peso</t>
  </si>
  <si>
    <t>Número de reclamaciones y quejas ambientales</t>
  </si>
  <si>
    <t>Número de reclamaciones y quejas de tipo ambiental recibidas</t>
  </si>
  <si>
    <t>Absoluto</t>
  </si>
  <si>
    <t>≤ 300</t>
  </si>
  <si>
    <t>Kg</t>
  </si>
  <si>
    <t>(Capacitaciones realizadas/ capacitaciones programadas)*100</t>
  </si>
  <si>
    <t>Capacitaciones ambientales</t>
  </si>
  <si>
    <t>Página
1 de 1</t>
  </si>
  <si>
    <t>TABULACIÓN DATOS GENERACIÓN DE RESIDUOS</t>
  </si>
  <si>
    <t>≤ 25,8</t>
  </si>
  <si>
    <t>Consumo de Gas natural</t>
  </si>
  <si>
    <t>Generación de residuos peligrosos</t>
  </si>
  <si>
    <t>Generación de residuos no peligrosos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</si>
  <si>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</si>
  <si>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</si>
  <si>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</si>
  <si>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</si>
  <si>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</si>
  <si>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</si>
  <si>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</si>
  <si>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</si>
  <si>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</si>
  <si>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</si>
  <si>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</si>
  <si>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</si>
  <si>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</si>
  <si>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</si>
  <si>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</si>
  <si>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</si>
  <si>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</si>
  <si>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</si>
  <si>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</si>
  <si>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</si>
  <si>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</si>
  <si>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</si>
  <si>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</si>
  <si>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</si>
  <si>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Accidentes ambientales</t>
  </si>
  <si>
    <t>No. accidentes ambientales presentados en el período</t>
  </si>
  <si>
    <t>Sanciones ambientales</t>
  </si>
  <si>
    <t>No. sanciones ambientales monetarias</t>
  </si>
  <si>
    <t>No. sanciones ambientales no monetarias</t>
  </si>
  <si>
    <t xml:space="preserve">2.1 LEGISLATIVOS, QUEJAS </t>
  </si>
  <si>
    <t>2.2 CAPACITACIONES AMBIENTALES</t>
  </si>
  <si>
    <t>2.3 CONTINGENCIAS</t>
  </si>
  <si>
    <t>Res. Reciclables + Res. ordinarios</t>
  </si>
  <si>
    <t>≤ 290</t>
  </si>
  <si>
    <t xml:space="preserve">Programa </t>
  </si>
  <si>
    <t>Cumplimiento</t>
  </si>
  <si>
    <t>µg/m³</t>
  </si>
  <si>
    <t>Semestral</t>
  </si>
  <si>
    <t>Trimestral</t>
  </si>
  <si>
    <t>Cumplimiento de inspecciones</t>
  </si>
  <si>
    <t>Prom,emisiones de ruido en los puntos monitoreados</t>
  </si>
  <si>
    <t>&lt;75</t>
  </si>
  <si>
    <t xml:space="preserve"> - </t>
  </si>
  <si>
    <t>m3/Ton mov</t>
  </si>
  <si>
    <t>&lt;45</t>
  </si>
  <si>
    <t>&lt;95</t>
  </si>
  <si>
    <t>GENERACIÓN DE RUIDO</t>
  </si>
  <si>
    <t>GENERACIÓN DE RESIDUOS</t>
  </si>
  <si>
    <t>GENERACIÓN DE AGUAS RESIDUALES (INDUSTRIALES)</t>
  </si>
  <si>
    <t>CONSUMO DE MATERIAS PRIMAS Y RECURSOS (AGUA)</t>
  </si>
  <si>
    <t>GENERACIÓN DE EMISIONES</t>
  </si>
  <si>
    <t>Generación de ruido</t>
  </si>
  <si>
    <t>Cumplimiento parámetro PM10</t>
  </si>
  <si>
    <t>Cumplimiento parámetro PST</t>
  </si>
  <si>
    <t>db</t>
  </si>
  <si>
    <t>Prom,concentracion anual de particulas PST</t>
  </si>
  <si>
    <t>Prom,concentracion anual de particulas PM10</t>
  </si>
  <si>
    <t>Energía eléctrica consumida/ Ton mov</t>
  </si>
  <si>
    <t>Kwh/Ton mov</t>
  </si>
  <si>
    <t>Cumplimiento parámetro NOx-caldera</t>
  </si>
  <si>
    <t>&lt;300</t>
  </si>
  <si>
    <t>cada 3 años</t>
  </si>
  <si>
    <t>Residuos peligrosos generados</t>
  </si>
  <si>
    <t>Vertimientos generados</t>
  </si>
  <si>
    <t>CONSUMO DE MATERIAS PRIMAS Y RECURSOS (ENERGÍA)</t>
  </si>
  <si>
    <t>MES</t>
  </si>
  <si>
    <t>Plan de Manejo ambiental</t>
  </si>
  <si>
    <t>Jardines mantenidos en buen estado</t>
  </si>
  <si>
    <t>m2</t>
  </si>
  <si>
    <t>Prom M2 de Jardines mantenidos en buen estado</t>
  </si>
  <si>
    <t>(Cantidad Residuos reciclables/ Total residuos  gen oficinas)*100</t>
  </si>
  <si>
    <t>≥86%</t>
  </si>
  <si>
    <t>≤ 0,02</t>
  </si>
  <si>
    <t>Programa de emisiones atmosféricas</t>
  </si>
  <si>
    <t>Indice de reciclaje (oficinas)</t>
  </si>
  <si>
    <t>EDA</t>
  </si>
  <si>
    <t>Programa asociado</t>
  </si>
  <si>
    <t>Uso racional y eficiente d ela energía</t>
  </si>
  <si>
    <t>Uso eficiente y ahorro del agua</t>
  </si>
  <si>
    <t>Manejo de residuos líquidos industriales y domésticos</t>
  </si>
  <si>
    <t>Manejo integral de residuos</t>
  </si>
  <si>
    <t>Control de ruido</t>
  </si>
  <si>
    <t>Control de emisiones atmosféricas</t>
  </si>
  <si>
    <t xml:space="preserve">Baterias plomo acido </t>
  </si>
  <si>
    <t xml:space="preserve">Baterias UPS </t>
  </si>
  <si>
    <t xml:space="preserve">Bolsas de Cemento </t>
  </si>
  <si>
    <t xml:space="preserve">Cartuchos y toner de tinta </t>
  </si>
  <si>
    <t>Colillas de soldaduras</t>
  </si>
  <si>
    <t xml:space="preserve">Discos de pulidoras </t>
  </si>
  <si>
    <t xml:space="preserve">Envases de plaguicidas </t>
  </si>
  <si>
    <t>EPP contaminado</t>
  </si>
  <si>
    <t xml:space="preserve">Filtros de aire </t>
  </si>
  <si>
    <t xml:space="preserve">Filtros de aceite </t>
  </si>
  <si>
    <t xml:space="preserve">Aceite usado </t>
  </si>
  <si>
    <t xml:space="preserve">Carton contamiado </t>
  </si>
  <si>
    <t>Plastico contaminado</t>
  </si>
  <si>
    <t xml:space="preserve">Metal contaminado </t>
  </si>
  <si>
    <t xml:space="preserve">Residuos de pintura </t>
  </si>
  <si>
    <t xml:space="preserve">Tarros de aerosol </t>
  </si>
  <si>
    <t>Tarros de pintura</t>
  </si>
  <si>
    <t xml:space="preserve">Lodos contaminados </t>
  </si>
  <si>
    <t xml:space="preserve">Manguera contaminada </t>
  </si>
  <si>
    <t>RESIDUOS PELIGROSOS</t>
  </si>
  <si>
    <t xml:space="preserve">MES </t>
  </si>
  <si>
    <t>Balasto</t>
  </si>
  <si>
    <t xml:space="preserve">Chatarra </t>
  </si>
  <si>
    <t xml:space="preserve">Escombros </t>
  </si>
  <si>
    <t xml:space="preserve">Muebles de oficina </t>
  </si>
  <si>
    <t>RESIDUOS ESPECIALES</t>
  </si>
  <si>
    <t>Tipo de Residuo
Unidad</t>
  </si>
  <si>
    <t>RAEE´s (Chatarra electronica)</t>
  </si>
  <si>
    <t xml:space="preserve">Lamparas </t>
  </si>
  <si>
    <t xml:space="preserve">Bombillas </t>
  </si>
  <si>
    <t xml:space="preserve">Pilas alcalinas </t>
  </si>
  <si>
    <t>RESIDUOS POSCONSUMO</t>
  </si>
  <si>
    <t xml:space="preserve">TOTAL </t>
  </si>
  <si>
    <t xml:space="preserve">ANALISIS </t>
  </si>
  <si>
    <t xml:space="preserve">PLANTA </t>
  </si>
  <si>
    <t xml:space="preserve">TONELADAS MOVILIZADAS </t>
  </si>
  <si>
    <t xml:space="preserve">RELACIÓN Kg/Ton Mov </t>
  </si>
  <si>
    <t xml:space="preserve">COSTOS DE DISPOSICIÓN </t>
  </si>
  <si>
    <t>RELACIÓN  ($/Ton Mov)</t>
  </si>
  <si>
    <t xml:space="preserve">RELACIÓN ($/Kg Respel) </t>
  </si>
  <si>
    <t>Ton MOV</t>
  </si>
  <si>
    <t>kWh</t>
  </si>
  <si>
    <t>kWh/Ton Mov</t>
  </si>
  <si>
    <t>CONSUMO 2018</t>
  </si>
  <si>
    <t>Ton Mov</t>
  </si>
  <si>
    <t xml:space="preserve">TENDENCIA </t>
  </si>
  <si>
    <t xml:space="preserve">REDUCCIÓN O INCREMENTO </t>
  </si>
  <si>
    <t xml:space="preserve">CONSUMO DE ENERGÍA ELECTRICA </t>
  </si>
  <si>
    <t xml:space="preserve">CONSUMO DE GAS NATURAL  </t>
  </si>
  <si>
    <t xml:space="preserve">OFICINAS </t>
  </si>
  <si>
    <t xml:space="preserve">ordinarios </t>
  </si>
  <si>
    <t xml:space="preserve">Carton y papel </t>
  </si>
  <si>
    <t>Plásticos</t>
  </si>
  <si>
    <t xml:space="preserve">Limpiezas Operaciones </t>
  </si>
  <si>
    <t xml:space="preserve">Marranos </t>
  </si>
  <si>
    <t xml:space="preserve">INDICE DE RECICLAJE </t>
  </si>
  <si>
    <t xml:space="preserve">Oficinas </t>
  </si>
  <si>
    <t xml:space="preserve">Planta </t>
  </si>
  <si>
    <t xml:space="preserve">Total </t>
  </si>
  <si>
    <t xml:space="preserve">Oficina </t>
  </si>
  <si>
    <t xml:space="preserve">Todas las instalaciones </t>
  </si>
  <si>
    <t>TENDENCIA</t>
  </si>
  <si>
    <t xml:space="preserve">MEDIDOR 1 
Alberca </t>
  </si>
  <si>
    <t xml:space="preserve">MEDIDOR 2
Oficinas </t>
  </si>
  <si>
    <t>MEDIDOR 3
Caldera</t>
  </si>
  <si>
    <t>Consumo 
Mes (m3)</t>
  </si>
  <si>
    <t xml:space="preserve">CONSUMO TOTAL
(m3) </t>
  </si>
  <si>
    <t xml:space="preserve">Lectura inicial </t>
  </si>
  <si>
    <t xml:space="preserve">Lectura 
Final </t>
  </si>
  <si>
    <t xml:space="preserve">Lectura Inicial </t>
  </si>
  <si>
    <t>m3/Ton Mov</t>
  </si>
  <si>
    <t xml:space="preserve">CUMPLIMIENTO 
DE META
≤ 0,02 m3/Ton Mov
</t>
  </si>
  <si>
    <t xml:space="preserve">Lectura
final </t>
  </si>
  <si>
    <t>REGISTRO DE CONSUMO DE AGUA TERLICA S.A.S 
DEPARTAMENTO DE SOSTENIBILIDAD</t>
  </si>
  <si>
    <r>
      <t xml:space="preserve">CUMPLIMIENTO DE META 
INDICE DE RECICLAJE
</t>
    </r>
    <r>
      <rPr>
        <b/>
        <sz val="11"/>
        <color theme="0"/>
        <rFont val="Calibri"/>
        <family val="2"/>
      </rPr>
      <t>≥</t>
    </r>
    <r>
      <rPr>
        <b/>
        <sz val="11"/>
        <color theme="0"/>
        <rFont val="Arial Narrow"/>
        <family val="2"/>
      </rPr>
      <t>15 %</t>
    </r>
  </si>
  <si>
    <t xml:space="preserve">CUMPLIMIENTO DE META GENERACIÓN
≤ 290 </t>
  </si>
  <si>
    <t>ACPM
(Gal)
2018</t>
  </si>
  <si>
    <t>Gasolina 
(Gal)
2018</t>
  </si>
  <si>
    <t>Ton Mov 
2018</t>
  </si>
  <si>
    <t>Gal ACPM/Ton Mov</t>
  </si>
  <si>
    <t xml:space="preserve">Gal Gaso/Ton Mov </t>
  </si>
  <si>
    <t xml:space="preserve">CONSUMO DE COMBUSTIBLES </t>
  </si>
  <si>
    <t>total m3 de Gas consumido/ Ton mov</t>
  </si>
  <si>
    <t xml:space="preserve">total consumo agua/ Ton Movilizadas </t>
  </si>
  <si>
    <t>CUMPLIMIENTO DE META
≤ 25,8</t>
  </si>
  <si>
    <t>GENERACIÓN DE AGUAS RESIDUALES NO DOMESTICAS</t>
  </si>
  <si>
    <t xml:space="preserve">Meta </t>
  </si>
  <si>
    <t>VOL
TOTAL</t>
  </si>
  <si>
    <t>Toner</t>
  </si>
  <si>
    <t xml:space="preserve">TOTAL MOV </t>
  </si>
  <si>
    <t xml:space="preserve">DEPARTAMENTO DE SOSTENIBILIDAD 
ÁREA DE GESTIÓN AMBIENTAL </t>
  </si>
  <si>
    <t>DEPARTAMENTO DE SOSTENIBILIDAD
ÁREA DE GESTIÓN AMBIENTAL</t>
  </si>
  <si>
    <t xml:space="preserve">DEPARTAMENTO DE SOSTENIBILIDAD
ÁREA DE GESTIÓN AMBIENTAL </t>
  </si>
  <si>
    <t>Residuos contaminados con HC</t>
  </si>
  <si>
    <t xml:space="preserve">Thinner u otros solventes </t>
  </si>
  <si>
    <t>CODIGO: 
R05-PRGI-013</t>
  </si>
  <si>
    <t>MATRIZ DE INDICADORES AMBIENTALES - BALANCE AMBIENTAL</t>
  </si>
  <si>
    <t>≤ 2,0</t>
  </si>
  <si>
    <t>≤ 1,8</t>
  </si>
  <si>
    <t>CÓDIGO: 
R04-PRGI-013</t>
  </si>
  <si>
    <t>GENERACIÓN DE RESIDUOS PELIGROSOS, ESPECIALES Y DE POSCONSUMO</t>
  </si>
  <si>
    <t>Fecha: 11/05/2018</t>
  </si>
  <si>
    <t>Versión: 01</t>
  </si>
  <si>
    <t>Fecha:  11/05/2018</t>
  </si>
  <si>
    <t>Versión: 02</t>
  </si>
  <si>
    <t>FECHA: 11/05/2018</t>
  </si>
  <si>
    <t>VERSIÓN: 01</t>
  </si>
  <si>
    <t>CÓDIGO:
R02-PGD-001</t>
  </si>
  <si>
    <t xml:space="preserve">Coord. Ambiental </t>
  </si>
  <si>
    <t xml:space="preserve">Anual </t>
  </si>
  <si>
    <t>Resultado medición NOx</t>
  </si>
  <si>
    <t xml:space="preserve">Semestral </t>
  </si>
  <si>
    <t xml:space="preserve">Programa de ahorro y uso eficiente del agua </t>
  </si>
  <si>
    <t xml:space="preserve">Consumo total del agua </t>
  </si>
  <si>
    <t xml:space="preserve">(Total consumo del agua/Ton movilizadas) *100 </t>
  </si>
  <si>
    <t xml:space="preserve">m3/Ton mov </t>
  </si>
  <si>
    <t>Prom. concentración
diaria de partículas
(PM10)</t>
  </si>
  <si>
    <t>Prom. concentración
diaria de partículas
(PST)</t>
  </si>
  <si>
    <t>Cumplimiento páramentro PM10</t>
  </si>
  <si>
    <t>Cumplimiento
parámetro PST</t>
  </si>
  <si>
    <t xml:space="preserve">Programa  de uso racional y eficiente de la energía </t>
  </si>
  <si>
    <t>Consumo energía eléctrica</t>
  </si>
  <si>
    <t>Consumo gas natural</t>
  </si>
  <si>
    <t>(consumo E.E (Kw/mes)/ Ton movilizadas)</t>
  </si>
  <si>
    <t>consumo G.N (Kw/mes)/ Ton movilizadas)</t>
  </si>
  <si>
    <t>Kw/ Ton Mov</t>
  </si>
  <si>
    <t>m3/ Ton Mov</t>
  </si>
  <si>
    <t xml:space="preserve">Manejo de residuos liquidos industriales y domesticos </t>
  </si>
  <si>
    <t xml:space="preserve">Total vertimiento generado </t>
  </si>
  <si>
    <t>Total vertimiento
generado</t>
  </si>
  <si>
    <t>≤ 25,9</t>
  </si>
  <si>
    <t>(Parámetros evaluados
que cumplen con la
legislación/ total de
parámetros
evaluados)*100</t>
  </si>
  <si>
    <t xml:space="preserve">Cumplimiento de caracterización </t>
  </si>
  <si>
    <t>Concentración de
Grasas y aceites</t>
  </si>
  <si>
    <t>Concentración de
grasas y aceites en
punto de vertimiento</t>
  </si>
  <si>
    <t xml:space="preserve">Trimestral </t>
  </si>
  <si>
    <t>Total residuos generados
(no peligrosos)</t>
  </si>
  <si>
    <t>Generación total
de residuos</t>
  </si>
  <si>
    <t>Índice de Reciclaje
(oficina)</t>
  </si>
  <si>
    <t>(Cantidad Residuos
reciclables/ Total
residuos generados- no
peligrosos)*100</t>
  </si>
  <si>
    <t xml:space="preserve">Total Respel Generados </t>
  </si>
  <si>
    <t>Generación total
Residuos
peligrosos</t>
  </si>
  <si>
    <t xml:space="preserve">Programa de Manejo integrado de resisuos sólidos </t>
  </si>
  <si>
    <t>Inspección de Kit de derrame
(No.insp realizadas en el periodo)/No. insp. Prog.)*100</t>
  </si>
  <si>
    <t>Inspección en oficinas
(No.insp realizadas en el periodo)/No. insp. Prog.)*100</t>
  </si>
  <si>
    <t xml:space="preserve">Coordinador H&amp;S/ Coord. Ambiental </t>
  </si>
  <si>
    <t xml:space="preserve">SEGUIMIENTO AL CUMPLIMIENTO DE  INDICADORES DE PROGRAMAS AMBIENTALES Y PLAN DE MANEJO AMBIENTAL  </t>
  </si>
  <si>
    <t>Inspección de Canales Escorrentías
(No.insp realizadas en el periodo)/No. insp. Prog.)*100</t>
  </si>
  <si>
    <t xml:space="preserve">1. PROGRAMAS AMBIENTALES </t>
  </si>
  <si>
    <t xml:space="preserve">2. PLAN DE MANEJO AMBIENTAL </t>
  </si>
  <si>
    <t>Programa de Inspecciones</t>
  </si>
  <si>
    <t xml:space="preserve">Programa de control de ruido </t>
  </si>
  <si>
    <t>Cumplimiento
nivel de emisión
de ruido</t>
  </si>
  <si>
    <t>prom. emisión de
ruido en los puntos
monitoreados</t>
  </si>
  <si>
    <t>dB</t>
  </si>
  <si>
    <t xml:space="preserve">Eficiencia </t>
  </si>
  <si>
    <t xml:space="preserve">Manejo de suelos/Manejo de escorrentia 
</t>
  </si>
  <si>
    <t xml:space="preserve">Inspecciones a canales de escorrentías </t>
  </si>
  <si>
    <t>(No de inspecciones realizadas/ No de inspecciones programadas)*100</t>
  </si>
  <si>
    <t xml:space="preserve">Mantenimiento de canales de escorrentía </t>
  </si>
  <si>
    <t>(No mantenimiento realizados/No Mantenimientos programados)*100</t>
  </si>
  <si>
    <t xml:space="preserve">Manejo del recurso hidrico </t>
  </si>
  <si>
    <t xml:space="preserve">Mantenimiento STARnD </t>
  </si>
  <si>
    <t xml:space="preserve">Monitoreo de vertimiento de calidad de agua y sedimentos marinos </t>
  </si>
  <si>
    <t xml:space="preserve">Quincenal </t>
  </si>
  <si>
    <t>Revisiones de estado de vehículos y documentación Requerida</t>
  </si>
  <si>
    <t>(No de monitoreos realizados/No de monitoreos   programados)*100</t>
  </si>
  <si>
    <t xml:space="preserve">Programa del control de emisiones atnmosfericas
Proyecto control de emisiones de partículas en vías externas  </t>
  </si>
  <si>
    <t>Monitoreo de la calidad del aire</t>
  </si>
  <si>
    <t xml:space="preserve">Programa del control de emisiones atnmosfericas
Proyecto control de emisiones por fuentes móviles   </t>
  </si>
  <si>
    <t xml:space="preserve">Mantenimiento de equipo pesado y liviano propio </t>
  </si>
  <si>
    <t xml:space="preserve">Verificación de certificado de emisiones gaseosas vehículos propios de la operación del terminal </t>
  </si>
  <si>
    <t>(No de certificados verificados/No de  vehiculos propios)*100</t>
  </si>
  <si>
    <t xml:space="preserve">Programa de control de ruido-Control de maquinaria, equipo y vehicular </t>
  </si>
  <si>
    <t>Mantenimiento control del Ruido</t>
  </si>
  <si>
    <t>Coord. Ambiental / Jefe de Mantenimiento</t>
  </si>
  <si>
    <t xml:space="preserve">Coord. Ambiental/ Jefe de mantenimiento/Director de operaciones </t>
  </si>
  <si>
    <t xml:space="preserve">Monitoreo de Riuido </t>
  </si>
  <si>
    <t xml:space="preserve">Programa paisajistico en la operación de la Terminal - Limpieza y recuperación de resisuos desde plyas y fondos Marinos </t>
  </si>
  <si>
    <t xml:space="preserve">Realización de Jornadas de limpieza  </t>
  </si>
  <si>
    <t>(No de jornadas de limpieza realizada/No de limpiezas programadas)*100</t>
  </si>
  <si>
    <t xml:space="preserve">Cantidad de residuos recuperados </t>
  </si>
  <si>
    <t xml:space="preserve">Cantidad de residuos recolectados </t>
  </si>
  <si>
    <t>___</t>
  </si>
  <si>
    <t xml:space="preserve">Composisicón de residuos </t>
  </si>
  <si>
    <t>(Cantidad de residuos por tipo recolectados / Total de residuos)*100</t>
  </si>
  <si>
    <t xml:space="preserve">Disposición final adecuada </t>
  </si>
  <si>
    <t>(Cantidad de residuos dispuestos / Total de residuos)*100</t>
  </si>
  <si>
    <t xml:space="preserve">Programa de educación ambiental </t>
  </si>
  <si>
    <t xml:space="preserve">Capacitaciones Ambientales </t>
  </si>
  <si>
    <t>Cobertura de Capacitaciones ambientales PMA</t>
  </si>
  <si>
    <t>(No de Capacitaciones  ejecutadas/No de capacitaciones programadas)*100</t>
  </si>
  <si>
    <t>(No de trabajadores Capacitacitados/No de total de Trabajadores)*100</t>
  </si>
  <si>
    <t>CUMPLIMIENTO DE META
≤ 1,8</t>
  </si>
  <si>
    <t>Lodos no Contaminados (gal)</t>
  </si>
  <si>
    <t xml:space="preserve">Vidrio Contaminado </t>
  </si>
  <si>
    <t>CUMPLIMIENTO DE META
≤ 2</t>
  </si>
  <si>
    <t>(No de inspecciones  realizadas/No de inspecciones  programados)*100</t>
  </si>
  <si>
    <t>mg/l</t>
  </si>
  <si>
    <t>Ordinario</t>
  </si>
  <si>
    <t>NA</t>
  </si>
  <si>
    <t>≤ 500</t>
  </si>
  <si>
    <t xml:space="preserve">CUMPLIMIENTO DE METAS
≤ 500 </t>
  </si>
  <si>
    <t>No se realizó la medición</t>
  </si>
  <si>
    <t>Relación
Kg Residuos/Ton Mov
2020</t>
  </si>
  <si>
    <t>CONSUMO 2020</t>
  </si>
  <si>
    <t>GN (m3)
2020</t>
  </si>
  <si>
    <t>m3 GN/Ton Mov
2020</t>
  </si>
  <si>
    <t>No aplica para el año 2020</t>
  </si>
  <si>
    <t xml:space="preserve">No se realizó la Jornada </t>
  </si>
  <si>
    <t xml:space="preserve">No se realizó la medición </t>
  </si>
  <si>
    <t>CONSUMO 2021</t>
  </si>
  <si>
    <t>Volumen de Vertimiento (m3)
2020</t>
  </si>
  <si>
    <t>Volumen de Vertimiento (m3)
 2021</t>
  </si>
  <si>
    <t>Ton MOV
2020</t>
  </si>
  <si>
    <t>Ton Mov
2021</t>
  </si>
  <si>
    <t>GN (m3)
2021</t>
  </si>
  <si>
    <t>m3 GN/Ton Mov
2021</t>
  </si>
  <si>
    <t>m3 ARnD/Ton Mov
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</si>
</sst>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#,##0.0"/>
    <numFmt numFmtId="167" formatCode="0.000"/>
    <numFmt numFmtId="168" formatCode="0.0%"/>
    <numFmt numFmtId="169" formatCode="###.0&quot;%&quot;"/>
    <numFmt numFmtId="170" formatCode="0.0000"/>
    <numFmt numFmtId="173" formatCode="#,##0.000"/>
    <numFmt numFmtId="174" formatCode="_(* #,##0_);_(* \(#,##0\);_(* &quot;-&quot;??_);_(@_)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Arial 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 Narrow"/>
      <family val="2"/>
    </font>
    <font>
      <sz val="9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9"/>
      <color rgb="FFC00000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4"/>
      <color theme="1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b/>
      <sz val="18"/>
      <color theme="0"/>
      <name val="Arial Narrow"/>
      <family val="2"/>
    </font>
    <font>
      <b/>
      <sz val="14"/>
      <color theme="1"/>
      <name val="Arial Narrow"/>
      <family val="2"/>
    </font>
    <font>
      <b/>
      <sz val="11"/>
      <color theme="0"/>
      <name val="Calibri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22"/>
      <color theme="1"/>
      <name val="Arial Narrow"/>
      <family val="2"/>
    </font>
    <font>
      <b/>
      <sz val="14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 Narrow"/>
      <family val="2"/>
    </font>
    <font>
      <sz val="12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7D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6">
    <xf numFmtId="0" fontId="0" fillId="0" borderId="0" xfId="0"/>
    <xf numFmtId="9" fontId="5" fillId="0" borderId="2" xfId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1" fontId="5" fillId="0" borderId="1" xfId="1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5" fillId="0" borderId="0" xfId="1" applyFont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" fontId="5" fillId="0" borderId="15" xfId="1" applyNumberFormat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1" fontId="5" fillId="0" borderId="9" xfId="1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9" fontId="14" fillId="0" borderId="2" xfId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68" fontId="14" fillId="0" borderId="2" xfId="1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65" fontId="14" fillId="0" borderId="2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/>
    <xf numFmtId="165" fontId="5" fillId="0" borderId="1" xfId="0" applyNumberFormat="1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166" fontId="14" fillId="0" borderId="4" xfId="1" applyNumberFormat="1" applyFont="1" applyBorder="1" applyAlignment="1">
      <alignment horizontal="center" vertical="center" wrapText="1"/>
    </xf>
    <xf numFmtId="3" fontId="14" fillId="0" borderId="4" xfId="1" applyNumberFormat="1" applyFont="1" applyBorder="1" applyAlignment="1">
      <alignment horizontal="center" vertical="center" wrapText="1"/>
    </xf>
    <xf numFmtId="2" fontId="5" fillId="0" borderId="2" xfId="1" applyNumberFormat="1" applyFont="1" applyBorder="1" applyAlignment="1">
      <alignment horizontal="center" vertical="center" wrapText="1"/>
    </xf>
    <xf numFmtId="2" fontId="5" fillId="0" borderId="8" xfId="1" applyNumberFormat="1" applyFont="1" applyBorder="1" applyAlignment="1">
      <alignment horizontal="center" vertical="center" wrapText="1"/>
    </xf>
    <xf numFmtId="3" fontId="0" fillId="0" borderId="0" xfId="0" applyNumberFormat="1"/>
    <xf numFmtId="0" fontId="18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165" fontId="14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165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2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4" fontId="14" fillId="0" borderId="2" xfId="0" applyNumberFormat="1" applyFont="1" applyBorder="1" applyAlignment="1">
      <alignment horizontal="center" vertical="center" wrapText="1"/>
    </xf>
    <xf numFmtId="164" fontId="14" fillId="0" borderId="2" xfId="2" applyFont="1" applyBorder="1" applyAlignment="1">
      <alignment horizontal="center" vertical="center" wrapText="1"/>
    </xf>
    <xf numFmtId="9" fontId="5" fillId="0" borderId="2" xfId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9" fontId="14" fillId="0" borderId="11" xfId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13" fillId="0" borderId="39" xfId="0" applyFont="1" applyBorder="1"/>
    <xf numFmtId="0" fontId="13" fillId="0" borderId="0" xfId="0" applyFont="1"/>
    <xf numFmtId="0" fontId="16" fillId="0" borderId="0" xfId="0" applyFont="1"/>
    <xf numFmtId="0" fontId="23" fillId="0" borderId="0" xfId="0" applyFont="1"/>
    <xf numFmtId="0" fontId="16" fillId="0" borderId="2" xfId="0" applyFont="1" applyBorder="1"/>
    <xf numFmtId="0" fontId="16" fillId="0" borderId="29" xfId="0" applyFont="1" applyBorder="1"/>
    <xf numFmtId="0" fontId="16" fillId="0" borderId="29" xfId="0" applyFont="1" applyBorder="1" applyAlignment="1">
      <alignment wrapText="1"/>
    </xf>
    <xf numFmtId="0" fontId="16" fillId="0" borderId="35" xfId="0" applyFont="1" applyBorder="1"/>
    <xf numFmtId="0" fontId="16" fillId="0" borderId="1" xfId="0" applyFont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2" fontId="13" fillId="0" borderId="2" xfId="0" applyNumberFormat="1" applyFont="1" applyBorder="1" applyAlignment="1">
      <alignment horizontal="center"/>
    </xf>
    <xf numFmtId="3" fontId="16" fillId="0" borderId="2" xfId="0" applyNumberFormat="1" applyFont="1" applyBorder="1" applyAlignment="1">
      <alignment horizontal="center" wrapText="1"/>
    </xf>
    <xf numFmtId="1" fontId="13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 wrapText="1"/>
    </xf>
    <xf numFmtId="3" fontId="13" fillId="0" borderId="2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169" fontId="13" fillId="0" borderId="8" xfId="0" applyNumberFormat="1" applyFont="1" applyBorder="1" applyAlignment="1">
      <alignment horizontal="center"/>
    </xf>
    <xf numFmtId="0" fontId="15" fillId="0" borderId="55" xfId="0" applyFont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169" fontId="13" fillId="0" borderId="9" xfId="0" applyNumberFormat="1" applyFont="1" applyBorder="1" applyAlignment="1">
      <alignment horizontal="center"/>
    </xf>
    <xf numFmtId="9" fontId="11" fillId="0" borderId="2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" fontId="13" fillId="0" borderId="26" xfId="0" applyNumberFormat="1" applyFont="1" applyBorder="1" applyAlignment="1">
      <alignment horizontal="center"/>
    </xf>
    <xf numFmtId="0" fontId="13" fillId="0" borderId="5" xfId="0" applyFont="1" applyBorder="1"/>
    <xf numFmtId="0" fontId="16" fillId="0" borderId="10" xfId="0" applyFont="1" applyBorder="1"/>
    <xf numFmtId="0" fontId="16" fillId="0" borderId="8" xfId="0" applyFont="1" applyBorder="1"/>
    <xf numFmtId="0" fontId="16" fillId="0" borderId="5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5" borderId="11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wrapText="1"/>
    </xf>
    <xf numFmtId="0" fontId="17" fillId="5" borderId="8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top" wrapText="1"/>
    </xf>
    <xf numFmtId="0" fontId="22" fillId="5" borderId="5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/>
    </xf>
    <xf numFmtId="0" fontId="17" fillId="5" borderId="2" xfId="0" applyFont="1" applyFill="1" applyBorder="1"/>
    <xf numFmtId="0" fontId="17" fillId="5" borderId="5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vertical="center"/>
    </xf>
    <xf numFmtId="0" fontId="17" fillId="5" borderId="29" xfId="0" applyFont="1" applyFill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2" fontId="14" fillId="0" borderId="11" xfId="0" applyNumberFormat="1" applyFont="1" applyBorder="1" applyAlignment="1">
      <alignment horizontal="center" vertical="center" wrapText="1"/>
    </xf>
    <xf numFmtId="1" fontId="5" fillId="0" borderId="60" xfId="1" applyNumberFormat="1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9" fontId="4" fillId="0" borderId="4" xfId="1" applyFont="1" applyBorder="1" applyAlignment="1">
      <alignment horizontal="center" vertical="center" wrapText="1"/>
    </xf>
    <xf numFmtId="9" fontId="14" fillId="0" borderId="22" xfId="1" applyFont="1" applyBorder="1" applyAlignment="1">
      <alignment horizontal="center" vertical="center" wrapText="1"/>
    </xf>
    <xf numFmtId="1" fontId="14" fillId="0" borderId="4" xfId="0" applyNumberFormat="1" applyFont="1" applyBorder="1" applyAlignment="1">
      <alignment horizontal="center" vertical="center" wrapText="1"/>
    </xf>
    <xf numFmtId="9" fontId="5" fillId="4" borderId="2" xfId="1" applyFont="1" applyFill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9" fontId="5" fillId="4" borderId="31" xfId="1" applyFont="1" applyFill="1" applyBorder="1" applyAlignment="1">
      <alignment horizontal="center" vertical="center" wrapText="1"/>
    </xf>
    <xf numFmtId="0" fontId="28" fillId="3" borderId="62" xfId="0" applyFont="1" applyFill="1" applyBorder="1" applyAlignment="1">
      <alignment horizontal="center" vertical="center" wrapText="1"/>
    </xf>
    <xf numFmtId="0" fontId="28" fillId="3" borderId="63" xfId="0" applyFont="1" applyFill="1" applyBorder="1" applyAlignment="1">
      <alignment horizontal="center" vertical="center" wrapText="1"/>
    </xf>
    <xf numFmtId="0" fontId="28" fillId="3" borderId="22" xfId="0" applyFont="1" applyFill="1" applyBorder="1" applyAlignment="1">
      <alignment horizontal="center" vertical="center" wrapText="1"/>
    </xf>
    <xf numFmtId="0" fontId="29" fillId="3" borderId="22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9" fontId="14" fillId="3" borderId="22" xfId="1" applyFont="1" applyFill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 wrapText="1"/>
    </xf>
    <xf numFmtId="165" fontId="14" fillId="0" borderId="4" xfId="0" applyNumberFormat="1" applyFont="1" applyBorder="1" applyAlignment="1">
      <alignment horizontal="center" vertical="center" wrapText="1"/>
    </xf>
    <xf numFmtId="170" fontId="13" fillId="0" borderId="2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 wrapText="1"/>
    </xf>
    <xf numFmtId="42" fontId="16" fillId="0" borderId="2" xfId="4" applyFont="1" applyBorder="1"/>
    <xf numFmtId="2" fontId="16" fillId="0" borderId="2" xfId="0" applyNumberFormat="1" applyFont="1" applyBorder="1" applyAlignment="1">
      <alignment horizontal="center"/>
    </xf>
    <xf numFmtId="2" fontId="11" fillId="0" borderId="2" xfId="5" applyNumberFormat="1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1" fillId="0" borderId="16" xfId="0" applyFont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2" fontId="11" fillId="0" borderId="2" xfId="1" applyNumberFormat="1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9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9" fontId="11" fillId="0" borderId="4" xfId="0" applyNumberFormat="1" applyFont="1" applyBorder="1" applyAlignment="1">
      <alignment horizontal="center" vertical="center"/>
    </xf>
    <xf numFmtId="9" fontId="11" fillId="0" borderId="4" xfId="1" applyFont="1" applyBorder="1" applyAlignment="1">
      <alignment horizontal="center" vertical="center"/>
    </xf>
    <xf numFmtId="9" fontId="11" fillId="0" borderId="73" xfId="0" applyNumberFormat="1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 wrapText="1"/>
    </xf>
    <xf numFmtId="0" fontId="33" fillId="5" borderId="6" xfId="0" applyFont="1" applyFill="1" applyBorder="1" applyAlignment="1">
      <alignment horizontal="center" vertical="center" wrapText="1"/>
    </xf>
    <xf numFmtId="0" fontId="33" fillId="5" borderId="7" xfId="0" applyFont="1" applyFill="1" applyBorder="1" applyAlignment="1">
      <alignment horizontal="center" vertical="center" wrapText="1"/>
    </xf>
    <xf numFmtId="0" fontId="34" fillId="5" borderId="54" xfId="0" applyFont="1" applyFill="1" applyBorder="1" applyAlignment="1">
      <alignment horizontal="center" vertical="center" wrapText="1"/>
    </xf>
    <xf numFmtId="0" fontId="34" fillId="5" borderId="6" xfId="0" applyFont="1" applyFill="1" applyBorder="1" applyAlignment="1">
      <alignment horizontal="center" vertical="center" wrapText="1"/>
    </xf>
    <xf numFmtId="0" fontId="35" fillId="0" borderId="0" xfId="0" applyFont="1"/>
    <xf numFmtId="0" fontId="11" fillId="0" borderId="0" xfId="0" applyFont="1" applyAlignment="1">
      <alignment horizontal="center" vertical="center"/>
    </xf>
    <xf numFmtId="0" fontId="33" fillId="5" borderId="66" xfId="0" applyFont="1" applyFill="1" applyBorder="1" applyAlignment="1">
      <alignment horizontal="center" vertical="center" wrapText="1"/>
    </xf>
    <xf numFmtId="0" fontId="33" fillId="5" borderId="76" xfId="0" applyFont="1" applyFill="1" applyBorder="1" applyAlignment="1">
      <alignment horizontal="center" vertical="center" wrapText="1"/>
    </xf>
    <xf numFmtId="0" fontId="32" fillId="5" borderId="76" xfId="0" applyFont="1" applyFill="1" applyBorder="1" applyAlignment="1">
      <alignment horizontal="center" vertical="center" wrapText="1"/>
    </xf>
    <xf numFmtId="0" fontId="32" fillId="5" borderId="77" xfId="0" applyFont="1" applyFill="1" applyBorder="1" applyAlignment="1">
      <alignment horizontal="center" vertical="center" wrapText="1"/>
    </xf>
    <xf numFmtId="1" fontId="11" fillId="0" borderId="2" xfId="1" applyNumberFormat="1" applyFont="1" applyBorder="1" applyAlignment="1">
      <alignment horizontal="center" vertical="center"/>
    </xf>
    <xf numFmtId="0" fontId="4" fillId="3" borderId="78" xfId="0" applyFont="1" applyFill="1" applyBorder="1" applyAlignment="1">
      <alignment horizontal="center" vertical="center" wrapText="1"/>
    </xf>
    <xf numFmtId="0" fontId="8" fillId="3" borderId="79" xfId="0" applyFont="1" applyFill="1" applyBorder="1" applyAlignment="1">
      <alignment horizontal="center" vertical="center" wrapText="1"/>
    </xf>
    <xf numFmtId="0" fontId="4" fillId="3" borderId="80" xfId="0" applyFont="1" applyFill="1" applyBorder="1" applyAlignment="1">
      <alignment horizontal="center" vertical="center" wrapText="1"/>
    </xf>
    <xf numFmtId="0" fontId="5" fillId="3" borderId="80" xfId="0" applyFont="1" applyFill="1" applyBorder="1" applyAlignment="1">
      <alignment horizontal="center" vertical="center" wrapText="1"/>
    </xf>
    <xf numFmtId="9" fontId="5" fillId="3" borderId="80" xfId="1" applyFont="1" applyFill="1" applyBorder="1" applyAlignment="1">
      <alignment horizontal="center" vertical="center" wrapText="1"/>
    </xf>
    <xf numFmtId="9" fontId="14" fillId="3" borderId="80" xfId="1" applyFont="1" applyFill="1" applyBorder="1" applyAlignment="1">
      <alignment horizontal="center" vertical="center" wrapText="1"/>
    </xf>
    <xf numFmtId="9" fontId="14" fillId="3" borderId="81" xfId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8" xfId="0" applyFont="1" applyBorder="1" applyAlignment="1">
      <alignment horizontal="center" vertical="center"/>
    </xf>
    <xf numFmtId="1" fontId="13" fillId="0" borderId="82" xfId="0" applyNumberFormat="1" applyFont="1" applyBorder="1" applyAlignment="1">
      <alignment horizontal="center"/>
    </xf>
    <xf numFmtId="170" fontId="16" fillId="0" borderId="2" xfId="0" applyNumberFormat="1" applyFont="1" applyBorder="1"/>
    <xf numFmtId="167" fontId="16" fillId="0" borderId="2" xfId="0" applyNumberFormat="1" applyFont="1" applyBorder="1"/>
    <xf numFmtId="2" fontId="16" fillId="0" borderId="2" xfId="0" applyNumberFormat="1" applyFont="1" applyBorder="1"/>
    <xf numFmtId="0" fontId="37" fillId="0" borderId="0" xfId="0" applyFont="1"/>
    <xf numFmtId="0" fontId="36" fillId="0" borderId="0" xfId="0" applyFont="1"/>
    <xf numFmtId="0" fontId="37" fillId="0" borderId="0" xfId="0" applyFont="1" applyAlignment="1">
      <alignment horizontal="center" vertical="center"/>
    </xf>
    <xf numFmtId="167" fontId="14" fillId="0" borderId="4" xfId="0" applyNumberFormat="1" applyFont="1" applyBorder="1" applyAlignment="1">
      <alignment horizontal="center" vertical="center" wrapText="1"/>
    </xf>
    <xf numFmtId="170" fontId="13" fillId="0" borderId="5" xfId="0" applyNumberFormat="1" applyFont="1" applyBorder="1" applyAlignment="1">
      <alignment horizontal="center"/>
    </xf>
    <xf numFmtId="1" fontId="5" fillId="0" borderId="11" xfId="1" applyNumberFormat="1" applyFont="1" applyBorder="1" applyAlignment="1">
      <alignment horizontal="center" vertical="center" wrapText="1"/>
    </xf>
    <xf numFmtId="164" fontId="14" fillId="0" borderId="11" xfId="0" applyNumberFormat="1" applyFont="1" applyBorder="1" applyAlignment="1">
      <alignment vertical="center" wrapText="1"/>
    </xf>
    <xf numFmtId="42" fontId="16" fillId="0" borderId="8" xfId="4" applyFont="1" applyBorder="1"/>
    <xf numFmtId="167" fontId="16" fillId="0" borderId="8" xfId="0" applyNumberFormat="1" applyFont="1" applyBorder="1"/>
    <xf numFmtId="42" fontId="16" fillId="0" borderId="8" xfId="0" applyNumberFormat="1" applyFont="1" applyBorder="1"/>
    <xf numFmtId="2" fontId="11" fillId="0" borderId="8" xfId="0" applyNumberFormat="1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1" fontId="11" fillId="0" borderId="8" xfId="1" applyNumberFormat="1" applyFont="1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169" fontId="13" fillId="0" borderId="10" xfId="0" applyNumberFormat="1" applyFont="1" applyBorder="1" applyAlignment="1">
      <alignment horizontal="center"/>
    </xf>
    <xf numFmtId="0" fontId="17" fillId="5" borderId="9" xfId="0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0" fontId="16" fillId="0" borderId="2" xfId="0" applyNumberFormat="1" applyFont="1" applyBorder="1" applyAlignment="1">
      <alignment horizontal="center" wrapText="1"/>
    </xf>
    <xf numFmtId="173" fontId="13" fillId="0" borderId="2" xfId="0" applyNumberFormat="1" applyFont="1" applyBorder="1" applyAlignment="1">
      <alignment horizontal="center"/>
    </xf>
    <xf numFmtId="167" fontId="1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9" fontId="11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6" fillId="0" borderId="2" xfId="0" applyNumberFormat="1" applyFont="1" applyBorder="1" applyAlignment="1">
      <alignment horizontal="right" wrapText="1"/>
    </xf>
    <xf numFmtId="0" fontId="13" fillId="0" borderId="2" xfId="0" applyFont="1" applyBorder="1" applyAlignment="1">
      <alignment horizontal="right"/>
    </xf>
    <xf numFmtId="0" fontId="13" fillId="0" borderId="0" xfId="0" applyFont="1" applyAlignment="1">
      <alignment horizontal="right"/>
    </xf>
    <xf numFmtId="1" fontId="16" fillId="0" borderId="2" xfId="0" applyNumberFormat="1" applyFont="1" applyBorder="1" applyAlignment="1">
      <alignment horizontal="center" wrapText="1"/>
    </xf>
    <xf numFmtId="0" fontId="16" fillId="0" borderId="1" xfId="0" quotePrefix="1" applyFont="1" applyBorder="1"/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164" fontId="14" fillId="0" borderId="2" xfId="0" applyNumberFormat="1" applyFont="1" applyBorder="1" applyAlignment="1">
      <alignment vertical="center" wrapText="1"/>
    </xf>
    <xf numFmtId="2" fontId="11" fillId="0" borderId="0" xfId="0" applyNumberFormat="1" applyFont="1"/>
    <xf numFmtId="1" fontId="13" fillId="0" borderId="0" xfId="0" applyNumberFormat="1" applyFont="1"/>
    <xf numFmtId="2" fontId="13" fillId="0" borderId="0" xfId="0" applyNumberFormat="1" applyFont="1"/>
    <xf numFmtId="167" fontId="0" fillId="0" borderId="0" xfId="0" applyNumberFormat="1"/>
    <xf numFmtId="0" fontId="37" fillId="7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wrapText="1"/>
    </xf>
    <xf numFmtId="0" fontId="13" fillId="8" borderId="2" xfId="0" applyFont="1" applyFill="1" applyBorder="1" applyAlignment="1">
      <alignment horizontal="center" vertical="center"/>
    </xf>
    <xf numFmtId="0" fontId="38" fillId="7" borderId="2" xfId="0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7" fillId="5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48" xfId="0" applyFont="1" applyBorder="1"/>
    <xf numFmtId="0" fontId="16" fillId="0" borderId="21" xfId="0" applyFont="1" applyBorder="1"/>
    <xf numFmtId="0" fontId="16" fillId="0" borderId="21" xfId="0" quotePrefix="1" applyFont="1" applyBorder="1"/>
    <xf numFmtId="0" fontId="16" fillId="0" borderId="4" xfId="0" applyFont="1" applyBorder="1"/>
    <xf numFmtId="0" fontId="16" fillId="0" borderId="73" xfId="0" applyFont="1" applyBorder="1"/>
    <xf numFmtId="0" fontId="13" fillId="0" borderId="69" xfId="0" applyFont="1" applyBorder="1"/>
    <xf numFmtId="0" fontId="16" fillId="0" borderId="6" xfId="0" applyFont="1" applyBorder="1"/>
    <xf numFmtId="0" fontId="16" fillId="0" borderId="6" xfId="0" quotePrefix="1" applyFont="1" applyBorder="1"/>
    <xf numFmtId="0" fontId="16" fillId="0" borderId="7" xfId="0" applyFont="1" applyBorder="1"/>
    <xf numFmtId="0" fontId="13" fillId="0" borderId="40" xfId="0" applyFont="1" applyBorder="1"/>
    <xf numFmtId="0" fontId="16" fillId="0" borderId="15" xfId="0" applyFont="1" applyBorder="1"/>
    <xf numFmtId="0" fontId="16" fillId="0" borderId="15" xfId="0" quotePrefix="1" applyFont="1" applyBorder="1"/>
    <xf numFmtId="0" fontId="16" fillId="0" borderId="5" xfId="0" applyFont="1" applyBorder="1"/>
    <xf numFmtId="0" fontId="16" fillId="0" borderId="9" xfId="0" applyFont="1" applyBorder="1"/>
    <xf numFmtId="0" fontId="16" fillId="0" borderId="69" xfId="0" applyFont="1" applyBorder="1"/>
    <xf numFmtId="0" fontId="16" fillId="0" borderId="39" xfId="0" applyFont="1" applyBorder="1"/>
    <xf numFmtId="0" fontId="16" fillId="0" borderId="40" xfId="0" applyFont="1" applyBorder="1"/>
    <xf numFmtId="174" fontId="0" fillId="0" borderId="0" xfId="2" applyNumberFormat="1" applyFont="1"/>
    <xf numFmtId="174" fontId="23" fillId="3" borderId="1" xfId="2" applyNumberFormat="1" applyFont="1" applyFill="1" applyBorder="1" applyAlignment="1">
      <alignment vertical="center"/>
    </xf>
    <xf numFmtId="174" fontId="16" fillId="0" borderId="2" xfId="2" applyNumberFormat="1" applyFont="1" applyBorder="1"/>
    <xf numFmtId="174" fontId="16" fillId="0" borderId="2" xfId="2" applyNumberFormat="1" applyFont="1" applyBorder="1" applyAlignment="1">
      <alignment horizontal="center"/>
    </xf>
    <xf numFmtId="174" fontId="16" fillId="0" borderId="8" xfId="2" applyNumberFormat="1" applyFont="1" applyBorder="1"/>
    <xf numFmtId="0" fontId="13" fillId="0" borderId="54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2" fillId="5" borderId="10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15" fillId="0" borderId="67" xfId="0" applyFont="1" applyBorder="1" applyAlignment="1">
      <alignment horizontal="center" vertical="center" wrapText="1"/>
    </xf>
    <xf numFmtId="0" fontId="15" fillId="0" borderId="68" xfId="0" applyFont="1" applyBorder="1" applyAlignment="1">
      <alignment horizontal="center" vertical="center" wrapText="1"/>
    </xf>
    <xf numFmtId="0" fontId="15" fillId="0" borderId="70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2" fillId="5" borderId="43" xfId="0" applyFont="1" applyFill="1" applyBorder="1" applyAlignment="1">
      <alignment horizontal="center" vertical="center" textRotation="90" wrapText="1"/>
    </xf>
    <xf numFmtId="0" fontId="22" fillId="5" borderId="32" xfId="0" applyFont="1" applyFill="1" applyBorder="1" applyAlignment="1">
      <alignment horizontal="center" vertical="center" textRotation="90" wrapText="1"/>
    </xf>
    <xf numFmtId="0" fontId="22" fillId="5" borderId="23" xfId="0" applyFont="1" applyFill="1" applyBorder="1" applyAlignment="1">
      <alignment horizontal="center" vertical="center" textRotation="90" wrapText="1"/>
    </xf>
    <xf numFmtId="0" fontId="22" fillId="5" borderId="45" xfId="0" applyFont="1" applyFill="1" applyBorder="1" applyAlignment="1">
      <alignment vertical="center" textRotation="90" wrapText="1"/>
    </xf>
    <xf numFmtId="0" fontId="22" fillId="5" borderId="46" xfId="0" applyFont="1" applyFill="1" applyBorder="1" applyAlignment="1">
      <alignment vertical="center" textRotation="90" wrapText="1"/>
    </xf>
    <xf numFmtId="0" fontId="22" fillId="5" borderId="56" xfId="0" applyFont="1" applyFill="1" applyBorder="1" applyAlignment="1">
      <alignment horizontal="center" vertical="center" textRotation="90" wrapText="1"/>
    </xf>
    <xf numFmtId="0" fontId="22" fillId="5" borderId="57" xfId="0" applyFont="1" applyFill="1" applyBorder="1" applyAlignment="1">
      <alignment horizontal="center" vertical="center" textRotation="90" wrapText="1"/>
    </xf>
    <xf numFmtId="0" fontId="22" fillId="5" borderId="58" xfId="0" applyFont="1" applyFill="1" applyBorder="1" applyAlignment="1">
      <alignment horizontal="center" vertical="center" textRotation="90" wrapText="1"/>
    </xf>
    <xf numFmtId="0" fontId="22" fillId="5" borderId="6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55" xfId="0" applyFont="1" applyFill="1" applyBorder="1" applyAlignment="1">
      <alignment horizontal="center" vertical="center" wrapText="1"/>
    </xf>
    <xf numFmtId="0" fontId="22" fillId="5" borderId="5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/>
    </xf>
    <xf numFmtId="0" fontId="25" fillId="5" borderId="59" xfId="0" applyFont="1" applyFill="1" applyBorder="1" applyAlignment="1">
      <alignment horizontal="center" vertical="center" textRotation="90" wrapText="1"/>
    </xf>
    <xf numFmtId="0" fontId="25" fillId="5" borderId="57" xfId="0" applyFont="1" applyFill="1" applyBorder="1" applyAlignment="1">
      <alignment horizontal="center" vertical="center" textRotation="90" wrapText="1"/>
    </xf>
    <xf numFmtId="0" fontId="25" fillId="5" borderId="58" xfId="0" applyFont="1" applyFill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0" fontId="22" fillId="5" borderId="20" xfId="0" applyFont="1" applyFill="1" applyBorder="1" applyAlignment="1">
      <alignment horizontal="center" vertical="center"/>
    </xf>
    <xf numFmtId="0" fontId="22" fillId="5" borderId="61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wrapText="1"/>
    </xf>
    <xf numFmtId="0" fontId="17" fillId="5" borderId="35" xfId="0" applyFont="1" applyFill="1" applyBorder="1" applyAlignment="1">
      <alignment horizontal="center" wrapText="1"/>
    </xf>
    <xf numFmtId="0" fontId="17" fillId="5" borderId="25" xfId="0" applyFont="1" applyFill="1" applyBorder="1" applyAlignment="1">
      <alignment horizontal="center" wrapText="1"/>
    </xf>
    <xf numFmtId="0" fontId="13" fillId="0" borderId="7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7" fillId="5" borderId="61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13" fillId="0" borderId="61" xfId="0" applyFont="1" applyBorder="1" applyAlignment="1">
      <alignment horizontal="center"/>
    </xf>
    <xf numFmtId="0" fontId="26" fillId="0" borderId="71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72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15" fillId="0" borderId="7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7" fillId="5" borderId="11" xfId="0" applyFont="1" applyFill="1" applyBorder="1" applyAlignment="1">
      <alignment horizontal="center"/>
    </xf>
    <xf numFmtId="0" fontId="17" fillId="5" borderId="29" xfId="0" applyFont="1" applyFill="1" applyBorder="1" applyAlignment="1">
      <alignment horizontal="center"/>
    </xf>
    <xf numFmtId="0" fontId="17" fillId="5" borderId="16" xfId="0" applyFont="1" applyFill="1" applyBorder="1" applyAlignment="1">
      <alignment horizontal="center"/>
    </xf>
    <xf numFmtId="0" fontId="26" fillId="0" borderId="17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7" fillId="5" borderId="54" xfId="0" applyFont="1" applyFill="1" applyBorder="1" applyAlignment="1">
      <alignment horizontal="center" vertical="center"/>
    </xf>
    <xf numFmtId="0" fontId="17" fillId="5" borderId="55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67" xfId="0" applyFont="1" applyFill="1" applyBorder="1" applyAlignment="1">
      <alignment horizontal="center" vertical="center"/>
    </xf>
    <xf numFmtId="0" fontId="17" fillId="5" borderId="68" xfId="0" applyFont="1" applyFill="1" applyBorder="1" applyAlignment="1">
      <alignment horizontal="center" vertical="center"/>
    </xf>
    <xf numFmtId="0" fontId="17" fillId="5" borderId="83" xfId="0" applyFont="1" applyFill="1" applyBorder="1" applyAlignment="1">
      <alignment horizontal="center" vertical="center"/>
    </xf>
    <xf numFmtId="0" fontId="17" fillId="5" borderId="76" xfId="0" applyFont="1" applyFill="1" applyBorder="1" applyAlignment="1">
      <alignment horizontal="center" vertical="center" wrapText="1"/>
    </xf>
    <xf numFmtId="0" fontId="17" fillId="5" borderId="15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/>
    </xf>
    <xf numFmtId="0" fontId="17" fillId="5" borderId="29" xfId="0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4" fillId="3" borderId="53" xfId="0" applyFont="1" applyFill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28" fillId="3" borderId="64" xfId="0" applyFont="1" applyFill="1" applyBorder="1" applyAlignment="1">
      <alignment horizontal="center" vertical="center" wrapText="1"/>
    </xf>
    <xf numFmtId="0" fontId="28" fillId="3" borderId="65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50" xfId="0" applyFont="1" applyBorder="1" applyAlignment="1">
      <alignment horizont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166" fontId="14" fillId="0" borderId="11" xfId="1" applyNumberFormat="1" applyFont="1" applyBorder="1" applyAlignment="1">
      <alignment horizontal="center" vertical="center" wrapText="1"/>
    </xf>
    <xf numFmtId="166" fontId="14" fillId="0" borderId="29" xfId="1" applyNumberFormat="1" applyFont="1" applyBorder="1" applyAlignment="1">
      <alignment horizontal="center" vertical="center" wrapText="1"/>
    </xf>
    <xf numFmtId="166" fontId="14" fillId="0" borderId="16" xfId="1" applyNumberFormat="1" applyFont="1" applyBorder="1" applyAlignment="1">
      <alignment horizontal="center" vertical="center" wrapText="1"/>
    </xf>
    <xf numFmtId="166" fontId="5" fillId="0" borderId="11" xfId="1" applyNumberFormat="1" applyFont="1" applyBorder="1" applyAlignment="1">
      <alignment horizontal="center" vertical="center" wrapText="1"/>
    </xf>
    <xf numFmtId="166" fontId="5" fillId="0" borderId="29" xfId="1" applyNumberFormat="1" applyFont="1" applyBorder="1" applyAlignment="1">
      <alignment horizontal="center" vertical="center" wrapText="1"/>
    </xf>
    <xf numFmtId="166" fontId="5" fillId="0" borderId="30" xfId="1" applyNumberFormat="1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166" fontId="14" fillId="0" borderId="4" xfId="1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2" fontId="5" fillId="0" borderId="29" xfId="0" applyNumberFormat="1" applyFont="1" applyBorder="1" applyAlignment="1">
      <alignment horizontal="center" vertical="center" wrapText="1"/>
    </xf>
    <xf numFmtId="2" fontId="5" fillId="0" borderId="16" xfId="0" applyNumberFormat="1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166" fontId="14" fillId="0" borderId="2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" fontId="11" fillId="0" borderId="60" xfId="1" applyNumberFormat="1" applyFont="1" applyBorder="1" applyAlignment="1">
      <alignment horizontal="center" vertical="center"/>
    </xf>
    <xf numFmtId="1" fontId="11" fillId="0" borderId="74" xfId="1" applyNumberFormat="1" applyFont="1" applyBorder="1" applyAlignment="1">
      <alignment horizontal="center" vertical="center"/>
    </xf>
    <xf numFmtId="1" fontId="11" fillId="0" borderId="75" xfId="1" applyNumberFormat="1" applyFont="1" applyBorder="1" applyAlignment="1">
      <alignment horizontal="center" vertical="center"/>
    </xf>
    <xf numFmtId="1" fontId="11" fillId="0" borderId="44" xfId="1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31" fillId="2" borderId="12" xfId="0" applyFont="1" applyFill="1" applyBorder="1" applyAlignment="1">
      <alignment horizontal="center" vertical="center"/>
    </xf>
    <xf numFmtId="0" fontId="31" fillId="2" borderId="13" xfId="0" applyFont="1" applyFill="1" applyBorder="1" applyAlignment="1">
      <alignment horizontal="center" vertical="center"/>
    </xf>
    <xf numFmtId="0" fontId="31" fillId="2" borderId="14" xfId="0" applyFont="1" applyFill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11" fillId="0" borderId="2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0" fontId="13" fillId="6" borderId="2" xfId="0" applyFont="1" applyFill="1" applyBorder="1" applyAlignment="1">
      <alignment horizontal="center"/>
    </xf>
    <xf numFmtId="174" fontId="15" fillId="6" borderId="2" xfId="2" applyNumberFormat="1" applyFont="1" applyFill="1" applyBorder="1" applyAlignment="1">
      <alignment horizontal="center"/>
    </xf>
  </cellXfs>
  <cellStyles count="6">
    <cellStyle name="Millares" xfId="2" builtinId="3"/>
    <cellStyle name="Millares 2" xfId="3" xr:uid="{00000000-0005-0000-0000-000001000000}"/>
    <cellStyle name="Moneda" xfId="5" builtinId="4"/>
    <cellStyle name="Moneda [0]" xfId="4" builtinId="7"/>
    <cellStyle name="Normal" xfId="0" builtinId="0"/>
    <cellStyle name="Porcentaje" xfId="1" builtinId="5"/>
  </cellStyles>
  <dxfs count="264"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A1A1A1"/>
      <color rgb="FFFFFF7D"/>
      <color rgb="FFFFFF99"/>
      <color rgb="FF99CCFF"/>
      <color rgb="FFFF71A0"/>
      <color rgb="FFFF5D93"/>
      <color rgb="FFFFFF66"/>
      <color rgb="FFFFE389"/>
      <color rgb="FFFF99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360892</xdr:colOff>
      <xdr:row>0</xdr:row>
      <xdr:rowOff>99484</xdr:rowOff>
    </xdr:from>
    <xdr:to>
      <xdr:col>2</xdr:col>
      <xdr:colOff>169902</xdr:colOff>
      <xdr:row>1</xdr:row>
      <xdr:rowOff>409575</xdr:rowOff>
    </xdr:to>
    <xdr:pic>
      <xdr:nvPicPr>
        <xdr:cNvPr id="3" name="Picture 65" descr="LOGO TERLICA">
          <a:extLst>
            <a:ext uri="{FF2B5EF4-FFF2-40B4-BE49-F238E27FC236}">
              <a16:creationId xmlns:a16="http://schemas.microsoft.com/office/drawing/2014/main" id="{BDA79851-7AAA-4C53-96FB-4B647CA73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892" y="99484"/>
          <a:ext cx="2047385" cy="824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477306</xdr:colOff>
      <xdr:row>0</xdr:row>
      <xdr:rowOff>104775</xdr:rowOff>
    </xdr:from>
    <xdr:to>
      <xdr:col>2</xdr:col>
      <xdr:colOff>419100</xdr:colOff>
      <xdr:row>1</xdr:row>
      <xdr:rowOff>303317</xdr:rowOff>
    </xdr:to>
    <xdr:pic>
      <xdr:nvPicPr>
        <xdr:cNvPr id="2" name="Picture 65" descr="LOGO TERLICA">
          <a:extLst>
            <a:ext uri="{FF2B5EF4-FFF2-40B4-BE49-F238E27FC236}">
              <a16:creationId xmlns:a16="http://schemas.microsoft.com/office/drawing/2014/main" id="{2F211F5F-BFC2-4536-886F-5484A6A5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306" y="104775"/>
          <a:ext cx="1160994" cy="570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82826</xdr:rowOff>
    </xdr:from>
    <xdr:to>
      <xdr:col>2</xdr:col>
      <xdr:colOff>256761</xdr:colOff>
      <xdr:row>1</xdr:row>
      <xdr:rowOff>321946</xdr:rowOff>
    </xdr:to>
    <xdr:pic>
      <xdr:nvPicPr>
        <xdr:cNvPr id="3" name="Picture 65" descr="LOGO TERLICA">
          <a:extLst>
            <a:ext uri="{FF2B5EF4-FFF2-40B4-BE49-F238E27FC236}">
              <a16:creationId xmlns:a16="http://schemas.microsoft.com/office/drawing/2014/main" id="{F94ECA4D-15A5-44AA-AA13-637FC9FBF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05" y="82826"/>
          <a:ext cx="1615108" cy="785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0</xdr:row>
      <xdr:rowOff>95250</xdr:rowOff>
    </xdr:from>
    <xdr:to>
      <xdr:col>0</xdr:col>
      <xdr:colOff>1076325</xdr:colOff>
      <xdr:row>1</xdr:row>
      <xdr:rowOff>312842</xdr:rowOff>
    </xdr:to>
    <xdr:pic>
      <xdr:nvPicPr>
        <xdr:cNvPr id="2" name="Picture 65" descr="LOGO TERLICA">
          <a:extLst>
            <a:ext uri="{FF2B5EF4-FFF2-40B4-BE49-F238E27FC236}">
              <a16:creationId xmlns:a16="http://schemas.microsoft.com/office/drawing/2014/main" id="{15AAD020-6F6A-4B40-9E1F-93DEDC53B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33" y="95250"/>
          <a:ext cx="1008592" cy="560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486834</xdr:colOff>
      <xdr:row>0</xdr:row>
      <xdr:rowOff>46860</xdr:rowOff>
    </xdr:from>
    <xdr:to>
      <xdr:col>2</xdr:col>
      <xdr:colOff>201084</xdr:colOff>
      <xdr:row>1</xdr:row>
      <xdr:rowOff>350942</xdr:rowOff>
    </xdr:to>
    <xdr:pic>
      <xdr:nvPicPr>
        <xdr:cNvPr id="4" name="Picture 65" descr="LOGO TERLICA">
          <a:extLst>
            <a:ext uri="{FF2B5EF4-FFF2-40B4-BE49-F238E27FC236}">
              <a16:creationId xmlns:a16="http://schemas.microsoft.com/office/drawing/2014/main" id="{1B4D136E-3D95-4A5A-BA7C-BFEBA5EAD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834" y="46860"/>
          <a:ext cx="1471083" cy="642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486834</xdr:colOff>
      <xdr:row>0</xdr:row>
      <xdr:rowOff>46860</xdr:rowOff>
    </xdr:from>
    <xdr:to>
      <xdr:col>2</xdr:col>
      <xdr:colOff>201084</xdr:colOff>
      <xdr:row>1</xdr:row>
      <xdr:rowOff>350942</xdr:rowOff>
    </xdr:to>
    <xdr:pic>
      <xdr:nvPicPr>
        <xdr:cNvPr id="2" name="Picture 65" descr="LOGO TERLICA">
          <a:extLst>
            <a:ext uri="{FF2B5EF4-FFF2-40B4-BE49-F238E27FC236}">
              <a16:creationId xmlns:a16="http://schemas.microsoft.com/office/drawing/2014/main" id="{D47C728E-98AD-4A21-85CC-A2A20C1A2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834" y="46860"/>
          <a:ext cx="1466850" cy="646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72706</xdr:colOff>
      <xdr:row>0</xdr:row>
      <xdr:rowOff>132521</xdr:rowOff>
    </xdr:from>
    <xdr:to>
      <xdr:col>0</xdr:col>
      <xdr:colOff>949942</xdr:colOff>
      <xdr:row>1</xdr:row>
      <xdr:rowOff>298174</xdr:rowOff>
    </xdr:to>
    <xdr:pic>
      <xdr:nvPicPr>
        <xdr:cNvPr id="2" name="Picture 65" descr="LOGO TERLICA">
          <a:extLst>
            <a:ext uri="{FF2B5EF4-FFF2-40B4-BE49-F238E27FC236}">
              <a16:creationId xmlns:a16="http://schemas.microsoft.com/office/drawing/2014/main" id="{34491497-CB01-4701-902E-D48E33EDB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6" y="132521"/>
          <a:ext cx="877236" cy="50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315164</xdr:colOff>
      <xdr:row>14</xdr:row>
      <xdr:rowOff>19750</xdr:rowOff>
    </xdr:from>
    <xdr:ext cx="1565681" cy="3651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2 CuadroTexto">
              <a:extLst>
                <a:ext uri="{FF2B5EF4-FFF2-40B4-BE49-F238E27FC236}">
                  <a16:creationId xmlns:a16="http://schemas.microsoft.com/office/drawing/2014/main" id="{00000000-0008-0000-0D00-000002000000}"/>
                </a:ext>
              </a:extLst>
            </xdr:cNvPr>
            <xdr:cNvSpPr txBox="1"/>
          </xdr:nvSpPr>
          <xdr:spPr>
            <a:xfrm>
              <a:off x="4326870" y="7135485"/>
              <a:ext cx="1565681" cy="36516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s-CO" sz="1050" b="1" i="1">
                      <a:latin typeface="Cambria Math"/>
                    </a:rPr>
                    <m:t>𝑰𝑮𝑨</m:t>
                  </m:r>
                  <m:d>
                    <m:dPr>
                      <m:ctrlPr>
                        <a:rPr lang="es-CO" sz="105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050" b="0" i="1">
                          <a:latin typeface="Cambria Math"/>
                        </a:rPr>
                        <m:t>%</m:t>
                      </m:r>
                    </m:e>
                  </m:d>
                  <m:r>
                    <a:rPr lang="es-CO" sz="1050" b="0" i="1">
                      <a:latin typeface="Cambria Math"/>
                    </a:rPr>
                    <m:t>=</m:t>
                  </m:r>
                  <m:f>
                    <m:fPr>
                      <m:ctrlPr>
                        <a:rPr lang="es-CO" sz="105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5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Ʃ</m:t>
                      </m:r>
                      <m:r>
                        <m:rPr>
                          <m:nor/>
                        </m:rPr>
                        <a:rPr lang="es-CO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CO" sz="105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es-CO" sz="105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CO" sz="105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es-CO" sz="105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m:rPr>
                          <m:nor/>
                        </m:rPr>
                        <a:rPr lang="es-CO" sz="105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r>
                        <m:rPr>
                          <m:nor/>
                        </m:rPr>
                        <a:rPr lang="es-CO" sz="1050">
                          <a:effectLst/>
                        </a:rPr>
                        <m:t> </m:t>
                      </m:r>
                    </m:num>
                    <m:den>
                      <m:r>
                        <a:rPr lang="es-CO" sz="1050" b="0" i="1">
                          <a:latin typeface="Cambria Math"/>
                        </a:rPr>
                        <m:t>𝑛</m:t>
                      </m:r>
                      <m:r>
                        <a:rPr lang="es-CO" sz="1050" b="0" i="1">
                          <a:latin typeface="Cambria Math"/>
                        </a:rPr>
                        <m:t> </m:t>
                      </m:r>
                    </m:den>
                  </m:f>
                  <m:r>
                    <a:rPr lang="es-CO" sz="1050" b="0" i="1">
                      <a:latin typeface="Cambria Math"/>
                    </a:rPr>
                    <m:t>100</m:t>
                  </m:r>
                </m:oMath>
              </a14:m>
              <a:r>
                <a:rPr lang="es-CO" sz="1100"/>
                <a:t> </a:t>
              </a:r>
            </a:p>
          </xdr:txBody>
        </xdr:sp>
      </mc:Choice>
      <mc:Fallback xmlns="">
        <xdr:sp macro="" textlink="">
          <xdr:nvSpPr>
            <xdr:cNvPr id="2" name="2 CuadroTexto">
              <a:extLst>
                <a:ext uri="{FF2B5EF4-FFF2-40B4-BE49-F238E27FC236}">
                  <a16:creationId xmlns:a16="http://schemas.microsoft.com/office/drawing/2014/main" id="{00000000-0008-0000-0D00-000002000000}"/>
                </a:ext>
              </a:extLst>
            </xdr:cNvPr>
            <xdr:cNvSpPr txBox="1"/>
          </xdr:nvSpPr>
          <xdr:spPr>
            <a:xfrm>
              <a:off x="4326870" y="7135485"/>
              <a:ext cx="1565681" cy="36516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algn="ctr"/>
              <a:r>
                <a:rPr lang="es-CO" sz="1050" b="1" i="0">
                  <a:latin typeface="Cambria Math"/>
                </a:rPr>
                <a:t>𝑰𝑮𝑨</a:t>
              </a:r>
              <a:r>
                <a:rPr lang="es-CO" sz="1050" b="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latin typeface="Cambria Math"/>
                </a:rPr>
                <a:t>%</a:t>
              </a:r>
              <a:r>
                <a:rPr lang="es-CO" sz="1050" b="0" i="0">
                  <a:latin typeface="Cambria Math" panose="02040503050406030204" pitchFamily="18" charset="0"/>
                </a:rPr>
                <a:t>)</a:t>
              </a:r>
              <a:r>
                <a:rPr lang="es-CO" sz="1050" b="0" i="0">
                  <a:latin typeface="Cambria Math"/>
                </a:rPr>
                <a:t>=</a:t>
              </a:r>
              <a:r>
                <a:rPr lang="es-CO" sz="1050" b="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Ʃ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CO" sz="105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CO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s-CO" sz="105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CO" sz="1050" i="0">
                  <a:effectLst/>
                </a:rPr>
                <a:t> </a:t>
              </a:r>
              <a:r>
                <a:rPr lang="es-CO" sz="105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s-CO" sz="1050" b="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es-CO" sz="1050" b="0" i="0">
                  <a:latin typeface="Cambria Math"/>
                </a:rPr>
                <a:t>𝑛 </a:t>
              </a:r>
              <a:r>
                <a:rPr lang="es-CO" sz="1050" b="0" i="0">
                  <a:latin typeface="Cambria Math" panose="02040503050406030204" pitchFamily="18" charset="0"/>
                </a:rPr>
                <a:t>)</a:t>
              </a:r>
              <a:r>
                <a:rPr lang="es-CO" sz="1050" b="0" i="0">
                  <a:latin typeface="Cambria Math"/>
                </a:rPr>
                <a:t> 100</a:t>
              </a:r>
              <a:r>
                <a:rPr lang="es-CO" sz="1100"/>
                <a:t> </a:t>
              </a:r>
            </a:p>
          </xdr:txBody>
        </xdr:sp>
      </mc:Fallback>
    </mc:AlternateContent>
    <xdr:clientData/>
  </xdr:oneCellAnchor>
  <xdr:oneCellAnchor>
    <xdr:from>
      <xdr:col>6</xdr:col>
      <xdr:colOff>352986</xdr:colOff>
      <xdr:row>3</xdr:row>
      <xdr:rowOff>47905</xdr:rowOff>
    </xdr:from>
    <xdr:ext cx="1565681" cy="304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1 CuadroTexto">
              <a:extLst>
                <a:ext uri="{FF2B5EF4-FFF2-40B4-BE49-F238E27FC236}">
                  <a16:creationId xmlns:a16="http://schemas.microsoft.com/office/drawing/2014/main" id="{00000000-0008-0000-0D00-000003000000}"/>
                </a:ext>
              </a:extLst>
            </xdr:cNvPr>
            <xdr:cNvSpPr txBox="1"/>
          </xdr:nvSpPr>
          <xdr:spPr>
            <a:xfrm>
              <a:off x="4364692" y="1459846"/>
              <a:ext cx="1565681" cy="3048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s-CO" sz="1050" b="1" i="1">
                      <a:latin typeface="Cambria Math"/>
                    </a:rPr>
                    <m:t>𝑰𝑪𝑨</m:t>
                  </m:r>
                  <m:d>
                    <m:dPr>
                      <m:ctrlPr>
                        <a:rPr lang="es-CO" sz="105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050" b="0" i="1">
                          <a:latin typeface="Cambria Math"/>
                        </a:rPr>
                        <m:t>%</m:t>
                      </m:r>
                    </m:e>
                  </m:d>
                  <m:r>
                    <a:rPr lang="es-CO" sz="1050" b="0" i="1">
                      <a:latin typeface="Cambria Math"/>
                    </a:rPr>
                    <m:t>=</m:t>
                  </m:r>
                  <m:f>
                    <m:fPr>
                      <m:ctrlPr>
                        <a:rPr lang="es-CO" sz="105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5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Ʃ</m:t>
                      </m:r>
                      <m:r>
                        <m:rPr>
                          <m:nor/>
                        </m:rPr>
                        <a:rPr lang="es-CO" sz="1050" b="0" i="0">
                          <a:solidFill>
                            <a:schemeClr val="tx1"/>
                          </a:solidFill>
                          <a:effectLst/>
                          <a:latin typeface="Arial Narrow" panose="020B0606020202030204" pitchFamily="34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CO" sz="1050">
                          <a:solidFill>
                            <a:schemeClr val="tx1"/>
                          </a:solidFill>
                          <a:effectLst/>
                          <a:latin typeface="Arial Narrow" panose="020B0606020202030204" pitchFamily="34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es-CO" sz="105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CO" sz="105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es-CO" sz="105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m:rPr>
                          <m:nor/>
                        </m:rPr>
                        <a:rPr lang="es-CO" sz="1050">
                          <a:solidFill>
                            <a:schemeClr val="tx1"/>
                          </a:solidFill>
                          <a:effectLst/>
                          <a:latin typeface="Arial Narrow" panose="020B0606020202030204" pitchFamily="34" charset="0"/>
                          <a:ea typeface="+mn-ea"/>
                          <a:cs typeface="+mn-cs"/>
                        </a:rPr>
                        <m:t>)</m:t>
                      </m:r>
                      <m:r>
                        <m:rPr>
                          <m:nor/>
                        </m:rPr>
                        <a:rPr lang="es-CO" sz="1050">
                          <a:effectLst/>
                          <a:latin typeface="Arial Narrow" panose="020B0606020202030204" pitchFamily="34" charset="0"/>
                        </a:rPr>
                        <m:t> </m:t>
                      </m:r>
                    </m:num>
                    <m:den>
                      <m:r>
                        <a:rPr lang="es-CO" sz="1050" b="0" i="1">
                          <a:latin typeface="Cambria Math"/>
                        </a:rPr>
                        <m:t>𝑛</m:t>
                      </m:r>
                      <m:r>
                        <a:rPr lang="es-CO" sz="1050" b="0" i="1">
                          <a:latin typeface="Cambria Math"/>
                        </a:rPr>
                        <m:t> </m:t>
                      </m:r>
                    </m:den>
                  </m:f>
                  <m:r>
                    <a:rPr lang="es-CO" sz="105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s-CO" sz="1050" b="0" i="1">
                      <a:latin typeface="Cambria Math" panose="02040503050406030204" pitchFamily="18" charset="0"/>
                    </a:rPr>
                    <m:t> 100</m:t>
                  </m:r>
                </m:oMath>
              </a14:m>
              <a:r>
                <a:rPr lang="es-CO" sz="1050">
                  <a:latin typeface="Arial Narrow" panose="020B0606020202030204" pitchFamily="34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" name="1 CuadroTexto">
              <a:extLst>
                <a:ext uri="{FF2B5EF4-FFF2-40B4-BE49-F238E27FC236}">
                  <a16:creationId xmlns:a16="http://schemas.microsoft.com/office/drawing/2014/main" id="{00000000-0008-0000-0D00-000003000000}"/>
                </a:ext>
              </a:extLst>
            </xdr:cNvPr>
            <xdr:cNvSpPr txBox="1"/>
          </xdr:nvSpPr>
          <xdr:spPr>
            <a:xfrm>
              <a:off x="4364692" y="1459846"/>
              <a:ext cx="1565681" cy="3048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s-CO" sz="1050" b="1" i="0">
                  <a:latin typeface="Cambria Math"/>
                </a:rPr>
                <a:t>𝑰𝑪𝑨</a:t>
              </a:r>
              <a:r>
                <a:rPr lang="es-CO" sz="1050" b="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latin typeface="Cambria Math"/>
                </a:rPr>
                <a:t>%</a:t>
              </a:r>
              <a:r>
                <a:rPr lang="es-CO" sz="1050" b="0" i="0">
                  <a:latin typeface="Cambria Math" panose="02040503050406030204" pitchFamily="18" charset="0"/>
                </a:rPr>
                <a:t>)</a:t>
              </a:r>
              <a:r>
                <a:rPr lang="es-CO" sz="1050" b="0" i="0">
                  <a:latin typeface="Cambria Math"/>
                </a:rPr>
                <a:t>=</a:t>
              </a:r>
              <a:r>
                <a:rPr lang="es-CO" sz="1050" b="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Ʃ"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Arial Narrow" panose="020B0606020202030204" pitchFamily="34" charset="0"/>
                  <a:ea typeface="+mn-ea"/>
                  <a:cs typeface="+mn-cs"/>
                </a:rPr>
                <a:t> </a:t>
              </a:r>
              <a:r>
                <a:rPr lang="es-CO" sz="1050" i="0">
                  <a:solidFill>
                    <a:schemeClr val="tx1"/>
                  </a:solidFill>
                  <a:effectLst/>
                  <a:latin typeface="Arial Narrow" panose="020B0606020202030204" pitchFamily="34" charset="0"/>
                  <a:ea typeface="+mn-ea"/>
                  <a:cs typeface="+mn-cs"/>
                </a:rPr>
                <a:t>(</a:t>
              </a:r>
              <a:r>
                <a:rPr lang="es-CO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 "</a:t>
              </a:r>
              <a:r>
                <a:rPr lang="es-CO" sz="1050" i="0">
                  <a:solidFill>
                    <a:schemeClr val="tx1"/>
                  </a:solidFill>
                  <a:effectLst/>
                  <a:latin typeface="Arial Narrow" panose="020B0606020202030204" pitchFamily="34" charset="0"/>
                  <a:ea typeface="+mn-ea"/>
                  <a:cs typeface="+mn-cs"/>
                </a:rPr>
                <a:t>)</a:t>
              </a:r>
              <a:r>
                <a:rPr lang="es-CO" sz="1050" i="0">
                  <a:effectLst/>
                  <a:latin typeface="Arial Narrow" panose="020B0606020202030204" pitchFamily="34" charset="0"/>
                </a:rPr>
                <a:t> </a:t>
              </a:r>
              <a:r>
                <a:rPr lang="es-CO" sz="105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s-CO" sz="1050" b="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es-CO" sz="1050" b="0" i="0">
                  <a:latin typeface="Cambria Math"/>
                </a:rPr>
                <a:t>𝑛 </a:t>
              </a:r>
              <a:r>
                <a:rPr lang="es-CO" sz="1050" b="0" i="0">
                  <a:latin typeface="Cambria Math" panose="02040503050406030204" pitchFamily="18" charset="0"/>
                </a:rPr>
                <a:t>) 𝑥 </a:t>
              </a:r>
              <a:r>
                <a:rPr lang="es-CO" sz="1050" b="0" i="0">
                  <a:latin typeface="Cambria Math"/>
                </a:rPr>
                <a:t>100</a:t>
              </a:r>
              <a:r>
                <a:rPr lang="es-CO" sz="1050">
                  <a:latin typeface="Arial Narrow" panose="020B0606020202030204" pitchFamily="34" charset="0"/>
                </a:rPr>
                <a:t> </a:t>
              </a:r>
            </a:p>
          </xdr:txBody>
        </xdr:sp>
      </mc:Fallback>
    </mc:AlternateContent>
    <xdr:clientData/>
  </xdr:oneCellAnchor>
  <xdr:twoCellAnchor>
    <xdr:from>
      <xdr:col>1</xdr:col>
      <xdr:colOff>63501</xdr:colOff>
      <xdr:row>0</xdr:row>
      <xdr:rowOff>58208</xdr:rowOff>
    </xdr:from>
    <xdr:to>
      <xdr:col>3</xdr:col>
      <xdr:colOff>687917</xdr:colOff>
      <xdr:row>1</xdr:row>
      <xdr:rowOff>274279</xdr:rowOff>
    </xdr:to>
    <xdr:pic>
      <xdr:nvPicPr>
        <xdr:cNvPr id="5" name="Picture 65" descr="LOGO TERLIC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18" y="89958"/>
          <a:ext cx="1534582" cy="533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1</xdr:row>
      <xdr:rowOff>116416</xdr:rowOff>
    </xdr:from>
    <xdr:to>
      <xdr:col>3</xdr:col>
      <xdr:colOff>613833</xdr:colOff>
      <xdr:row>1</xdr:row>
      <xdr:rowOff>760085</xdr:rowOff>
    </xdr:to>
    <xdr:pic>
      <xdr:nvPicPr>
        <xdr:cNvPr id="2" name="Picture 65" descr="LOGO TERLICA">
          <a:extLst>
            <a:ext uri="{FF2B5EF4-FFF2-40B4-BE49-F238E27FC236}">
              <a16:creationId xmlns:a16="http://schemas.microsoft.com/office/drawing/2014/main" id="{D4DD2054-5D95-4643-8858-72585980F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167" y="550333"/>
          <a:ext cx="2053166" cy="643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view="pageBreakPreview" zoomScale="115" zoomScaleNormal="100" zoomScaleSheetLayoutView="115" workbookViewId="0">
      <selection activeCell="M2" sqref="A1:M2"/>
    </sheetView>
  </sheetViews>
  <sheetFormatPr baseColWidth="10" defaultRowHeight="15"/>
  <cols>
    <col min="1" max="1" width="13" customWidth="1"/>
    <col min="3" max="3" width="14.140625" bestFit="1" customWidth="1"/>
    <col min="4" max="4" width="14" bestFit="1" customWidth="1"/>
  </cols>
  <sheetData>
    <row r="1" spans="1:13" ht="16.5">
      <c r="A1" s="464" t="s">
        <v>115</v>
      </c>
      <c r="B1" s="464" t="s">
        <v>62</v>
      </c>
      <c r="C1" s="464" t="s">
        <v>63</v>
      </c>
      <c r="D1" s="464" t="s">
        <v>64</v>
      </c>
      <c r="E1" s="464" t="s">
        <v>65</v>
      </c>
      <c r="F1" s="464" t="s">
        <v>66</v>
      </c>
      <c r="G1" s="464" t="s">
        <v>67</v>
      </c>
      <c r="H1" s="464" t="s">
        <v>68</v>
      </c>
      <c r="I1" s="464" t="s">
        <v>69</v>
      </c>
      <c r="J1" s="464" t="s">
        <v>70</v>
      </c>
      <c r="K1" s="464" t="s">
        <v>71</v>
      </c>
      <c r="L1" s="464" t="s">
        <v>72</v>
      </c>
      <c r="M1" s="464" t="s">
        <v>73</v>
      </c>
    </row>
    <row r="2" spans="1:13" s="245" customFormat="1" ht="16.5">
      <c r="A2" s="465" t="s">
        <v>222</v>
      </c>
      <c r="B2" s="465">
        <v>10005</v>
      </c>
      <c r="C2" s="465">
        <v>20531</v>
      </c>
      <c r="D2" s="465">
        <v>26569</v>
      </c>
      <c r="E2" s="465">
        <v>49885</v>
      </c>
      <c r="F2" s="465">
        <v>46751</v>
      </c>
      <c r="G2" s="465">
        <v>23087</v>
      </c>
      <c r="H2" s="465"/>
      <c r="I2" s="465"/>
      <c r="J2" s="465"/>
      <c r="K2" s="465"/>
      <c r="L2" s="465"/>
      <c r="M2" s="465"/>
    </row>
    <row r="6" spans="1:13">
      <c r="I6" s="43"/>
    </row>
    <row r="7" spans="1:13">
      <c r="I7" s="43"/>
    </row>
    <row r="8" spans="1:13">
      <c r="I8" s="43"/>
    </row>
    <row r="9" spans="1:13">
      <c r="I9" s="43"/>
    </row>
  </sheetData>
  <pageMargins left="0.7" right="0.7" top="0.75" bottom="0.75" header="0.3" footer="0.3"/>
  <pageSetup scale="5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L92"/>
  <sheetViews>
    <sheetView showGridLines="0" zoomScale="70" zoomScaleNormal="70" workbookViewId="0">
      <selection activeCell="J13" sqref="J13:L13"/>
    </sheetView>
  </sheetViews>
  <sheetFormatPr baseColWidth="10" defaultRowHeight="33.75" customHeight="1"/>
  <cols>
    <col min="1" max="1" width="1.42578125" customWidth="1"/>
    <col min="2" max="2" width="13.85546875" style="25" customWidth="1"/>
    <col min="3" max="3" width="19.7109375" style="25" customWidth="1"/>
    <col min="4" max="4" width="24.85546875" style="25" customWidth="1"/>
    <col min="5" max="5" width="17.5703125" style="25" customWidth="1"/>
    <col min="6" max="6" width="15.140625" style="25" customWidth="1"/>
    <col min="7" max="7" width="12.28515625" style="25" customWidth="1"/>
    <col min="8" max="8" width="14" style="25" bestFit="1" customWidth="1"/>
    <col min="9" max="9" width="25.85546875" style="25" customWidth="1"/>
    <col min="10" max="13" width="8.140625" style="25" bestFit="1" customWidth="1"/>
    <col min="14" max="14" width="7.7109375" style="25" customWidth="1"/>
    <col min="15" max="15" width="8.140625" style="25" bestFit="1" customWidth="1"/>
    <col min="16" max="16" width="8.42578125" style="25" customWidth="1"/>
    <col min="17" max="17" width="8.140625" style="25" bestFit="1" customWidth="1"/>
    <col min="18" max="18" width="11.7109375" style="25" customWidth="1"/>
    <col min="19" max="21" width="8.140625" style="25" bestFit="1" customWidth="1"/>
    <col min="22" max="22" width="1.5703125" customWidth="1"/>
  </cols>
  <sheetData>
    <row r="1" spans="2:21" ht="6" customHeight="1" thickBot="1"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460"/>
      <c r="O1" s="460"/>
      <c r="P1" s="460"/>
      <c r="Q1" s="460"/>
      <c r="R1" s="460"/>
      <c r="S1" s="460"/>
      <c r="T1" s="460"/>
      <c r="U1" s="460"/>
    </row>
    <row r="2" spans="2:21" ht="70.5" customHeight="1" thickBot="1">
      <c r="B2" s="440"/>
      <c r="C2" s="441"/>
      <c r="D2" s="442"/>
      <c r="E2" s="443" t="s">
        <v>279</v>
      </c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5"/>
      <c r="Q2" s="446" t="s">
        <v>225</v>
      </c>
      <c r="R2" s="447"/>
      <c r="S2" s="447"/>
      <c r="T2" s="447"/>
      <c r="U2" s="448"/>
    </row>
    <row r="3" spans="2:21" ht="25.5" customHeight="1" thickBot="1">
      <c r="B3" s="457" t="s">
        <v>281</v>
      </c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9"/>
    </row>
    <row r="4" spans="2:21" ht="48" customHeight="1">
      <c r="B4" s="152" t="s">
        <v>84</v>
      </c>
      <c r="C4" s="153" t="s">
        <v>1</v>
      </c>
      <c r="D4" s="153" t="s">
        <v>29</v>
      </c>
      <c r="E4" s="153" t="s">
        <v>2</v>
      </c>
      <c r="F4" s="153" t="s">
        <v>3</v>
      </c>
      <c r="G4" s="153" t="s">
        <v>0</v>
      </c>
      <c r="H4" s="153" t="s">
        <v>12</v>
      </c>
      <c r="I4" s="153" t="s">
        <v>13</v>
      </c>
      <c r="J4" s="150" t="s">
        <v>62</v>
      </c>
      <c r="K4" s="150" t="s">
        <v>63</v>
      </c>
      <c r="L4" s="150" t="s">
        <v>64</v>
      </c>
      <c r="M4" s="150" t="s">
        <v>65</v>
      </c>
      <c r="N4" s="150" t="s">
        <v>66</v>
      </c>
      <c r="O4" s="150" t="s">
        <v>67</v>
      </c>
      <c r="P4" s="150" t="s">
        <v>68</v>
      </c>
      <c r="Q4" s="150" t="s">
        <v>69</v>
      </c>
      <c r="R4" s="150" t="s">
        <v>70</v>
      </c>
      <c r="S4" s="150" t="s">
        <v>71</v>
      </c>
      <c r="T4" s="150" t="s">
        <v>72</v>
      </c>
      <c r="U4" s="151" t="s">
        <v>73</v>
      </c>
    </row>
    <row r="5" spans="2:21" ht="40.5" customHeight="1">
      <c r="B5" s="437" t="s">
        <v>123</v>
      </c>
      <c r="C5" s="24" t="s">
        <v>109</v>
      </c>
      <c r="D5" s="24" t="s">
        <v>243</v>
      </c>
      <c r="E5" s="24" t="s">
        <v>86</v>
      </c>
      <c r="F5" s="24" t="s">
        <v>111</v>
      </c>
      <c r="G5" s="24" t="s">
        <v>110</v>
      </c>
      <c r="H5" s="24" t="s">
        <v>11</v>
      </c>
      <c r="I5" s="24" t="s">
        <v>241</v>
      </c>
      <c r="J5" s="449" t="s">
        <v>341</v>
      </c>
      <c r="K5" s="449"/>
      <c r="L5" s="449"/>
      <c r="M5" s="449"/>
      <c r="N5" s="449"/>
      <c r="O5" s="449"/>
      <c r="P5" s="449"/>
      <c r="Q5" s="449"/>
      <c r="R5" s="449"/>
      <c r="S5" s="449"/>
      <c r="T5" s="449"/>
      <c r="U5" s="450"/>
    </row>
    <row r="6" spans="2:21" ht="42" customHeight="1">
      <c r="B6" s="437"/>
      <c r="C6" s="24" t="s">
        <v>251</v>
      </c>
      <c r="D6" s="24" t="s">
        <v>249</v>
      </c>
      <c r="E6" s="24" t="s">
        <v>86</v>
      </c>
      <c r="F6" s="24" t="s">
        <v>244</v>
      </c>
      <c r="G6" s="24" t="s">
        <v>94</v>
      </c>
      <c r="H6" s="24" t="s">
        <v>11</v>
      </c>
      <c r="I6" s="24" t="s">
        <v>241</v>
      </c>
      <c r="J6" s="462" t="s">
        <v>336</v>
      </c>
      <c r="K6" s="449"/>
      <c r="L6" s="449"/>
      <c r="M6" s="449"/>
      <c r="N6" s="449"/>
      <c r="O6" s="449"/>
      <c r="P6" s="449" t="s">
        <v>336</v>
      </c>
      <c r="Q6" s="449"/>
      <c r="R6" s="449"/>
      <c r="S6" s="449"/>
      <c r="T6" s="449"/>
      <c r="U6" s="450"/>
    </row>
    <row r="7" spans="2:21" ht="39.75" customHeight="1">
      <c r="B7" s="437"/>
      <c r="C7" s="24" t="s">
        <v>252</v>
      </c>
      <c r="D7" s="24" t="s">
        <v>250</v>
      </c>
      <c r="E7" s="24" t="s">
        <v>86</v>
      </c>
      <c r="F7" s="24" t="s">
        <v>244</v>
      </c>
      <c r="G7" s="24" t="s">
        <v>95</v>
      </c>
      <c r="H7" s="24" t="s">
        <v>11</v>
      </c>
      <c r="I7" s="24" t="s">
        <v>241</v>
      </c>
      <c r="J7" s="462" t="s">
        <v>336</v>
      </c>
      <c r="K7" s="449"/>
      <c r="L7" s="449"/>
      <c r="M7" s="449"/>
      <c r="N7" s="449"/>
      <c r="O7" s="449"/>
      <c r="P7" s="449" t="s">
        <v>336</v>
      </c>
      <c r="Q7" s="449"/>
      <c r="R7" s="449"/>
      <c r="S7" s="449"/>
      <c r="T7" s="449"/>
      <c r="U7" s="450"/>
    </row>
    <row r="8" spans="2:21" ht="56.25" customHeight="1">
      <c r="B8" s="141" t="s">
        <v>245</v>
      </c>
      <c r="C8" s="24" t="s">
        <v>246</v>
      </c>
      <c r="D8" s="24" t="s">
        <v>247</v>
      </c>
      <c r="E8" s="24" t="s">
        <v>248</v>
      </c>
      <c r="F8" s="24" t="s">
        <v>15</v>
      </c>
      <c r="G8" s="24" t="s">
        <v>122</v>
      </c>
      <c r="H8" s="24" t="s">
        <v>11</v>
      </c>
      <c r="I8" s="24" t="s">
        <v>241</v>
      </c>
      <c r="J8" s="136">
        <f>+EDA!L7</f>
        <v>5.1974012993503248E-3</v>
      </c>
      <c r="K8" s="136">
        <f>+EDA!N7</f>
        <v>2.5327553455749842E-3</v>
      </c>
      <c r="L8" s="35">
        <f>+EDA!P7</f>
        <v>1.9948059768903608E-3</v>
      </c>
      <c r="M8" s="35">
        <f>+EDA!R7</f>
        <v>9.8225919615114771E-4</v>
      </c>
      <c r="N8" s="35">
        <f>+EDA!T7</f>
        <v>1.0481059228679601E-3</v>
      </c>
      <c r="O8" s="136">
        <f>+'AGUA '!L10</f>
        <v>2.7288084203231254E-3</v>
      </c>
      <c r="P8" s="136" t="e">
        <f>+'AGUA '!L11</f>
        <v>#DIV/0!</v>
      </c>
      <c r="Q8" s="136" t="e">
        <f>+'AGUA '!L12</f>
        <v>#DIV/0!</v>
      </c>
      <c r="R8" s="136" t="e">
        <f>+'AGUA '!L13</f>
        <v>#DIV/0!</v>
      </c>
      <c r="S8" s="136" t="e">
        <f>+'AGUA '!L14</f>
        <v>#DIV/0!</v>
      </c>
      <c r="T8" s="136" t="e">
        <f>+EDA!AF7</f>
        <v>#DIV/0!</v>
      </c>
      <c r="U8" s="184" t="e">
        <f>+'AGUA '!L16</f>
        <v>#DIV/0!</v>
      </c>
    </row>
    <row r="9" spans="2:21" ht="33.75" customHeight="1">
      <c r="B9" s="437" t="s">
        <v>253</v>
      </c>
      <c r="C9" s="24" t="s">
        <v>254</v>
      </c>
      <c r="D9" s="24" t="s">
        <v>256</v>
      </c>
      <c r="E9" s="24" t="s">
        <v>258</v>
      </c>
      <c r="F9" s="24" t="s">
        <v>15</v>
      </c>
      <c r="G9" s="24" t="s">
        <v>231</v>
      </c>
      <c r="H9" s="24" t="s">
        <v>11</v>
      </c>
      <c r="I9" s="24" t="s">
        <v>241</v>
      </c>
      <c r="J9" s="136">
        <f>+EDA!L5</f>
        <v>1.5392303848075961</v>
      </c>
      <c r="K9" s="136">
        <f>+EDA!N5</f>
        <v>0.75008523695874529</v>
      </c>
      <c r="L9" s="35">
        <f>+EDA!P5</f>
        <v>0.74522940268734239</v>
      </c>
      <c r="M9" s="35">
        <f>+EDA!R5</f>
        <v>0.44101433296582138</v>
      </c>
      <c r="N9" s="35">
        <f>+EDA!T5</f>
        <v>0.65880943723128915</v>
      </c>
      <c r="O9" s="136">
        <f>+EDA!V5</f>
        <v>1.4293758392168754</v>
      </c>
      <c r="P9" s="35" t="e">
        <f>+EDA!X5</f>
        <v>#DIV/0!</v>
      </c>
      <c r="Q9" s="136" t="e">
        <f>+EDA!Z6</f>
        <v>#DIV/0!</v>
      </c>
      <c r="R9" s="136" t="e">
        <f>+EE!G13</f>
        <v>#DIV/0!</v>
      </c>
      <c r="S9" s="136" t="e">
        <f>+EE!G14</f>
        <v>#DIV/0!</v>
      </c>
      <c r="T9" s="137" t="e">
        <f>+EE!G15</f>
        <v>#DIV/0!</v>
      </c>
      <c r="U9" s="185" t="e">
        <f>+EE!G16</f>
        <v>#DIV/0!</v>
      </c>
    </row>
    <row r="10" spans="2:21" ht="33.75" customHeight="1">
      <c r="B10" s="437"/>
      <c r="C10" s="24" t="s">
        <v>255</v>
      </c>
      <c r="D10" s="24" t="s">
        <v>257</v>
      </c>
      <c r="E10" s="24" t="s">
        <v>259</v>
      </c>
      <c r="F10" s="24" t="s">
        <v>7</v>
      </c>
      <c r="G10" s="24" t="s">
        <v>230</v>
      </c>
      <c r="H10" s="24" t="s">
        <v>11</v>
      </c>
      <c r="I10" s="24" t="s">
        <v>241</v>
      </c>
      <c r="J10" s="137">
        <f>+EDA!L6</f>
        <v>1.6932533733133432</v>
      </c>
      <c r="K10" s="137">
        <f>+EDA!N6</f>
        <v>0.82952608250937609</v>
      </c>
      <c r="L10" s="137">
        <f>+EDA!P6</f>
        <v>0.67416914449170084</v>
      </c>
      <c r="M10" s="137">
        <f>+EDA!R6</f>
        <v>0.35960709632153953</v>
      </c>
      <c r="N10" s="136">
        <f>+EDA!T6</f>
        <v>0.36996000085559666</v>
      </c>
      <c r="O10" s="136">
        <f>+EDA!V6</f>
        <v>0.5026034216398696</v>
      </c>
      <c r="P10" s="35" t="e">
        <f>+EDA!X6</f>
        <v>#DIV/0!</v>
      </c>
      <c r="Q10" s="136" t="e">
        <f>+EDA!Z6</f>
        <v>#DIV/0!</v>
      </c>
      <c r="R10" s="136" t="e">
        <f>+GN!G13</f>
        <v>#DIV/0!</v>
      </c>
      <c r="S10" s="136" t="e">
        <f>+GN!G14</f>
        <v>#DIV/0!</v>
      </c>
      <c r="T10" s="35" t="e">
        <f>+GN!G15</f>
        <v>#DIV/0!</v>
      </c>
      <c r="U10" s="142"/>
    </row>
    <row r="11" spans="2:21" ht="33.75" customHeight="1">
      <c r="B11" s="437" t="s">
        <v>260</v>
      </c>
      <c r="C11" s="24" t="s">
        <v>261</v>
      </c>
      <c r="D11" s="24" t="s">
        <v>262</v>
      </c>
      <c r="E11" s="24" t="s">
        <v>33</v>
      </c>
      <c r="F11" s="24" t="s">
        <v>15</v>
      </c>
      <c r="G11" s="24" t="s">
        <v>263</v>
      </c>
      <c r="H11" s="24" t="s">
        <v>11</v>
      </c>
      <c r="I11" s="24" t="s">
        <v>241</v>
      </c>
      <c r="J11" s="138">
        <f>+EDA!L8</f>
        <v>10</v>
      </c>
      <c r="K11" s="138">
        <f>+EDA!N8</f>
        <v>15</v>
      </c>
      <c r="L11" s="138">
        <f>+EDA!P8</f>
        <v>10</v>
      </c>
      <c r="M11" s="138">
        <f>+EDA!R8</f>
        <v>6</v>
      </c>
      <c r="N11" s="160">
        <f>+EDA!T8</f>
        <v>7</v>
      </c>
      <c r="O11" s="160">
        <f>+Vol_VERT!C10</f>
        <v>4</v>
      </c>
      <c r="P11" s="160">
        <f>+Vol_VERT!C11</f>
        <v>0</v>
      </c>
      <c r="Q11" s="160">
        <f>+Vol_VERT!C12</f>
        <v>0</v>
      </c>
      <c r="R11" s="160">
        <f>+Vol_VERT!C13</f>
        <v>0</v>
      </c>
      <c r="S11" s="160">
        <f>+Vol_VERT!C14</f>
        <v>0</v>
      </c>
      <c r="T11" s="160" t="e">
        <f>+Vol_VERT!D15</f>
        <v>#DIV/0!</v>
      </c>
      <c r="U11" s="186">
        <f>+Vol_VERT!C16</f>
        <v>0</v>
      </c>
    </row>
    <row r="12" spans="2:21" ht="71.25" customHeight="1">
      <c r="B12" s="437"/>
      <c r="C12" s="24" t="s">
        <v>265</v>
      </c>
      <c r="D12" s="24" t="s">
        <v>264</v>
      </c>
      <c r="E12" s="24" t="s">
        <v>6</v>
      </c>
      <c r="F12" s="24" t="s">
        <v>88</v>
      </c>
      <c r="G12" s="24">
        <v>100</v>
      </c>
      <c r="H12" s="24" t="s">
        <v>11</v>
      </c>
      <c r="I12" s="24" t="s">
        <v>241</v>
      </c>
      <c r="J12" s="461">
        <v>1</v>
      </c>
      <c r="K12" s="449"/>
      <c r="L12" s="449"/>
      <c r="M12" s="461">
        <v>1</v>
      </c>
      <c r="N12" s="449"/>
      <c r="O12" s="449"/>
      <c r="P12" s="461">
        <v>1</v>
      </c>
      <c r="Q12" s="449"/>
      <c r="R12" s="449"/>
      <c r="S12" s="449">
        <v>100</v>
      </c>
      <c r="T12" s="449"/>
      <c r="U12" s="450"/>
    </row>
    <row r="13" spans="2:21" ht="47.25" customHeight="1">
      <c r="B13" s="437"/>
      <c r="C13" s="24" t="s">
        <v>266</v>
      </c>
      <c r="D13" s="24" t="s">
        <v>267</v>
      </c>
      <c r="E13" s="24" t="s">
        <v>331</v>
      </c>
      <c r="F13" s="24" t="s">
        <v>268</v>
      </c>
      <c r="G13" s="24">
        <v>10</v>
      </c>
      <c r="H13" s="24" t="s">
        <v>11</v>
      </c>
      <c r="I13" s="24" t="s">
        <v>241</v>
      </c>
      <c r="J13" s="463">
        <v>9</v>
      </c>
      <c r="K13" s="463"/>
      <c r="L13" s="463"/>
      <c r="M13" s="461"/>
      <c r="N13" s="461"/>
      <c r="O13" s="461"/>
      <c r="P13" s="449"/>
      <c r="Q13" s="449"/>
      <c r="R13" s="449"/>
      <c r="S13" s="449"/>
      <c r="T13" s="449"/>
      <c r="U13" s="450"/>
    </row>
    <row r="14" spans="2:21" ht="33.75" customHeight="1">
      <c r="B14" s="437" t="s">
        <v>275</v>
      </c>
      <c r="C14" s="24" t="s">
        <v>270</v>
      </c>
      <c r="D14" s="24" t="s">
        <v>269</v>
      </c>
      <c r="E14" s="24" t="s">
        <v>41</v>
      </c>
      <c r="F14" s="24" t="s">
        <v>15</v>
      </c>
      <c r="G14" s="24" t="s">
        <v>83</v>
      </c>
      <c r="H14" s="24" t="s">
        <v>11</v>
      </c>
      <c r="I14" s="24" t="s">
        <v>241</v>
      </c>
      <c r="J14" s="136">
        <f>+EDA!L9</f>
        <v>141.89999999999998</v>
      </c>
      <c r="K14" s="136">
        <f>+EDA!N9</f>
        <v>143.4</v>
      </c>
      <c r="L14" s="136">
        <f>+EDA!P9</f>
        <v>303.70000000000005</v>
      </c>
      <c r="M14" s="136">
        <f>+EDA!R9</f>
        <v>215.3</v>
      </c>
      <c r="N14" s="139">
        <f>+EDA!T9</f>
        <v>179.39999999999998</v>
      </c>
      <c r="O14" s="139">
        <f>+RESIDUOS!J10</f>
        <v>201.19999999999996</v>
      </c>
      <c r="P14" s="139">
        <f>+EDA!X9</f>
        <v>0</v>
      </c>
      <c r="Q14" s="139">
        <f>+EDA!Z9</f>
        <v>0</v>
      </c>
      <c r="R14" s="139">
        <f>+RESIDUOS!J13</f>
        <v>0</v>
      </c>
      <c r="S14" s="139">
        <f>+RESIDUOS!J14</f>
        <v>0</v>
      </c>
      <c r="T14" s="139">
        <f>+RESIDUOS!J15</f>
        <v>0</v>
      </c>
      <c r="U14" s="143"/>
    </row>
    <row r="15" spans="2:21" ht="57.75" customHeight="1">
      <c r="B15" s="437"/>
      <c r="C15" s="24" t="s">
        <v>271</v>
      </c>
      <c r="D15" s="24" t="s">
        <v>272</v>
      </c>
      <c r="E15" s="24" t="s">
        <v>6</v>
      </c>
      <c r="F15" s="24" t="s">
        <v>15</v>
      </c>
      <c r="G15" s="24">
        <v>15</v>
      </c>
      <c r="H15" s="24" t="s">
        <v>11</v>
      </c>
      <c r="I15" s="24" t="s">
        <v>241</v>
      </c>
      <c r="J15" s="140">
        <f>+EDA!L10</f>
        <v>0.28000000000000003</v>
      </c>
      <c r="K15" s="140">
        <f>+EDA!N10</f>
        <v>0.30882352941176466</v>
      </c>
      <c r="L15" s="140">
        <f>+EDA!P10</f>
        <v>0.45454545454545453</v>
      </c>
      <c r="M15" s="140">
        <f>+EDA!R10</f>
        <v>0.35260115606936421</v>
      </c>
      <c r="N15" s="140">
        <f>+EDA!T10</f>
        <v>0.5</v>
      </c>
      <c r="O15" s="140">
        <f>+RESIDUOS!K10</f>
        <v>0.46969696969696972</v>
      </c>
      <c r="P15" s="140" t="e">
        <f>+RESIDUOS!K11</f>
        <v>#DIV/0!</v>
      </c>
      <c r="Q15" s="140" t="e">
        <f>+RESIDUOS!K12</f>
        <v>#DIV/0!</v>
      </c>
      <c r="R15" s="140" t="e">
        <f>+RESIDUOS!K13</f>
        <v>#DIV/0!</v>
      </c>
      <c r="S15" s="140" t="e">
        <f>+RESIDUOS!K14</f>
        <v>#DIV/0!</v>
      </c>
      <c r="T15" s="140" t="e">
        <f>+RESIDUOS!K15</f>
        <v>#DIV/0!</v>
      </c>
      <c r="U15" s="142"/>
    </row>
    <row r="16" spans="2:21" ht="45.75" customHeight="1">
      <c r="B16" s="437"/>
      <c r="C16" s="24" t="s">
        <v>274</v>
      </c>
      <c r="D16" s="24" t="s">
        <v>273</v>
      </c>
      <c r="E16" s="24" t="s">
        <v>41</v>
      </c>
      <c r="F16" s="24" t="s">
        <v>15</v>
      </c>
      <c r="G16" s="24" t="s">
        <v>40</v>
      </c>
      <c r="H16" s="24" t="s">
        <v>11</v>
      </c>
      <c r="I16" s="24" t="s">
        <v>278</v>
      </c>
      <c r="J16" s="136">
        <f>+EDA!L11</f>
        <v>74</v>
      </c>
      <c r="K16" s="136">
        <f>+EDA!N11</f>
        <v>64</v>
      </c>
      <c r="L16" s="136">
        <f>+EDA!P11</f>
        <v>380</v>
      </c>
      <c r="M16" s="136">
        <f>+EDA!R11</f>
        <v>2949</v>
      </c>
      <c r="N16" s="139">
        <f>+EDA!T11</f>
        <v>1540</v>
      </c>
      <c r="O16" s="139">
        <f>+'RESPEL '!H37</f>
        <v>3165</v>
      </c>
      <c r="P16" s="139">
        <v>0</v>
      </c>
      <c r="Q16" s="139">
        <f>+'RESPEL '!J37</f>
        <v>0</v>
      </c>
      <c r="R16" s="139">
        <f>+'RESPEL '!K37</f>
        <v>0</v>
      </c>
      <c r="S16" s="139">
        <f>+'RESPEL '!L37</f>
        <v>0</v>
      </c>
      <c r="T16" s="139">
        <f>+'RESPEL '!M37</f>
        <v>0</v>
      </c>
      <c r="U16" s="143">
        <f>+'RESPEL '!N37</f>
        <v>0</v>
      </c>
    </row>
    <row r="17" spans="2:38" ht="68.25" customHeight="1">
      <c r="B17" s="437" t="s">
        <v>283</v>
      </c>
      <c r="C17" s="429" t="s">
        <v>89</v>
      </c>
      <c r="D17" s="24" t="s">
        <v>276</v>
      </c>
      <c r="E17" s="24" t="s">
        <v>6</v>
      </c>
      <c r="F17" s="24" t="s">
        <v>15</v>
      </c>
      <c r="G17" s="24">
        <v>100</v>
      </c>
      <c r="H17" s="24" t="s">
        <v>11</v>
      </c>
      <c r="I17" s="24" t="s">
        <v>241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  <c r="P17" s="203">
        <v>1</v>
      </c>
      <c r="Q17" s="203">
        <v>1</v>
      </c>
      <c r="R17" s="203">
        <v>1</v>
      </c>
      <c r="S17" s="203">
        <v>1</v>
      </c>
      <c r="T17" s="203">
        <v>1</v>
      </c>
      <c r="U17" s="203">
        <v>1</v>
      </c>
    </row>
    <row r="18" spans="2:38" ht="72.75" customHeight="1">
      <c r="B18" s="437"/>
      <c r="C18" s="429"/>
      <c r="D18" s="24" t="s">
        <v>280</v>
      </c>
      <c r="E18" s="24" t="s">
        <v>6</v>
      </c>
      <c r="F18" s="24" t="s">
        <v>15</v>
      </c>
      <c r="G18" s="24">
        <v>100</v>
      </c>
      <c r="H18" s="24" t="s">
        <v>11</v>
      </c>
      <c r="I18" s="24" t="s">
        <v>278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  <c r="P18" s="203">
        <v>1</v>
      </c>
      <c r="Q18" s="203">
        <v>1</v>
      </c>
      <c r="R18" s="203">
        <v>1</v>
      </c>
      <c r="S18" s="203">
        <v>1</v>
      </c>
      <c r="T18" s="203">
        <v>1</v>
      </c>
      <c r="U18" s="203">
        <v>1</v>
      </c>
    </row>
    <row r="19" spans="2:38" ht="60" hidden="1" customHeight="1">
      <c r="B19" s="438"/>
      <c r="C19" s="439"/>
      <c r="D19" s="145" t="s">
        <v>277</v>
      </c>
      <c r="E19" s="145" t="s">
        <v>6</v>
      </c>
      <c r="F19" s="145" t="s">
        <v>7</v>
      </c>
      <c r="G19" s="145">
        <v>100</v>
      </c>
      <c r="H19" s="145" t="s">
        <v>85</v>
      </c>
      <c r="I19" s="145" t="s">
        <v>241</v>
      </c>
      <c r="J19" s="147">
        <v>1</v>
      </c>
      <c r="K19" s="147">
        <v>1</v>
      </c>
      <c r="L19" s="147">
        <v>1</v>
      </c>
      <c r="M19" s="147">
        <v>1</v>
      </c>
      <c r="N19" s="147"/>
      <c r="O19" s="147"/>
      <c r="P19" s="147"/>
      <c r="Q19" s="146"/>
      <c r="R19" s="146"/>
      <c r="S19" s="146"/>
      <c r="T19" s="146"/>
      <c r="U19" s="148"/>
    </row>
    <row r="20" spans="2:38" ht="60" customHeight="1" thickBot="1">
      <c r="B20" s="149" t="s">
        <v>284</v>
      </c>
      <c r="C20" s="144" t="s">
        <v>285</v>
      </c>
      <c r="D20" s="144" t="s">
        <v>286</v>
      </c>
      <c r="E20" s="144" t="s">
        <v>287</v>
      </c>
      <c r="F20" s="144" t="s">
        <v>268</v>
      </c>
      <c r="G20" s="144" t="s">
        <v>91</v>
      </c>
      <c r="H20" s="144" t="s">
        <v>288</v>
      </c>
      <c r="I20" s="144" t="s">
        <v>241</v>
      </c>
      <c r="J20" s="433"/>
      <c r="K20" s="434"/>
      <c r="L20" s="435"/>
      <c r="M20" s="433"/>
      <c r="N20" s="434"/>
      <c r="O20" s="435"/>
      <c r="P20" s="433"/>
      <c r="Q20" s="434"/>
      <c r="R20" s="435"/>
      <c r="S20" s="433"/>
      <c r="T20" s="434"/>
      <c r="U20" s="436"/>
    </row>
    <row r="21" spans="2:38" ht="6.75" customHeight="1" thickBot="1">
      <c r="B21" s="451"/>
      <c r="C21" s="452"/>
      <c r="D21" s="452"/>
      <c r="E21" s="452"/>
      <c r="F21" s="452"/>
      <c r="G21" s="452"/>
      <c r="H21" s="452"/>
      <c r="I21" s="452"/>
      <c r="J21" s="452"/>
      <c r="K21" s="452"/>
      <c r="L21" s="452"/>
      <c r="M21" s="452"/>
      <c r="N21" s="452"/>
      <c r="O21" s="452"/>
      <c r="P21" s="452"/>
      <c r="Q21" s="452"/>
      <c r="R21" s="452"/>
      <c r="S21" s="452"/>
      <c r="T21" s="452"/>
      <c r="U21" s="453"/>
    </row>
    <row r="22" spans="2:38" ht="18.75" customHeight="1" thickBot="1">
      <c r="B22" s="454" t="s">
        <v>282</v>
      </c>
      <c r="C22" s="455"/>
      <c r="D22" s="455"/>
      <c r="E22" s="455"/>
      <c r="F22" s="455"/>
      <c r="G22" s="455"/>
      <c r="H22" s="455"/>
      <c r="I22" s="455"/>
      <c r="J22" s="455"/>
      <c r="K22" s="455"/>
      <c r="L22" s="455"/>
      <c r="M22" s="455"/>
      <c r="N22" s="455"/>
      <c r="O22" s="455"/>
      <c r="P22" s="455"/>
      <c r="Q22" s="455"/>
      <c r="R22" s="455"/>
      <c r="S22" s="455"/>
      <c r="T22" s="455"/>
      <c r="U22" s="456"/>
    </row>
    <row r="23" spans="2:38" ht="33.75" customHeight="1">
      <c r="B23" s="156" t="s">
        <v>84</v>
      </c>
      <c r="C23" s="157" t="s">
        <v>1</v>
      </c>
      <c r="D23" s="157" t="s">
        <v>29</v>
      </c>
      <c r="E23" s="157" t="s">
        <v>2</v>
      </c>
      <c r="F23" s="157" t="s">
        <v>3</v>
      </c>
      <c r="G23" s="157" t="s">
        <v>0</v>
      </c>
      <c r="H23" s="157" t="s">
        <v>12</v>
      </c>
      <c r="I23" s="157" t="s">
        <v>13</v>
      </c>
      <c r="J23" s="158" t="s">
        <v>62</v>
      </c>
      <c r="K23" s="158" t="s">
        <v>63</v>
      </c>
      <c r="L23" s="158" t="s">
        <v>64</v>
      </c>
      <c r="M23" s="158" t="s">
        <v>65</v>
      </c>
      <c r="N23" s="158" t="s">
        <v>66</v>
      </c>
      <c r="O23" s="158" t="s">
        <v>67</v>
      </c>
      <c r="P23" s="158" t="s">
        <v>68</v>
      </c>
      <c r="Q23" s="158" t="s">
        <v>69</v>
      </c>
      <c r="R23" s="158" t="s">
        <v>70</v>
      </c>
      <c r="S23" s="158" t="s">
        <v>71</v>
      </c>
      <c r="T23" s="158" t="s">
        <v>72</v>
      </c>
      <c r="U23" s="159" t="s">
        <v>73</v>
      </c>
    </row>
    <row r="24" spans="2:38" ht="45.75" customHeight="1">
      <c r="B24" s="24" t="s">
        <v>116</v>
      </c>
      <c r="C24" s="24" t="s">
        <v>117</v>
      </c>
      <c r="D24" s="24" t="s">
        <v>119</v>
      </c>
      <c r="E24" s="24" t="s">
        <v>118</v>
      </c>
      <c r="F24" s="24" t="s">
        <v>242</v>
      </c>
      <c r="G24" s="24">
        <v>15</v>
      </c>
      <c r="H24" s="24" t="s">
        <v>11</v>
      </c>
      <c r="I24" s="24" t="s">
        <v>241</v>
      </c>
      <c r="J24" s="429">
        <v>100</v>
      </c>
      <c r="K24" s="429"/>
      <c r="L24" s="429"/>
      <c r="M24" s="429">
        <v>100</v>
      </c>
      <c r="N24" s="429"/>
      <c r="O24" s="429"/>
      <c r="P24" s="429">
        <v>100</v>
      </c>
      <c r="Q24" s="429"/>
      <c r="R24" s="429"/>
      <c r="S24" s="429">
        <v>100</v>
      </c>
      <c r="T24" s="429"/>
      <c r="U24" s="429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</row>
    <row r="25" spans="2:38" ht="61.5" customHeight="1">
      <c r="B25" s="429" t="s">
        <v>289</v>
      </c>
      <c r="C25" s="24" t="s">
        <v>290</v>
      </c>
      <c r="D25" s="24" t="s">
        <v>291</v>
      </c>
      <c r="E25" s="35" t="s">
        <v>6</v>
      </c>
      <c r="F25" s="35" t="s">
        <v>15</v>
      </c>
      <c r="G25" s="35">
        <v>100</v>
      </c>
      <c r="H25" s="24" t="s">
        <v>11</v>
      </c>
      <c r="I25" s="35" t="s">
        <v>241</v>
      </c>
      <c r="J25" s="35">
        <v>100</v>
      </c>
      <c r="K25" s="35">
        <v>100</v>
      </c>
      <c r="L25" s="35">
        <v>100</v>
      </c>
      <c r="M25" s="35">
        <v>100</v>
      </c>
      <c r="N25" s="202">
        <v>100</v>
      </c>
      <c r="O25" s="202">
        <v>100</v>
      </c>
      <c r="P25" s="202">
        <v>100</v>
      </c>
      <c r="Q25" s="202">
        <v>100</v>
      </c>
      <c r="R25" s="202">
        <v>100</v>
      </c>
      <c r="S25" s="202">
        <v>100</v>
      </c>
      <c r="T25" s="202">
        <v>100</v>
      </c>
      <c r="U25" s="202">
        <v>100</v>
      </c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</row>
    <row r="26" spans="2:38" ht="57.75" customHeight="1">
      <c r="B26" s="429"/>
      <c r="C26" s="24" t="s">
        <v>292</v>
      </c>
      <c r="D26" s="24" t="s">
        <v>293</v>
      </c>
      <c r="E26" s="35" t="s">
        <v>6</v>
      </c>
      <c r="F26" s="35" t="s">
        <v>15</v>
      </c>
      <c r="G26" s="35">
        <v>100</v>
      </c>
      <c r="H26" s="24" t="s">
        <v>11</v>
      </c>
      <c r="I26" s="35" t="s">
        <v>241</v>
      </c>
      <c r="J26" s="35">
        <v>100</v>
      </c>
      <c r="K26" s="35">
        <v>100</v>
      </c>
      <c r="L26" s="35">
        <v>100</v>
      </c>
      <c r="M26" s="35">
        <v>100</v>
      </c>
      <c r="N26" s="202">
        <v>100</v>
      </c>
      <c r="O26" s="202">
        <v>100</v>
      </c>
      <c r="P26" s="202">
        <v>100</v>
      </c>
      <c r="Q26" s="202">
        <v>100</v>
      </c>
      <c r="R26" s="202">
        <v>100</v>
      </c>
      <c r="S26" s="202">
        <v>100</v>
      </c>
      <c r="T26" s="202">
        <v>100</v>
      </c>
      <c r="U26" s="202">
        <v>100</v>
      </c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</row>
    <row r="27" spans="2:38" ht="61.5" customHeight="1">
      <c r="B27" s="429" t="s">
        <v>294</v>
      </c>
      <c r="C27" s="24" t="s">
        <v>295</v>
      </c>
      <c r="D27" s="24" t="s">
        <v>293</v>
      </c>
      <c r="E27" s="35" t="s">
        <v>6</v>
      </c>
      <c r="F27" s="35" t="s">
        <v>297</v>
      </c>
      <c r="G27" s="35">
        <v>100</v>
      </c>
      <c r="H27" s="24" t="s">
        <v>11</v>
      </c>
      <c r="I27" s="35" t="s">
        <v>241</v>
      </c>
      <c r="J27" s="35">
        <v>100</v>
      </c>
      <c r="K27" s="35">
        <v>100</v>
      </c>
      <c r="L27" s="35">
        <v>100</v>
      </c>
      <c r="M27" s="35">
        <v>100</v>
      </c>
      <c r="N27" s="202">
        <v>100</v>
      </c>
      <c r="O27" s="202">
        <v>100</v>
      </c>
      <c r="P27" s="202">
        <v>100</v>
      </c>
      <c r="Q27" s="202">
        <v>100</v>
      </c>
      <c r="R27" s="202">
        <v>100</v>
      </c>
      <c r="S27" s="202">
        <v>100</v>
      </c>
      <c r="T27" s="202">
        <v>100</v>
      </c>
      <c r="U27" s="202">
        <v>100</v>
      </c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</row>
    <row r="28" spans="2:38" ht="69" customHeight="1">
      <c r="B28" s="429"/>
      <c r="C28" s="24" t="s">
        <v>296</v>
      </c>
      <c r="D28" s="24" t="s">
        <v>299</v>
      </c>
      <c r="E28" s="35" t="s">
        <v>6</v>
      </c>
      <c r="F28" s="35" t="s">
        <v>268</v>
      </c>
      <c r="G28" s="35">
        <v>100</v>
      </c>
      <c r="H28" s="24" t="s">
        <v>11</v>
      </c>
      <c r="I28" s="35" t="s">
        <v>241</v>
      </c>
      <c r="J28" s="426">
        <v>100</v>
      </c>
      <c r="K28" s="427"/>
      <c r="L28" s="428"/>
      <c r="M28" s="426">
        <v>100</v>
      </c>
      <c r="N28" s="427"/>
      <c r="O28" s="428"/>
      <c r="P28" s="426">
        <v>100</v>
      </c>
      <c r="Q28" s="427"/>
      <c r="R28" s="428"/>
      <c r="S28" s="426">
        <v>100</v>
      </c>
      <c r="T28" s="427"/>
      <c r="U28" s="428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</row>
    <row r="29" spans="2:38" ht="69" customHeight="1">
      <c r="B29" s="429" t="s">
        <v>300</v>
      </c>
      <c r="C29" s="24" t="s">
        <v>298</v>
      </c>
      <c r="D29" s="24" t="s">
        <v>330</v>
      </c>
      <c r="E29" s="35" t="s">
        <v>6</v>
      </c>
      <c r="F29" s="35" t="s">
        <v>15</v>
      </c>
      <c r="G29" s="35">
        <v>100</v>
      </c>
      <c r="H29" s="24" t="s">
        <v>11</v>
      </c>
      <c r="I29" s="35" t="s">
        <v>241</v>
      </c>
      <c r="J29" s="35">
        <v>100</v>
      </c>
      <c r="K29" s="35">
        <v>100</v>
      </c>
      <c r="L29" s="35">
        <v>100</v>
      </c>
      <c r="M29" s="35">
        <v>100</v>
      </c>
      <c r="N29" s="202">
        <v>100</v>
      </c>
      <c r="O29" s="202">
        <v>100</v>
      </c>
      <c r="P29" s="202">
        <v>100</v>
      </c>
      <c r="Q29" s="202">
        <v>100</v>
      </c>
      <c r="R29" s="202">
        <v>100</v>
      </c>
      <c r="S29" s="202">
        <v>100</v>
      </c>
      <c r="T29" s="202">
        <v>100</v>
      </c>
      <c r="U29" s="202">
        <v>100</v>
      </c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</row>
    <row r="30" spans="2:38" ht="72" customHeight="1">
      <c r="B30" s="429"/>
      <c r="C30" s="24" t="s">
        <v>301</v>
      </c>
      <c r="D30" s="24" t="s">
        <v>299</v>
      </c>
      <c r="E30" s="35" t="s">
        <v>6</v>
      </c>
      <c r="F30" s="35" t="s">
        <v>244</v>
      </c>
      <c r="G30" s="35">
        <v>100</v>
      </c>
      <c r="H30" s="24" t="s">
        <v>11</v>
      </c>
      <c r="I30" s="35" t="s">
        <v>241</v>
      </c>
      <c r="J30" s="426">
        <v>0</v>
      </c>
      <c r="K30" s="427"/>
      <c r="L30" s="427"/>
      <c r="M30" s="427"/>
      <c r="N30" s="427"/>
      <c r="O30" s="428"/>
      <c r="P30" s="426">
        <v>0</v>
      </c>
      <c r="Q30" s="427"/>
      <c r="R30" s="427"/>
      <c r="S30" s="427"/>
      <c r="T30" s="427"/>
      <c r="U30" s="428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</row>
    <row r="31" spans="2:38" ht="61.5" customHeight="1">
      <c r="B31" s="429" t="s">
        <v>302</v>
      </c>
      <c r="C31" s="24" t="s">
        <v>303</v>
      </c>
      <c r="D31" s="24" t="s">
        <v>293</v>
      </c>
      <c r="E31" s="35" t="s">
        <v>6</v>
      </c>
      <c r="F31" s="35" t="s">
        <v>242</v>
      </c>
      <c r="G31" s="35">
        <v>100</v>
      </c>
      <c r="H31" s="24" t="s">
        <v>11</v>
      </c>
      <c r="I31" s="24" t="s">
        <v>309</v>
      </c>
      <c r="J31" s="35">
        <v>100</v>
      </c>
      <c r="K31" s="35">
        <v>100</v>
      </c>
      <c r="L31" s="35">
        <v>100</v>
      </c>
      <c r="M31" s="35">
        <v>100</v>
      </c>
      <c r="N31" s="35">
        <v>100</v>
      </c>
      <c r="O31" s="35">
        <v>100</v>
      </c>
      <c r="P31" s="202">
        <v>100</v>
      </c>
      <c r="Q31" s="202">
        <v>100</v>
      </c>
      <c r="R31" s="202">
        <v>100</v>
      </c>
      <c r="S31" s="202">
        <v>100</v>
      </c>
      <c r="T31" s="202">
        <v>100</v>
      </c>
      <c r="U31" s="202">
        <v>100</v>
      </c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</row>
    <row r="32" spans="2:38" ht="88.5" customHeight="1">
      <c r="B32" s="429"/>
      <c r="C32" s="24" t="s">
        <v>304</v>
      </c>
      <c r="D32" s="24" t="s">
        <v>305</v>
      </c>
      <c r="E32" s="35" t="s">
        <v>6</v>
      </c>
      <c r="F32" s="35" t="s">
        <v>242</v>
      </c>
      <c r="G32" s="35">
        <v>100</v>
      </c>
      <c r="H32" s="24" t="s">
        <v>11</v>
      </c>
      <c r="I32" s="35" t="s">
        <v>241</v>
      </c>
      <c r="J32" s="426">
        <v>100</v>
      </c>
      <c r="K32" s="427"/>
      <c r="L32" s="427"/>
      <c r="M32" s="427"/>
      <c r="N32" s="427"/>
      <c r="O32" s="427"/>
      <c r="P32" s="427"/>
      <c r="Q32" s="427"/>
      <c r="R32" s="427"/>
      <c r="S32" s="427"/>
      <c r="T32" s="427"/>
      <c r="U32" s="428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</row>
    <row r="33" spans="2:38" ht="86.25" customHeight="1">
      <c r="B33" s="429" t="s">
        <v>306</v>
      </c>
      <c r="C33" s="24" t="s">
        <v>307</v>
      </c>
      <c r="D33" s="24" t="s">
        <v>293</v>
      </c>
      <c r="E33" s="35" t="s">
        <v>6</v>
      </c>
      <c r="F33" s="35" t="s">
        <v>242</v>
      </c>
      <c r="G33" s="35">
        <v>100</v>
      </c>
      <c r="H33" s="24" t="s">
        <v>11</v>
      </c>
      <c r="I33" s="24" t="s">
        <v>308</v>
      </c>
      <c r="J33" s="426">
        <v>100</v>
      </c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8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</row>
    <row r="34" spans="2:38" ht="66.75" customHeight="1">
      <c r="B34" s="429"/>
      <c r="C34" s="35" t="s">
        <v>310</v>
      </c>
      <c r="D34" s="24" t="s">
        <v>299</v>
      </c>
      <c r="E34" s="35" t="s">
        <v>6</v>
      </c>
      <c r="F34" s="35" t="s">
        <v>268</v>
      </c>
      <c r="G34" s="35">
        <v>100</v>
      </c>
      <c r="H34" s="24" t="s">
        <v>11</v>
      </c>
      <c r="I34" s="35" t="s">
        <v>241</v>
      </c>
      <c r="J34" s="426">
        <v>100</v>
      </c>
      <c r="K34" s="427"/>
      <c r="L34" s="428"/>
      <c r="M34" s="426">
        <v>0</v>
      </c>
      <c r="N34" s="427"/>
      <c r="O34" s="428"/>
      <c r="P34" s="426">
        <v>0</v>
      </c>
      <c r="Q34" s="427"/>
      <c r="R34" s="428"/>
      <c r="S34" s="426">
        <v>100</v>
      </c>
      <c r="T34" s="427"/>
      <c r="U34" s="428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</row>
    <row r="35" spans="2:38" ht="66" customHeight="1">
      <c r="B35" s="429" t="s">
        <v>311</v>
      </c>
      <c r="C35" s="135" t="s">
        <v>312</v>
      </c>
      <c r="D35" s="24" t="s">
        <v>313</v>
      </c>
      <c r="E35" s="35" t="s">
        <v>6</v>
      </c>
      <c r="F35" s="35" t="s">
        <v>242</v>
      </c>
      <c r="G35" s="35">
        <v>100</v>
      </c>
      <c r="H35" s="24" t="s">
        <v>11</v>
      </c>
      <c r="I35" s="35" t="s">
        <v>241</v>
      </c>
      <c r="J35" s="426" t="s">
        <v>342</v>
      </c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8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</row>
    <row r="36" spans="2:38" ht="33.75" customHeight="1">
      <c r="B36" s="429"/>
      <c r="C36" s="24" t="s">
        <v>314</v>
      </c>
      <c r="D36" s="24" t="s">
        <v>315</v>
      </c>
      <c r="E36" s="35" t="s">
        <v>41</v>
      </c>
      <c r="F36" s="35" t="s">
        <v>242</v>
      </c>
      <c r="G36" s="35" t="s">
        <v>316</v>
      </c>
      <c r="H36" s="35"/>
      <c r="I36" s="35" t="s">
        <v>241</v>
      </c>
      <c r="J36" s="426" t="s">
        <v>342</v>
      </c>
      <c r="K36" s="427"/>
      <c r="L36" s="427"/>
      <c r="M36" s="427"/>
      <c r="N36" s="427"/>
      <c r="O36" s="427"/>
      <c r="P36" s="427"/>
      <c r="Q36" s="427"/>
      <c r="R36" s="427"/>
      <c r="S36" s="427"/>
      <c r="T36" s="427"/>
      <c r="U36" s="428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</row>
    <row r="37" spans="2:38" ht="45" customHeight="1">
      <c r="B37" s="429"/>
      <c r="C37" s="24" t="s">
        <v>317</v>
      </c>
      <c r="D37" s="24" t="s">
        <v>318</v>
      </c>
      <c r="E37" s="35" t="s">
        <v>6</v>
      </c>
      <c r="F37" s="35" t="s">
        <v>242</v>
      </c>
      <c r="G37" s="35" t="s">
        <v>316</v>
      </c>
      <c r="H37" s="35"/>
      <c r="I37" s="35" t="s">
        <v>241</v>
      </c>
      <c r="J37" s="426" t="s">
        <v>342</v>
      </c>
      <c r="K37" s="427"/>
      <c r="L37" s="427"/>
      <c r="M37" s="427"/>
      <c r="N37" s="427"/>
      <c r="O37" s="427"/>
      <c r="P37" s="427"/>
      <c r="Q37" s="427"/>
      <c r="R37" s="427"/>
      <c r="S37" s="427"/>
      <c r="T37" s="427"/>
      <c r="U37" s="428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</row>
    <row r="38" spans="2:38" ht="48.75" customHeight="1">
      <c r="B38" s="429"/>
      <c r="C38" s="24" t="s">
        <v>319</v>
      </c>
      <c r="D38" s="24" t="s">
        <v>320</v>
      </c>
      <c r="E38" s="35" t="s">
        <v>6</v>
      </c>
      <c r="F38" s="35" t="s">
        <v>242</v>
      </c>
      <c r="G38" s="140">
        <v>1</v>
      </c>
      <c r="H38" s="24" t="s">
        <v>11</v>
      </c>
      <c r="I38" s="35" t="s">
        <v>241</v>
      </c>
      <c r="J38" s="426" t="s">
        <v>342</v>
      </c>
      <c r="K38" s="427"/>
      <c r="L38" s="427"/>
      <c r="M38" s="427"/>
      <c r="N38" s="427"/>
      <c r="O38" s="427"/>
      <c r="P38" s="427"/>
      <c r="Q38" s="427"/>
      <c r="R38" s="427"/>
      <c r="S38" s="427"/>
      <c r="T38" s="427"/>
      <c r="U38" s="428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</row>
    <row r="39" spans="2:38" ht="75.75" customHeight="1">
      <c r="B39" s="429" t="s">
        <v>321</v>
      </c>
      <c r="C39" s="135" t="s">
        <v>322</v>
      </c>
      <c r="D39" s="24" t="s">
        <v>324</v>
      </c>
      <c r="E39" s="35" t="s">
        <v>6</v>
      </c>
      <c r="F39" s="35" t="s">
        <v>242</v>
      </c>
      <c r="G39" s="35" t="s">
        <v>316</v>
      </c>
      <c r="H39" s="24" t="s">
        <v>11</v>
      </c>
      <c r="I39" s="35" t="s">
        <v>241</v>
      </c>
      <c r="J39" s="430"/>
      <c r="K39" s="431"/>
      <c r="L39" s="431"/>
      <c r="M39" s="431"/>
      <c r="N39" s="431"/>
      <c r="O39" s="431"/>
      <c r="P39" s="431"/>
      <c r="Q39" s="431"/>
      <c r="R39" s="431"/>
      <c r="S39" s="431"/>
      <c r="T39" s="431"/>
      <c r="U39" s="432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</row>
    <row r="40" spans="2:38" ht="78" customHeight="1">
      <c r="B40" s="429"/>
      <c r="C40" s="24" t="s">
        <v>323</v>
      </c>
      <c r="D40" s="24" t="s">
        <v>325</v>
      </c>
      <c r="E40" s="35" t="s">
        <v>6</v>
      </c>
      <c r="F40" s="35" t="s">
        <v>242</v>
      </c>
      <c r="G40" s="35" t="s">
        <v>316</v>
      </c>
      <c r="H40" s="24" t="s">
        <v>11</v>
      </c>
      <c r="I40" s="35" t="s">
        <v>241</v>
      </c>
      <c r="J40" s="430"/>
      <c r="K40" s="431"/>
      <c r="L40" s="431"/>
      <c r="M40" s="431"/>
      <c r="N40" s="431"/>
      <c r="O40" s="431"/>
      <c r="P40" s="431"/>
      <c r="Q40" s="431"/>
      <c r="R40" s="431"/>
      <c r="S40" s="431"/>
      <c r="T40" s="431"/>
      <c r="U40" s="432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</row>
    <row r="41" spans="2:38" ht="7.5" customHeight="1"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</row>
    <row r="42" spans="2:38" ht="33.75" customHeight="1"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</row>
    <row r="43" spans="2:38" ht="33.75" customHeight="1">
      <c r="B43" s="155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</row>
    <row r="44" spans="2:38" ht="33.75" customHeight="1"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</row>
    <row r="45" spans="2:38" ht="33.75" customHeight="1"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</row>
    <row r="46" spans="2:38" ht="33.75" customHeight="1"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</row>
    <row r="47" spans="2:38" ht="33.75" customHeight="1"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</row>
    <row r="48" spans="2:38" ht="33.75" customHeight="1"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</row>
    <row r="49" spans="2:38" ht="33.75" customHeight="1"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</row>
    <row r="50" spans="2:38" ht="33.75" customHeight="1"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</row>
    <row r="51" spans="2:38" ht="33.75" customHeight="1"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</row>
    <row r="52" spans="2:38" ht="33.75" customHeight="1">
      <c r="B52" s="155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</row>
    <row r="53" spans="2:38" ht="33.75" customHeight="1">
      <c r="B53" s="155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</row>
    <row r="54" spans="2:38" ht="33.75" customHeight="1">
      <c r="B54" s="155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</row>
    <row r="55" spans="2:38" ht="33.75" customHeight="1"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</row>
    <row r="56" spans="2:38" ht="33.75" customHeight="1">
      <c r="B56" s="155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</row>
    <row r="57" spans="2:38" ht="33.75" customHeight="1">
      <c r="B57" s="155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</row>
    <row r="58" spans="2:38" ht="33.75" customHeight="1">
      <c r="B58" s="155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</row>
    <row r="59" spans="2:38" ht="33.75" customHeight="1"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</row>
    <row r="60" spans="2:38" ht="33.75" customHeight="1">
      <c r="B60" s="155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</row>
    <row r="61" spans="2:38" ht="33.75" customHeight="1"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</row>
    <row r="62" spans="2:38" ht="33.75" customHeight="1">
      <c r="B62" s="155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</row>
    <row r="63" spans="2:38" ht="33.75" customHeight="1"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154"/>
      <c r="AI63" s="154"/>
      <c r="AJ63" s="154"/>
      <c r="AK63" s="154"/>
      <c r="AL63" s="154"/>
    </row>
    <row r="64" spans="2:38" ht="33.75" customHeight="1">
      <c r="B64" s="155"/>
      <c r="C64" s="155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4"/>
      <c r="AK64" s="154"/>
      <c r="AL64" s="154"/>
    </row>
    <row r="65" spans="2:38" ht="33.75" customHeight="1">
      <c r="B65" s="155"/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</row>
    <row r="66" spans="2:38" ht="33.75" customHeight="1"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</row>
    <row r="67" spans="2:38" ht="33.75" customHeight="1">
      <c r="B67" s="155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4"/>
      <c r="AK67" s="154"/>
      <c r="AL67" s="154"/>
    </row>
    <row r="68" spans="2:38" ht="33.75" customHeight="1">
      <c r="B68" s="155"/>
      <c r="C68" s="155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4"/>
      <c r="AK68" s="154"/>
      <c r="AL68" s="154"/>
    </row>
    <row r="69" spans="2:38" ht="33.75" customHeight="1">
      <c r="B69" s="155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</row>
    <row r="70" spans="2:38" ht="33.75" customHeight="1"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</row>
    <row r="71" spans="2:38" ht="33.75" customHeight="1"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</row>
    <row r="72" spans="2:38" ht="33.75" customHeight="1"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54"/>
      <c r="AH72" s="154"/>
      <c r="AI72" s="154"/>
      <c r="AJ72" s="154"/>
      <c r="AK72" s="154"/>
      <c r="AL72" s="154"/>
    </row>
    <row r="73" spans="2:38" ht="33.75" customHeight="1">
      <c r="B73" s="155"/>
      <c r="C73" s="155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</row>
    <row r="74" spans="2:38" ht="33.75" customHeight="1">
      <c r="B74" s="155"/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</row>
    <row r="75" spans="2:38" ht="33.75" customHeight="1"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54"/>
      <c r="AH75" s="154"/>
      <c r="AI75" s="154"/>
      <c r="AJ75" s="154"/>
      <c r="AK75" s="154"/>
      <c r="AL75" s="154"/>
    </row>
    <row r="76" spans="2:38" ht="33.75" customHeight="1"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</row>
    <row r="77" spans="2:38" ht="33.75" customHeight="1"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</row>
    <row r="78" spans="2:38" ht="33.75" customHeight="1"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</row>
    <row r="79" spans="2:38" ht="33.75" customHeight="1"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4"/>
      <c r="W79" s="154"/>
      <c r="X79" s="154"/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/>
      <c r="AJ79" s="154"/>
      <c r="AK79" s="154"/>
      <c r="AL79" s="154"/>
    </row>
    <row r="80" spans="2:38" ht="33.75" customHeight="1">
      <c r="B80" s="155"/>
      <c r="C80" s="155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  <c r="AF80" s="154"/>
      <c r="AG80" s="154"/>
      <c r="AH80" s="154"/>
      <c r="AI80" s="154"/>
      <c r="AJ80" s="154"/>
      <c r="AK80" s="154"/>
      <c r="AL80" s="154"/>
    </row>
    <row r="81" spans="2:38" ht="33.75" customHeight="1">
      <c r="B81" s="155"/>
      <c r="C81" s="155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4"/>
      <c r="W81" s="154"/>
      <c r="X81" s="154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</row>
    <row r="82" spans="2:38" ht="33.75" customHeight="1">
      <c r="B82" s="155"/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4"/>
      <c r="W82" s="154"/>
      <c r="X82" s="154"/>
      <c r="Y82" s="154"/>
      <c r="Z82" s="154"/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</row>
    <row r="83" spans="2:38" ht="33.75" customHeight="1"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</row>
    <row r="84" spans="2:38" ht="33.75" customHeight="1"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4"/>
      <c r="W84" s="154"/>
      <c r="X84" s="154"/>
      <c r="Y84" s="154"/>
      <c r="Z84" s="154"/>
      <c r="AA84" s="154"/>
      <c r="AB84" s="154"/>
      <c r="AC84" s="154"/>
      <c r="AD84" s="154"/>
      <c r="AE84" s="154"/>
      <c r="AF84" s="154"/>
      <c r="AG84" s="154"/>
      <c r="AH84" s="154"/>
      <c r="AI84" s="154"/>
      <c r="AJ84" s="154"/>
      <c r="AK84" s="154"/>
      <c r="AL84" s="154"/>
    </row>
    <row r="85" spans="2:38" ht="33.75" customHeight="1"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4"/>
      <c r="W85" s="154"/>
      <c r="X85" s="154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</row>
    <row r="86" spans="2:38" ht="33.75" customHeight="1">
      <c r="B86" s="155"/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</row>
    <row r="87" spans="2:38" ht="33.75" customHeight="1">
      <c r="B87" s="155"/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  <c r="AF87" s="154"/>
      <c r="AG87" s="154"/>
      <c r="AH87" s="154"/>
      <c r="AI87" s="154"/>
      <c r="AJ87" s="154"/>
      <c r="AK87" s="154"/>
      <c r="AL87" s="154"/>
    </row>
    <row r="88" spans="2:38" ht="33.75" customHeight="1"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4"/>
      <c r="W88" s="154"/>
      <c r="X88" s="154"/>
      <c r="Y88" s="154"/>
      <c r="Z88" s="154"/>
      <c r="AA88" s="154"/>
      <c r="AB88" s="154"/>
      <c r="AC88" s="154"/>
      <c r="AD88" s="154"/>
      <c r="AE88" s="154"/>
      <c r="AF88" s="154"/>
      <c r="AG88" s="154"/>
      <c r="AH88" s="154"/>
      <c r="AI88" s="154"/>
      <c r="AJ88" s="154"/>
      <c r="AK88" s="154"/>
      <c r="AL88" s="154"/>
    </row>
    <row r="89" spans="2:38" ht="33.75" customHeight="1"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</row>
    <row r="90" spans="2:38" ht="33.75" customHeight="1"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</row>
    <row r="91" spans="2:38" ht="33.75" customHeight="1"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</row>
    <row r="92" spans="2:38" ht="33.75" customHeight="1">
      <c r="B92" s="155"/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</row>
  </sheetData>
  <mergeCells count="59">
    <mergeCell ref="B1:U1"/>
    <mergeCell ref="S12:U12"/>
    <mergeCell ref="M12:O12"/>
    <mergeCell ref="J12:L12"/>
    <mergeCell ref="J6:O6"/>
    <mergeCell ref="J7:O7"/>
    <mergeCell ref="P6:U6"/>
    <mergeCell ref="B11:B13"/>
    <mergeCell ref="J13:L13"/>
    <mergeCell ref="M13:O13"/>
    <mergeCell ref="P13:R13"/>
    <mergeCell ref="S13:U13"/>
    <mergeCell ref="P12:R12"/>
    <mergeCell ref="J24:L24"/>
    <mergeCell ref="M24:O24"/>
    <mergeCell ref="P24:R24"/>
    <mergeCell ref="S24:U24"/>
    <mergeCell ref="B2:D2"/>
    <mergeCell ref="E2:P2"/>
    <mergeCell ref="Q2:U2"/>
    <mergeCell ref="P7:U7"/>
    <mergeCell ref="B9:B10"/>
    <mergeCell ref="B5:B7"/>
    <mergeCell ref="J5:U5"/>
    <mergeCell ref="B21:U21"/>
    <mergeCell ref="B22:U22"/>
    <mergeCell ref="B3:U3"/>
    <mergeCell ref="J20:L20"/>
    <mergeCell ref="M20:O20"/>
    <mergeCell ref="P20:R20"/>
    <mergeCell ref="S20:U20"/>
    <mergeCell ref="B14:B16"/>
    <mergeCell ref="B17:B19"/>
    <mergeCell ref="C17:C19"/>
    <mergeCell ref="B25:B26"/>
    <mergeCell ref="B27:B28"/>
    <mergeCell ref="B29:B30"/>
    <mergeCell ref="B31:B32"/>
    <mergeCell ref="B33:B34"/>
    <mergeCell ref="B39:B40"/>
    <mergeCell ref="B35:B38"/>
    <mergeCell ref="J32:U32"/>
    <mergeCell ref="J33:U33"/>
    <mergeCell ref="J35:U35"/>
    <mergeCell ref="J36:U36"/>
    <mergeCell ref="J37:U37"/>
    <mergeCell ref="J38:U38"/>
    <mergeCell ref="J39:U39"/>
    <mergeCell ref="J40:U40"/>
    <mergeCell ref="J28:L28"/>
    <mergeCell ref="M28:O28"/>
    <mergeCell ref="P28:R28"/>
    <mergeCell ref="S28:U28"/>
    <mergeCell ref="J34:L34"/>
    <mergeCell ref="M34:O34"/>
    <mergeCell ref="P34:R34"/>
    <mergeCell ref="S34:U34"/>
    <mergeCell ref="J30:O30"/>
    <mergeCell ref="P30:U30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rgb="FFCAE6EE"/>
  </sheetPr>
  <dimension ref="A1:O43"/>
  <sheetViews>
    <sheetView showGridLines="0" topLeftCell="A31" zoomScaleNormal="100" zoomScaleSheetLayoutView="100" workbookViewId="0">
      <selection activeCell="H39" sqref="H39"/>
    </sheetView>
  </sheetViews>
  <sheetFormatPr baseColWidth="10" defaultRowHeight="16.5"/>
  <cols>
    <col min="1" max="1" width="6.28515625" style="65" customWidth="1"/>
    <col min="2" max="2" width="27.28515625" style="65" customWidth="1"/>
    <col min="3" max="3" width="8.7109375" style="65" customWidth="1"/>
    <col min="4" max="4" width="10.5703125" style="65" customWidth="1"/>
    <col min="5" max="5" width="8.7109375" style="65" customWidth="1"/>
    <col min="6" max="6" width="10.140625" style="65" customWidth="1"/>
    <col min="7" max="7" width="8.7109375" style="65" customWidth="1"/>
    <col min="8" max="8" width="12.140625" style="65" bestFit="1" customWidth="1"/>
    <col min="9" max="9" width="8.7109375" style="65" customWidth="1"/>
    <col min="10" max="10" width="11.5703125" style="65" customWidth="1"/>
    <col min="11" max="11" width="12.42578125" style="65" customWidth="1"/>
    <col min="12" max="12" width="10.140625" style="65" customWidth="1"/>
    <col min="13" max="13" width="11.85546875" style="65" customWidth="1"/>
    <col min="14" max="14" width="11.42578125" style="65" customWidth="1"/>
    <col min="15" max="16384" width="11.42578125" style="65"/>
  </cols>
  <sheetData>
    <row r="1" spans="1:15" ht="40.5" customHeight="1">
      <c r="A1" s="250"/>
      <c r="B1" s="251"/>
      <c r="C1" s="251"/>
      <c r="D1" s="259" t="s">
        <v>233</v>
      </c>
      <c r="E1" s="259"/>
      <c r="F1" s="259"/>
      <c r="G1" s="259"/>
      <c r="H1" s="259"/>
      <c r="I1" s="259"/>
      <c r="J1" s="259"/>
      <c r="K1" s="259"/>
      <c r="L1" s="259"/>
      <c r="M1" s="256" t="s">
        <v>232</v>
      </c>
      <c r="N1" s="257"/>
      <c r="O1" s="258"/>
    </row>
    <row r="2" spans="1:15" ht="39" customHeight="1">
      <c r="A2" s="252"/>
      <c r="B2" s="253"/>
      <c r="C2" s="253"/>
      <c r="D2" s="259" t="s">
        <v>234</v>
      </c>
      <c r="E2" s="259"/>
      <c r="F2" s="259"/>
      <c r="G2" s="259"/>
      <c r="H2" s="259"/>
      <c r="I2" s="259" t="s">
        <v>235</v>
      </c>
      <c r="J2" s="259"/>
      <c r="K2" s="259"/>
      <c r="L2" s="259"/>
      <c r="M2" s="260" t="s">
        <v>44</v>
      </c>
      <c r="N2" s="261"/>
      <c r="O2" s="262"/>
    </row>
    <row r="3" spans="1:15" s="66" customFormat="1" ht="18" customHeight="1">
      <c r="A3" s="271" t="s">
        <v>159</v>
      </c>
      <c r="B3" s="272"/>
      <c r="C3" s="275" t="s">
        <v>153</v>
      </c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54" t="s">
        <v>165</v>
      </c>
    </row>
    <row r="4" spans="1:15" ht="17.25" thickBot="1">
      <c r="A4" s="273"/>
      <c r="B4" s="274"/>
      <c r="C4" s="100" t="s">
        <v>50</v>
      </c>
      <c r="D4" s="100" t="s">
        <v>51</v>
      </c>
      <c r="E4" s="100" t="s">
        <v>52</v>
      </c>
      <c r="F4" s="100" t="s">
        <v>53</v>
      </c>
      <c r="G4" s="100" t="s">
        <v>54</v>
      </c>
      <c r="H4" s="100" t="s">
        <v>55</v>
      </c>
      <c r="I4" s="100" t="s">
        <v>56</v>
      </c>
      <c r="J4" s="100" t="s">
        <v>57</v>
      </c>
      <c r="K4" s="100" t="s">
        <v>58</v>
      </c>
      <c r="L4" s="100" t="s">
        <v>59</v>
      </c>
      <c r="M4" s="100" t="s">
        <v>60</v>
      </c>
      <c r="N4" s="100" t="s">
        <v>61</v>
      </c>
      <c r="O4" s="255"/>
    </row>
    <row r="5" spans="1:15">
      <c r="A5" s="276" t="s">
        <v>152</v>
      </c>
      <c r="B5" s="70" t="s">
        <v>133</v>
      </c>
      <c r="C5" s="71">
        <v>0</v>
      </c>
      <c r="D5" s="71">
        <v>0</v>
      </c>
      <c r="E5" s="210">
        <v>0</v>
      </c>
      <c r="F5" s="71">
        <v>0</v>
      </c>
      <c r="G5" s="71">
        <v>0</v>
      </c>
      <c r="H5" s="71">
        <v>5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90">
        <f>SUM(C5:N5)</f>
        <v>5</v>
      </c>
    </row>
    <row r="6" spans="1:15">
      <c r="A6" s="277"/>
      <c r="B6" s="68" t="s">
        <v>134</v>
      </c>
      <c r="C6" s="71">
        <v>0</v>
      </c>
      <c r="D6" s="71">
        <v>0</v>
      </c>
      <c r="E6" s="210">
        <v>0</v>
      </c>
      <c r="F6" s="71">
        <v>0</v>
      </c>
      <c r="G6" s="71">
        <v>0</v>
      </c>
      <c r="H6" s="71">
        <v>0</v>
      </c>
      <c r="I6" s="71">
        <v>0</v>
      </c>
      <c r="J6" s="67">
        <v>0</v>
      </c>
      <c r="K6" s="71">
        <v>0</v>
      </c>
      <c r="L6" s="71">
        <v>0</v>
      </c>
      <c r="M6" s="67">
        <v>0</v>
      </c>
      <c r="N6" s="67">
        <v>0</v>
      </c>
      <c r="O6" s="91">
        <f>SUM(C6:N6)</f>
        <v>0</v>
      </c>
    </row>
    <row r="7" spans="1:15">
      <c r="A7" s="277"/>
      <c r="B7" s="68" t="s">
        <v>135</v>
      </c>
      <c r="C7" s="71">
        <v>0</v>
      </c>
      <c r="D7" s="71">
        <v>0</v>
      </c>
      <c r="E7" s="210">
        <v>0</v>
      </c>
      <c r="F7" s="71">
        <v>0</v>
      </c>
      <c r="G7" s="71">
        <v>0</v>
      </c>
      <c r="H7" s="71">
        <v>0</v>
      </c>
      <c r="I7" s="71">
        <v>0</v>
      </c>
      <c r="J7" s="67">
        <v>0</v>
      </c>
      <c r="K7" s="71">
        <v>0</v>
      </c>
      <c r="L7" s="71">
        <v>0</v>
      </c>
      <c r="M7" s="67">
        <v>0</v>
      </c>
      <c r="N7" s="67">
        <v>0</v>
      </c>
      <c r="O7" s="91">
        <f t="shared" ref="O7:O36" si="0">SUM(C7:N7)</f>
        <v>0</v>
      </c>
    </row>
    <row r="8" spans="1:15">
      <c r="A8" s="277"/>
      <c r="B8" s="68" t="s">
        <v>136</v>
      </c>
      <c r="C8" s="71">
        <v>6</v>
      </c>
      <c r="D8" s="71">
        <v>0</v>
      </c>
      <c r="E8" s="210">
        <v>0</v>
      </c>
      <c r="F8" s="71">
        <v>0</v>
      </c>
      <c r="G8" s="71">
        <v>0</v>
      </c>
      <c r="H8" s="71">
        <v>0</v>
      </c>
      <c r="I8" s="71">
        <v>0</v>
      </c>
      <c r="J8" s="67">
        <v>0</v>
      </c>
      <c r="K8" s="71">
        <v>0</v>
      </c>
      <c r="L8" s="71">
        <v>0</v>
      </c>
      <c r="M8" s="67">
        <v>0</v>
      </c>
      <c r="N8" s="67">
        <v>0</v>
      </c>
      <c r="O8" s="91">
        <f t="shared" si="0"/>
        <v>6</v>
      </c>
    </row>
    <row r="9" spans="1:15">
      <c r="A9" s="277"/>
      <c r="B9" s="68" t="s">
        <v>137</v>
      </c>
      <c r="C9" s="71">
        <v>3</v>
      </c>
      <c r="D9" s="71">
        <v>0</v>
      </c>
      <c r="E9" s="210">
        <v>0</v>
      </c>
      <c r="F9" s="71">
        <v>0</v>
      </c>
      <c r="G9" s="71">
        <v>0</v>
      </c>
      <c r="H9" s="71">
        <v>0</v>
      </c>
      <c r="I9" s="71">
        <v>0</v>
      </c>
      <c r="J9" s="67">
        <v>0</v>
      </c>
      <c r="K9" s="71">
        <v>0</v>
      </c>
      <c r="L9" s="71">
        <v>0</v>
      </c>
      <c r="M9" s="67">
        <v>0</v>
      </c>
      <c r="N9" s="67">
        <v>0</v>
      </c>
      <c r="O9" s="91">
        <f t="shared" si="0"/>
        <v>3</v>
      </c>
    </row>
    <row r="10" spans="1:15">
      <c r="A10" s="277"/>
      <c r="B10" s="68" t="s">
        <v>138</v>
      </c>
      <c r="C10" s="71">
        <v>4</v>
      </c>
      <c r="D10" s="71">
        <v>0</v>
      </c>
      <c r="E10" s="210">
        <v>0</v>
      </c>
      <c r="F10" s="71">
        <v>0</v>
      </c>
      <c r="G10" s="71">
        <v>0</v>
      </c>
      <c r="H10" s="71">
        <v>0</v>
      </c>
      <c r="I10" s="71">
        <v>0</v>
      </c>
      <c r="J10" s="67">
        <v>0</v>
      </c>
      <c r="K10" s="71">
        <v>0</v>
      </c>
      <c r="L10" s="71">
        <v>0</v>
      </c>
      <c r="M10" s="67">
        <v>0</v>
      </c>
      <c r="N10" s="67">
        <v>0</v>
      </c>
      <c r="O10" s="91">
        <f t="shared" si="0"/>
        <v>4</v>
      </c>
    </row>
    <row r="11" spans="1:15">
      <c r="A11" s="277"/>
      <c r="B11" s="68" t="s">
        <v>139</v>
      </c>
      <c r="C11" s="71">
        <v>0</v>
      </c>
      <c r="D11" s="71">
        <v>0</v>
      </c>
      <c r="E11" s="210">
        <v>0</v>
      </c>
      <c r="F11" s="71">
        <v>0</v>
      </c>
      <c r="G11" s="71">
        <v>0</v>
      </c>
      <c r="H11" s="71">
        <v>0</v>
      </c>
      <c r="I11" s="71">
        <v>0</v>
      </c>
      <c r="J11" s="67">
        <v>0</v>
      </c>
      <c r="K11" s="71">
        <v>0</v>
      </c>
      <c r="L11" s="71">
        <v>0</v>
      </c>
      <c r="M11" s="67">
        <v>0</v>
      </c>
      <c r="N11" s="67">
        <v>0</v>
      </c>
      <c r="O11" s="91">
        <f t="shared" si="0"/>
        <v>0</v>
      </c>
    </row>
    <row r="12" spans="1:15">
      <c r="A12" s="277"/>
      <c r="B12" s="68" t="s">
        <v>140</v>
      </c>
      <c r="C12" s="71">
        <v>1</v>
      </c>
      <c r="D12" s="71">
        <v>0</v>
      </c>
      <c r="E12" s="210">
        <v>0</v>
      </c>
      <c r="F12" s="71">
        <v>0</v>
      </c>
      <c r="G12" s="71">
        <v>0</v>
      </c>
      <c r="H12" s="71">
        <v>0</v>
      </c>
      <c r="I12" s="71">
        <v>0</v>
      </c>
      <c r="J12" s="67">
        <v>0</v>
      </c>
      <c r="K12" s="71">
        <v>0</v>
      </c>
      <c r="L12" s="71">
        <v>0</v>
      </c>
      <c r="M12" s="67">
        <v>0</v>
      </c>
      <c r="N12" s="67">
        <v>0</v>
      </c>
      <c r="O12" s="91">
        <f t="shared" si="0"/>
        <v>1</v>
      </c>
    </row>
    <row r="13" spans="1:15">
      <c r="A13" s="277"/>
      <c r="B13" s="68" t="s">
        <v>141</v>
      </c>
      <c r="C13" s="71">
        <v>0</v>
      </c>
      <c r="D13" s="71">
        <v>0</v>
      </c>
      <c r="E13" s="210">
        <v>0</v>
      </c>
      <c r="F13" s="71">
        <v>0</v>
      </c>
      <c r="G13" s="71">
        <v>0</v>
      </c>
      <c r="H13" s="71">
        <v>0</v>
      </c>
      <c r="I13" s="71">
        <v>0</v>
      </c>
      <c r="J13" s="67">
        <v>0</v>
      </c>
      <c r="K13" s="71">
        <v>0</v>
      </c>
      <c r="L13" s="71">
        <v>0</v>
      </c>
      <c r="M13" s="67">
        <v>0</v>
      </c>
      <c r="N13" s="67">
        <v>0</v>
      </c>
      <c r="O13" s="91">
        <f t="shared" si="0"/>
        <v>0</v>
      </c>
    </row>
    <row r="14" spans="1:15">
      <c r="A14" s="277"/>
      <c r="B14" s="68" t="s">
        <v>142</v>
      </c>
      <c r="C14" s="71">
        <v>0</v>
      </c>
      <c r="D14" s="71">
        <v>0</v>
      </c>
      <c r="E14" s="210">
        <v>0</v>
      </c>
      <c r="F14" s="71">
        <v>0</v>
      </c>
      <c r="G14" s="71">
        <v>0</v>
      </c>
      <c r="H14" s="71">
        <v>0</v>
      </c>
      <c r="I14" s="71">
        <v>0</v>
      </c>
      <c r="J14" s="67">
        <v>0</v>
      </c>
      <c r="K14" s="71">
        <v>0</v>
      </c>
      <c r="L14" s="71">
        <v>0</v>
      </c>
      <c r="M14" s="67">
        <v>0</v>
      </c>
      <c r="N14" s="67">
        <v>0</v>
      </c>
      <c r="O14" s="91">
        <f t="shared" si="0"/>
        <v>0</v>
      </c>
    </row>
    <row r="15" spans="1:15">
      <c r="A15" s="277"/>
      <c r="B15" s="68" t="s">
        <v>143</v>
      </c>
      <c r="C15" s="71">
        <v>0</v>
      </c>
      <c r="D15" s="71">
        <v>0</v>
      </c>
      <c r="E15" s="210">
        <v>0</v>
      </c>
      <c r="F15" s="71">
        <v>0</v>
      </c>
      <c r="G15" s="71">
        <v>0</v>
      </c>
      <c r="H15" s="71">
        <v>0</v>
      </c>
      <c r="I15" s="71">
        <v>0</v>
      </c>
      <c r="J15" s="67">
        <v>0</v>
      </c>
      <c r="K15" s="71">
        <v>0</v>
      </c>
      <c r="L15" s="71">
        <v>0</v>
      </c>
      <c r="M15" s="67">
        <v>0</v>
      </c>
      <c r="N15" s="67">
        <v>0</v>
      </c>
      <c r="O15" s="91">
        <f t="shared" si="0"/>
        <v>0</v>
      </c>
    </row>
    <row r="16" spans="1:15">
      <c r="A16" s="277"/>
      <c r="B16" s="68" t="s">
        <v>226</v>
      </c>
      <c r="C16" s="71">
        <v>0</v>
      </c>
      <c r="D16" s="71">
        <v>0</v>
      </c>
      <c r="E16" s="210">
        <v>326</v>
      </c>
      <c r="F16" s="67">
        <v>2800</v>
      </c>
      <c r="G16" s="71">
        <v>1540</v>
      </c>
      <c r="H16" s="71">
        <v>510</v>
      </c>
      <c r="I16" s="71">
        <v>0</v>
      </c>
      <c r="J16" s="67">
        <v>0</v>
      </c>
      <c r="K16" s="71">
        <v>0</v>
      </c>
      <c r="L16" s="71">
        <v>0</v>
      </c>
      <c r="M16" s="67">
        <v>0</v>
      </c>
      <c r="N16" s="67">
        <v>0</v>
      </c>
      <c r="O16" s="91">
        <f t="shared" si="0"/>
        <v>5176</v>
      </c>
    </row>
    <row r="17" spans="1:15">
      <c r="A17" s="277"/>
      <c r="B17" s="68" t="s">
        <v>144</v>
      </c>
      <c r="C17" s="71">
        <v>0</v>
      </c>
      <c r="D17" s="71">
        <v>0</v>
      </c>
      <c r="E17" s="210">
        <v>0</v>
      </c>
      <c r="F17" s="67">
        <v>0</v>
      </c>
      <c r="G17" s="71">
        <v>0</v>
      </c>
      <c r="H17" s="71">
        <v>0</v>
      </c>
      <c r="I17" s="71">
        <v>0</v>
      </c>
      <c r="J17" s="67">
        <v>0</v>
      </c>
      <c r="K17" s="71">
        <v>0</v>
      </c>
      <c r="L17" s="71">
        <v>0</v>
      </c>
      <c r="M17" s="67">
        <v>0</v>
      </c>
      <c r="N17" s="67">
        <v>0</v>
      </c>
      <c r="O17" s="91">
        <f t="shared" si="0"/>
        <v>0</v>
      </c>
    </row>
    <row r="18" spans="1:15">
      <c r="A18" s="277"/>
      <c r="B18" s="68" t="s">
        <v>145</v>
      </c>
      <c r="C18" s="71">
        <v>0</v>
      </c>
      <c r="D18" s="71">
        <v>0</v>
      </c>
      <c r="E18" s="210">
        <v>0</v>
      </c>
      <c r="F18" s="67">
        <v>0</v>
      </c>
      <c r="G18" s="71">
        <v>0</v>
      </c>
      <c r="H18" s="71">
        <v>0</v>
      </c>
      <c r="I18" s="71">
        <v>0</v>
      </c>
      <c r="J18" s="67">
        <v>0</v>
      </c>
      <c r="K18" s="71">
        <v>0</v>
      </c>
      <c r="L18" s="71">
        <v>0</v>
      </c>
      <c r="M18" s="67">
        <v>0</v>
      </c>
      <c r="N18" s="67">
        <v>0</v>
      </c>
      <c r="O18" s="91">
        <f t="shared" si="0"/>
        <v>0</v>
      </c>
    </row>
    <row r="19" spans="1:15">
      <c r="A19" s="277"/>
      <c r="B19" s="68" t="s">
        <v>146</v>
      </c>
      <c r="C19" s="71">
        <v>0</v>
      </c>
      <c r="D19" s="71">
        <v>0</v>
      </c>
      <c r="E19" s="210">
        <v>0</v>
      </c>
      <c r="F19" s="67">
        <v>0</v>
      </c>
      <c r="G19" s="71">
        <v>0</v>
      </c>
      <c r="H19" s="71">
        <v>0</v>
      </c>
      <c r="I19" s="71">
        <v>0</v>
      </c>
      <c r="J19" s="67">
        <v>0</v>
      </c>
      <c r="K19" s="71">
        <v>0</v>
      </c>
      <c r="L19" s="71">
        <v>0</v>
      </c>
      <c r="M19" s="67">
        <v>0</v>
      </c>
      <c r="N19" s="67">
        <v>0</v>
      </c>
      <c r="O19" s="91">
        <f t="shared" si="0"/>
        <v>0</v>
      </c>
    </row>
    <row r="20" spans="1:15">
      <c r="A20" s="277"/>
      <c r="B20" s="68" t="s">
        <v>328</v>
      </c>
      <c r="C20" s="71">
        <v>0</v>
      </c>
      <c r="D20" s="71">
        <v>0</v>
      </c>
      <c r="E20" s="210">
        <v>0</v>
      </c>
      <c r="F20" s="67">
        <v>0</v>
      </c>
      <c r="G20" s="71">
        <v>0</v>
      </c>
      <c r="H20" s="71">
        <v>0</v>
      </c>
      <c r="I20" s="71">
        <v>0</v>
      </c>
      <c r="J20" s="67">
        <v>0</v>
      </c>
      <c r="K20" s="71">
        <v>0</v>
      </c>
      <c r="L20" s="71">
        <v>0</v>
      </c>
      <c r="M20" s="67">
        <v>0</v>
      </c>
      <c r="N20" s="67">
        <v>0</v>
      </c>
      <c r="O20" s="91">
        <f t="shared" si="0"/>
        <v>0</v>
      </c>
    </row>
    <row r="21" spans="1:15">
      <c r="A21" s="277"/>
      <c r="B21" s="68" t="s">
        <v>147</v>
      </c>
      <c r="C21" s="71">
        <v>0</v>
      </c>
      <c r="D21" s="71">
        <v>0</v>
      </c>
      <c r="E21" s="210">
        <v>0</v>
      </c>
      <c r="F21" s="67">
        <v>149</v>
      </c>
      <c r="G21" s="71">
        <v>0</v>
      </c>
      <c r="H21" s="71">
        <v>0</v>
      </c>
      <c r="I21" s="71">
        <v>0</v>
      </c>
      <c r="J21" s="67">
        <v>0</v>
      </c>
      <c r="K21" s="71">
        <v>0</v>
      </c>
      <c r="L21" s="71">
        <v>0</v>
      </c>
      <c r="M21" s="67">
        <v>0</v>
      </c>
      <c r="N21" s="67">
        <v>0</v>
      </c>
      <c r="O21" s="91">
        <f t="shared" si="0"/>
        <v>149</v>
      </c>
    </row>
    <row r="22" spans="1:15">
      <c r="A22" s="277"/>
      <c r="B22" s="69" t="s">
        <v>148</v>
      </c>
      <c r="C22" s="71">
        <v>0</v>
      </c>
      <c r="D22" s="71">
        <v>0</v>
      </c>
      <c r="E22" s="210">
        <v>0</v>
      </c>
      <c r="F22" s="67">
        <v>0</v>
      </c>
      <c r="G22" s="71">
        <v>0</v>
      </c>
      <c r="H22" s="71">
        <v>0</v>
      </c>
      <c r="I22" s="71">
        <v>0</v>
      </c>
      <c r="J22" s="67">
        <v>0</v>
      </c>
      <c r="K22" s="71">
        <v>0</v>
      </c>
      <c r="L22" s="71">
        <v>0</v>
      </c>
      <c r="M22" s="67">
        <v>0</v>
      </c>
      <c r="N22" s="67">
        <v>0</v>
      </c>
      <c r="O22" s="91">
        <f t="shared" si="0"/>
        <v>0</v>
      </c>
    </row>
    <row r="23" spans="1:15">
      <c r="A23" s="277"/>
      <c r="B23" s="68" t="s">
        <v>149</v>
      </c>
      <c r="C23" s="71">
        <v>60</v>
      </c>
      <c r="D23" s="71">
        <v>64</v>
      </c>
      <c r="E23" s="210">
        <v>51</v>
      </c>
      <c r="F23" s="67">
        <v>0</v>
      </c>
      <c r="G23" s="71">
        <v>0</v>
      </c>
      <c r="H23" s="71">
        <v>0</v>
      </c>
      <c r="I23" s="71">
        <v>0</v>
      </c>
      <c r="J23" s="67">
        <v>0</v>
      </c>
      <c r="K23" s="71">
        <v>0</v>
      </c>
      <c r="L23" s="71">
        <v>0</v>
      </c>
      <c r="M23" s="67">
        <v>0</v>
      </c>
      <c r="N23" s="67">
        <v>0</v>
      </c>
      <c r="O23" s="91">
        <f t="shared" si="0"/>
        <v>175</v>
      </c>
    </row>
    <row r="24" spans="1:15">
      <c r="A24" s="277"/>
      <c r="B24" s="68" t="s">
        <v>227</v>
      </c>
      <c r="C24" s="71">
        <v>0</v>
      </c>
      <c r="D24" s="71">
        <v>0</v>
      </c>
      <c r="E24" s="210">
        <v>0</v>
      </c>
      <c r="F24" s="67">
        <v>0</v>
      </c>
      <c r="G24" s="71">
        <v>0</v>
      </c>
      <c r="H24" s="71">
        <v>0</v>
      </c>
      <c r="I24" s="71">
        <v>0</v>
      </c>
      <c r="J24" s="67">
        <v>0</v>
      </c>
      <c r="K24" s="71">
        <v>0</v>
      </c>
      <c r="L24" s="71">
        <v>0</v>
      </c>
      <c r="M24" s="67">
        <v>0</v>
      </c>
      <c r="N24" s="67">
        <v>0</v>
      </c>
      <c r="O24" s="91">
        <f t="shared" si="0"/>
        <v>0</v>
      </c>
    </row>
    <row r="25" spans="1:15">
      <c r="A25" s="277"/>
      <c r="B25" s="68" t="s">
        <v>150</v>
      </c>
      <c r="C25" s="71">
        <v>0</v>
      </c>
      <c r="D25" s="71">
        <v>0</v>
      </c>
      <c r="E25" s="210">
        <v>3</v>
      </c>
      <c r="F25" s="67">
        <v>0</v>
      </c>
      <c r="G25" s="71">
        <v>0</v>
      </c>
      <c r="H25" s="71">
        <v>2650</v>
      </c>
      <c r="I25" s="71">
        <v>0</v>
      </c>
      <c r="J25" s="67">
        <v>0</v>
      </c>
      <c r="K25" s="67">
        <v>0</v>
      </c>
      <c r="L25" s="71">
        <v>0</v>
      </c>
      <c r="M25" s="67">
        <v>0</v>
      </c>
      <c r="N25" s="67">
        <v>0</v>
      </c>
      <c r="O25" s="91">
        <f t="shared" si="0"/>
        <v>2653</v>
      </c>
    </row>
    <row r="26" spans="1:15" ht="17.25" thickBot="1">
      <c r="A26" s="278"/>
      <c r="B26" s="228" t="s">
        <v>151</v>
      </c>
      <c r="C26" s="229">
        <v>0</v>
      </c>
      <c r="D26" s="229">
        <v>0</v>
      </c>
      <c r="E26" s="230">
        <v>0</v>
      </c>
      <c r="F26" s="231">
        <v>0</v>
      </c>
      <c r="G26" s="229">
        <v>0</v>
      </c>
      <c r="H26" s="229">
        <v>0</v>
      </c>
      <c r="I26" s="229">
        <v>0</v>
      </c>
      <c r="J26" s="231">
        <v>0</v>
      </c>
      <c r="K26" s="231">
        <v>0</v>
      </c>
      <c r="L26" s="229">
        <v>0</v>
      </c>
      <c r="M26" s="231">
        <v>0</v>
      </c>
      <c r="N26" s="231">
        <v>0</v>
      </c>
      <c r="O26" s="232">
        <f t="shared" si="0"/>
        <v>0</v>
      </c>
    </row>
    <row r="27" spans="1:15">
      <c r="A27" s="268" t="s">
        <v>158</v>
      </c>
      <c r="B27" s="242" t="s">
        <v>154</v>
      </c>
      <c r="C27" s="234">
        <v>0</v>
      </c>
      <c r="D27" s="234">
        <v>0</v>
      </c>
      <c r="E27" s="235">
        <v>0</v>
      </c>
      <c r="F27" s="234">
        <v>0</v>
      </c>
      <c r="G27" s="234">
        <v>0</v>
      </c>
      <c r="H27" s="234">
        <v>0</v>
      </c>
      <c r="I27" s="234">
        <v>0</v>
      </c>
      <c r="J27" s="234">
        <v>0</v>
      </c>
      <c r="K27" s="234">
        <v>0</v>
      </c>
      <c r="L27" s="234">
        <v>0</v>
      </c>
      <c r="M27" s="234">
        <v>0</v>
      </c>
      <c r="N27" s="234">
        <v>0</v>
      </c>
      <c r="O27" s="236">
        <f t="shared" si="0"/>
        <v>0</v>
      </c>
    </row>
    <row r="28" spans="1:15">
      <c r="A28" s="269"/>
      <c r="B28" s="243" t="s">
        <v>155</v>
      </c>
      <c r="C28" s="71">
        <v>0</v>
      </c>
      <c r="D28" s="71">
        <v>0</v>
      </c>
      <c r="E28" s="210">
        <v>0</v>
      </c>
      <c r="F28" s="67">
        <v>0</v>
      </c>
      <c r="G28" s="71">
        <v>0</v>
      </c>
      <c r="H28" s="71">
        <v>0</v>
      </c>
      <c r="I28" s="71">
        <v>0</v>
      </c>
      <c r="J28" s="67">
        <v>0</v>
      </c>
      <c r="K28" s="67">
        <v>0</v>
      </c>
      <c r="L28" s="71">
        <v>0</v>
      </c>
      <c r="M28" s="67">
        <v>0</v>
      </c>
      <c r="N28" s="67">
        <v>0</v>
      </c>
      <c r="O28" s="91">
        <f t="shared" si="0"/>
        <v>0</v>
      </c>
    </row>
    <row r="29" spans="1:15">
      <c r="A29" s="269"/>
      <c r="B29" s="243" t="s">
        <v>156</v>
      </c>
      <c r="C29" s="71">
        <v>0</v>
      </c>
      <c r="D29" s="71">
        <v>0</v>
      </c>
      <c r="E29" s="210">
        <v>0</v>
      </c>
      <c r="F29" s="67">
        <v>0</v>
      </c>
      <c r="G29" s="71">
        <v>0</v>
      </c>
      <c r="H29" s="71">
        <v>0</v>
      </c>
      <c r="I29" s="71">
        <v>0</v>
      </c>
      <c r="J29" s="67">
        <v>0</v>
      </c>
      <c r="K29" s="67">
        <v>0</v>
      </c>
      <c r="L29" s="71">
        <v>0</v>
      </c>
      <c r="M29" s="67">
        <v>0</v>
      </c>
      <c r="N29" s="67">
        <v>0</v>
      </c>
      <c r="O29" s="91">
        <f t="shared" si="0"/>
        <v>0</v>
      </c>
    </row>
    <row r="30" spans="1:15">
      <c r="A30" s="269"/>
      <c r="B30" s="243" t="s">
        <v>327</v>
      </c>
      <c r="C30" s="71">
        <v>0</v>
      </c>
      <c r="D30" s="71">
        <v>0</v>
      </c>
      <c r="E30" s="210">
        <v>0</v>
      </c>
      <c r="F30" s="67">
        <v>0</v>
      </c>
      <c r="G30" s="71">
        <v>0</v>
      </c>
      <c r="H30" s="71">
        <v>0</v>
      </c>
      <c r="I30" s="71">
        <v>0</v>
      </c>
      <c r="J30" s="67">
        <v>0</v>
      </c>
      <c r="K30" s="67">
        <v>0</v>
      </c>
      <c r="L30" s="71">
        <v>0</v>
      </c>
      <c r="M30" s="67">
        <v>0</v>
      </c>
      <c r="N30" s="67">
        <v>0</v>
      </c>
      <c r="O30" s="91">
        <f t="shared" si="0"/>
        <v>0</v>
      </c>
    </row>
    <row r="31" spans="1:15" ht="17.25" thickBot="1">
      <c r="A31" s="270"/>
      <c r="B31" s="244" t="s">
        <v>157</v>
      </c>
      <c r="C31" s="238">
        <v>0</v>
      </c>
      <c r="D31" s="238">
        <v>0</v>
      </c>
      <c r="E31" s="239">
        <v>0</v>
      </c>
      <c r="F31" s="240">
        <v>0</v>
      </c>
      <c r="G31" s="238">
        <v>0</v>
      </c>
      <c r="H31" s="238">
        <v>0</v>
      </c>
      <c r="I31" s="238">
        <v>0</v>
      </c>
      <c r="J31" s="240">
        <v>0</v>
      </c>
      <c r="K31" s="240">
        <v>0</v>
      </c>
      <c r="L31" s="238">
        <v>0</v>
      </c>
      <c r="M31" s="240">
        <v>0</v>
      </c>
      <c r="N31" s="240">
        <v>0</v>
      </c>
      <c r="O31" s="241">
        <f t="shared" si="0"/>
        <v>0</v>
      </c>
    </row>
    <row r="32" spans="1:15">
      <c r="A32" s="266" t="s">
        <v>164</v>
      </c>
      <c r="B32" s="233" t="s">
        <v>160</v>
      </c>
      <c r="C32" s="234">
        <v>0</v>
      </c>
      <c r="D32" s="234">
        <v>0</v>
      </c>
      <c r="E32" s="235">
        <v>0</v>
      </c>
      <c r="F32" s="234">
        <v>0</v>
      </c>
      <c r="G32" s="234">
        <v>0</v>
      </c>
      <c r="H32" s="234">
        <v>0</v>
      </c>
      <c r="I32" s="234">
        <v>0</v>
      </c>
      <c r="J32" s="234">
        <v>0</v>
      </c>
      <c r="K32" s="234">
        <v>0</v>
      </c>
      <c r="L32" s="234">
        <v>0</v>
      </c>
      <c r="M32" s="234">
        <v>0</v>
      </c>
      <c r="N32" s="234">
        <v>0</v>
      </c>
      <c r="O32" s="236">
        <f t="shared" si="0"/>
        <v>0</v>
      </c>
    </row>
    <row r="33" spans="1:15">
      <c r="A33" s="267"/>
      <c r="B33" s="63" t="s">
        <v>161</v>
      </c>
      <c r="C33" s="71">
        <v>0</v>
      </c>
      <c r="D33" s="71">
        <v>0</v>
      </c>
      <c r="E33" s="210">
        <v>0</v>
      </c>
      <c r="F33" s="67">
        <v>0</v>
      </c>
      <c r="G33" s="71">
        <v>0</v>
      </c>
      <c r="H33" s="71">
        <v>0</v>
      </c>
      <c r="I33" s="71">
        <v>0</v>
      </c>
      <c r="J33" s="67">
        <v>0</v>
      </c>
      <c r="K33" s="67">
        <v>0</v>
      </c>
      <c r="L33" s="71">
        <v>0</v>
      </c>
      <c r="M33" s="67">
        <v>0</v>
      </c>
      <c r="N33" s="67">
        <v>0</v>
      </c>
      <c r="O33" s="91">
        <f t="shared" si="0"/>
        <v>0</v>
      </c>
    </row>
    <row r="34" spans="1:15">
      <c r="A34" s="267"/>
      <c r="B34" s="63" t="s">
        <v>162</v>
      </c>
      <c r="C34" s="71">
        <v>0</v>
      </c>
      <c r="D34" s="71">
        <v>0</v>
      </c>
      <c r="E34" s="210">
        <v>0</v>
      </c>
      <c r="F34" s="67">
        <v>0</v>
      </c>
      <c r="G34" s="71">
        <v>0</v>
      </c>
      <c r="H34" s="71">
        <v>0</v>
      </c>
      <c r="I34" s="71">
        <v>0</v>
      </c>
      <c r="J34" s="67">
        <v>0</v>
      </c>
      <c r="K34" s="67">
        <v>0</v>
      </c>
      <c r="L34" s="71">
        <v>0</v>
      </c>
      <c r="M34" s="67">
        <v>0</v>
      </c>
      <c r="N34" s="67">
        <v>0</v>
      </c>
      <c r="O34" s="91">
        <f t="shared" si="0"/>
        <v>0</v>
      </c>
    </row>
    <row r="35" spans="1:15">
      <c r="A35" s="267"/>
      <c r="B35" s="63" t="s">
        <v>221</v>
      </c>
      <c r="C35" s="71">
        <v>0</v>
      </c>
      <c r="D35" s="71">
        <v>0</v>
      </c>
      <c r="E35" s="210">
        <v>0</v>
      </c>
      <c r="F35" s="67">
        <v>0</v>
      </c>
      <c r="G35" s="71">
        <v>0</v>
      </c>
      <c r="H35" s="71">
        <v>0</v>
      </c>
      <c r="I35" s="71">
        <v>0</v>
      </c>
      <c r="J35" s="67">
        <v>0</v>
      </c>
      <c r="K35" s="67">
        <v>0</v>
      </c>
      <c r="L35" s="71">
        <v>0</v>
      </c>
      <c r="M35" s="67">
        <v>0</v>
      </c>
      <c r="N35" s="67">
        <v>0</v>
      </c>
      <c r="O35" s="91">
        <f t="shared" si="0"/>
        <v>0</v>
      </c>
    </row>
    <row r="36" spans="1:15" ht="17.25" thickBot="1">
      <c r="A36" s="267"/>
      <c r="B36" s="237" t="s">
        <v>163</v>
      </c>
      <c r="C36" s="238">
        <v>0</v>
      </c>
      <c r="D36" s="238">
        <v>0</v>
      </c>
      <c r="E36" s="239">
        <v>0</v>
      </c>
      <c r="F36" s="240">
        <v>0</v>
      </c>
      <c r="G36" s="238">
        <v>0</v>
      </c>
      <c r="H36" s="238">
        <v>0</v>
      </c>
      <c r="I36" s="238">
        <v>0</v>
      </c>
      <c r="J36" s="240">
        <v>0</v>
      </c>
      <c r="K36" s="240">
        <v>0</v>
      </c>
      <c r="L36" s="238">
        <v>0</v>
      </c>
      <c r="M36" s="240">
        <v>0</v>
      </c>
      <c r="N36" s="240">
        <v>0</v>
      </c>
      <c r="O36" s="241">
        <f t="shared" si="0"/>
        <v>0</v>
      </c>
    </row>
    <row r="37" spans="1:15" s="227" customFormat="1">
      <c r="A37" s="263" t="s">
        <v>166</v>
      </c>
      <c r="B37" s="226" t="s">
        <v>165</v>
      </c>
      <c r="C37" s="246">
        <f>SUM(C5:C36)</f>
        <v>74</v>
      </c>
      <c r="D37" s="246">
        <f t="shared" ref="D37:N37" si="1">SUM(D5:D36)</f>
        <v>64</v>
      </c>
      <c r="E37" s="246">
        <f t="shared" si="1"/>
        <v>380</v>
      </c>
      <c r="F37" s="246">
        <f t="shared" si="1"/>
        <v>2949</v>
      </c>
      <c r="G37" s="246">
        <f t="shared" si="1"/>
        <v>1540</v>
      </c>
      <c r="H37" s="246">
        <f t="shared" si="1"/>
        <v>3165</v>
      </c>
      <c r="I37" s="246">
        <f t="shared" si="1"/>
        <v>0</v>
      </c>
      <c r="J37" s="246">
        <f t="shared" si="1"/>
        <v>0</v>
      </c>
      <c r="K37" s="246">
        <f t="shared" si="1"/>
        <v>0</v>
      </c>
      <c r="L37" s="246">
        <f t="shared" si="1"/>
        <v>0</v>
      </c>
      <c r="M37" s="246">
        <f t="shared" si="1"/>
        <v>0</v>
      </c>
      <c r="N37" s="246">
        <f t="shared" si="1"/>
        <v>0</v>
      </c>
      <c r="O37" s="246">
        <f>SUM(O5:O36)</f>
        <v>8172</v>
      </c>
    </row>
    <row r="38" spans="1:15">
      <c r="A38" s="264"/>
      <c r="B38" s="101" t="s">
        <v>168</v>
      </c>
      <c r="C38" s="247">
        <f>+'TON  MOV '!B2</f>
        <v>10005</v>
      </c>
      <c r="D38" s="248">
        <f>+'TON  MOV '!C2</f>
        <v>20531</v>
      </c>
      <c r="E38" s="247">
        <f>+'TON  MOV '!D2</f>
        <v>26569</v>
      </c>
      <c r="F38" s="247">
        <f>+'TON  MOV '!E2</f>
        <v>49885</v>
      </c>
      <c r="G38" s="247">
        <f>+'TON  MOV '!F2</f>
        <v>46751</v>
      </c>
      <c r="H38" s="247">
        <f>+'TON  MOV '!G2</f>
        <v>23087</v>
      </c>
      <c r="I38" s="247">
        <f>+'TON  MOV '!H2</f>
        <v>0</v>
      </c>
      <c r="J38" s="247">
        <f>+'TON  MOV '!I2</f>
        <v>0</v>
      </c>
      <c r="K38" s="247">
        <f>+'TON  MOV '!J2</f>
        <v>0</v>
      </c>
      <c r="L38" s="247">
        <f>+'TON  MOV '!K2</f>
        <v>0</v>
      </c>
      <c r="M38" s="247">
        <f>+'TON  MOV '!L2</f>
        <v>0</v>
      </c>
      <c r="N38" s="247">
        <f>+'TON  MOV '!M2</f>
        <v>0</v>
      </c>
      <c r="O38" s="249">
        <f>SUM(C38:N38)</f>
        <v>176828</v>
      </c>
    </row>
    <row r="39" spans="1:15">
      <c r="A39" s="264"/>
      <c r="B39" s="96" t="s">
        <v>169</v>
      </c>
      <c r="C39" s="172">
        <f>+C37/C38</f>
        <v>7.3963018490754619E-3</v>
      </c>
      <c r="D39" s="132">
        <f t="shared" ref="D39:M39" si="2">+D37/D38</f>
        <v>3.1172373483999804E-3</v>
      </c>
      <c r="E39" s="67">
        <f t="shared" si="2"/>
        <v>1.4302382475817683E-2</v>
      </c>
      <c r="F39" s="172">
        <f t="shared" si="2"/>
        <v>5.9115966723463968E-2</v>
      </c>
      <c r="G39" s="67">
        <f t="shared" si="2"/>
        <v>3.2940471861564458E-2</v>
      </c>
      <c r="H39" s="172">
        <f t="shared" si="2"/>
        <v>0.13709013730670941</v>
      </c>
      <c r="I39" s="67" t="e">
        <f t="shared" si="2"/>
        <v>#DIV/0!</v>
      </c>
      <c r="J39" s="171" t="e">
        <f t="shared" si="2"/>
        <v>#DIV/0!</v>
      </c>
      <c r="K39" s="67" t="e">
        <f t="shared" si="2"/>
        <v>#DIV/0!</v>
      </c>
      <c r="L39" s="172" t="e">
        <f t="shared" si="2"/>
        <v>#DIV/0!</v>
      </c>
      <c r="M39" s="172" t="e">
        <f t="shared" si="2"/>
        <v>#DIV/0!</v>
      </c>
      <c r="N39" s="67" t="e">
        <f>+N37/N38</f>
        <v>#DIV/0!</v>
      </c>
      <c r="O39" s="182" t="e">
        <f>AVERAGE(C39:N39)</f>
        <v>#DIV/0!</v>
      </c>
    </row>
    <row r="40" spans="1:15">
      <c r="A40" s="264"/>
      <c r="B40" s="102" t="s">
        <v>170</v>
      </c>
      <c r="C40" s="67"/>
      <c r="D40" s="131">
        <v>589600</v>
      </c>
      <c r="E40" s="67"/>
      <c r="F40" s="131">
        <v>198000</v>
      </c>
      <c r="G40" s="67"/>
      <c r="H40" s="131">
        <v>1500480</v>
      </c>
      <c r="I40" s="67"/>
      <c r="J40" s="131"/>
      <c r="K40" s="67"/>
      <c r="L40" s="131"/>
      <c r="M40" s="131"/>
      <c r="N40" s="131"/>
      <c r="O40" s="181"/>
    </row>
    <row r="41" spans="1:15">
      <c r="A41" s="264"/>
      <c r="B41" s="101" t="s">
        <v>172</v>
      </c>
      <c r="C41" s="131">
        <f t="shared" ref="C41:L41" si="3">+C40/(C37+C30)</f>
        <v>0</v>
      </c>
      <c r="D41" s="131">
        <f t="shared" si="3"/>
        <v>9212.5</v>
      </c>
      <c r="E41" s="131">
        <f t="shared" si="3"/>
        <v>0</v>
      </c>
      <c r="F41" s="131">
        <f t="shared" si="3"/>
        <v>67.141403865717194</v>
      </c>
      <c r="G41" s="131">
        <f t="shared" si="3"/>
        <v>0</v>
      </c>
      <c r="H41" s="131">
        <f t="shared" si="3"/>
        <v>474.08530805687207</v>
      </c>
      <c r="I41" s="131" t="e">
        <f t="shared" si="3"/>
        <v>#DIV/0!</v>
      </c>
      <c r="J41" s="131" t="e">
        <f t="shared" si="3"/>
        <v>#DIV/0!</v>
      </c>
      <c r="K41" s="131" t="e">
        <f t="shared" si="3"/>
        <v>#DIV/0!</v>
      </c>
      <c r="L41" s="131" t="e">
        <f t="shared" si="3"/>
        <v>#DIV/0!</v>
      </c>
      <c r="M41" s="131" t="e">
        <f>+M40/(M37+M30)</f>
        <v>#DIV/0!</v>
      </c>
      <c r="N41" s="131" t="e">
        <f>+N40/(N37+N30)</f>
        <v>#DIV/0!</v>
      </c>
      <c r="O41" s="183">
        <f>O40/(O37+O30)</f>
        <v>0</v>
      </c>
    </row>
    <row r="42" spans="1:15">
      <c r="A42" s="264"/>
      <c r="B42" s="102" t="s">
        <v>171</v>
      </c>
      <c r="C42" s="67">
        <f>+C40/C38</f>
        <v>0</v>
      </c>
      <c r="D42" s="132">
        <f>+D40/D38</f>
        <v>28.717549072134819</v>
      </c>
      <c r="E42" s="67">
        <f t="shared" ref="E42:O42" si="4">+E40/E38</f>
        <v>0</v>
      </c>
      <c r="F42" s="173">
        <f t="shared" si="4"/>
        <v>3.9691289966923926</v>
      </c>
      <c r="G42" s="67">
        <f t="shared" si="4"/>
        <v>0</v>
      </c>
      <c r="H42" s="173">
        <f t="shared" si="4"/>
        <v>64.992419976610208</v>
      </c>
      <c r="I42" s="67" t="e">
        <f t="shared" si="4"/>
        <v>#DIV/0!</v>
      </c>
      <c r="J42" s="173" t="e">
        <f t="shared" si="4"/>
        <v>#DIV/0!</v>
      </c>
      <c r="K42" s="67" t="e">
        <f t="shared" si="4"/>
        <v>#DIV/0!</v>
      </c>
      <c r="L42" s="173" t="e">
        <f t="shared" si="4"/>
        <v>#DIV/0!</v>
      </c>
      <c r="M42" s="173" t="e">
        <f t="shared" si="4"/>
        <v>#DIV/0!</v>
      </c>
      <c r="N42" s="67" t="e">
        <f t="shared" si="4"/>
        <v>#DIV/0!</v>
      </c>
      <c r="O42" s="91">
        <f t="shared" si="4"/>
        <v>0</v>
      </c>
    </row>
    <row r="43" spans="1:15" ht="33.75" thickBot="1">
      <c r="A43" s="265"/>
      <c r="B43" s="103" t="s">
        <v>335</v>
      </c>
      <c r="C43" s="92" t="str">
        <f>+IF(C37&lt;=500,"CUMPLE","NO CUMPLE")</f>
        <v>CUMPLE</v>
      </c>
      <c r="D43" s="92" t="str">
        <f t="shared" ref="D43:N43" si="5">+IF(D37&lt;=500,"CUMPLE","NO CUMPLE")</f>
        <v>CUMPLE</v>
      </c>
      <c r="E43" s="92" t="str">
        <f t="shared" si="5"/>
        <v>CUMPLE</v>
      </c>
      <c r="F43" s="92" t="str">
        <f t="shared" si="5"/>
        <v>NO CUMPLE</v>
      </c>
      <c r="G43" s="92" t="str">
        <f t="shared" si="5"/>
        <v>NO CUMPLE</v>
      </c>
      <c r="H43" s="92" t="str">
        <f t="shared" si="5"/>
        <v>NO CUMPLE</v>
      </c>
      <c r="I43" s="92" t="str">
        <f t="shared" si="5"/>
        <v>CUMPLE</v>
      </c>
      <c r="J43" s="92" t="str">
        <f t="shared" si="5"/>
        <v>CUMPLE</v>
      </c>
      <c r="K43" s="92" t="str">
        <f t="shared" si="5"/>
        <v>CUMPLE</v>
      </c>
      <c r="L43" s="92" t="str">
        <f t="shared" si="5"/>
        <v>CUMPLE</v>
      </c>
      <c r="M43" s="92" t="str">
        <f t="shared" si="5"/>
        <v>CUMPLE</v>
      </c>
      <c r="N43" s="92" t="str">
        <f t="shared" si="5"/>
        <v>CUMPLE</v>
      </c>
      <c r="O43" s="93" t="s">
        <v>333</v>
      </c>
    </row>
  </sheetData>
  <mergeCells count="13">
    <mergeCell ref="A37:A43"/>
    <mergeCell ref="A32:A36"/>
    <mergeCell ref="A27:A31"/>
    <mergeCell ref="A3:B4"/>
    <mergeCell ref="C3:N3"/>
    <mergeCell ref="A5:A26"/>
    <mergeCell ref="A1:C2"/>
    <mergeCell ref="O3:O4"/>
    <mergeCell ref="M1:O1"/>
    <mergeCell ref="D1:L1"/>
    <mergeCell ref="D2:H2"/>
    <mergeCell ref="I2:L2"/>
    <mergeCell ref="M2:O2"/>
  </mergeCells>
  <conditionalFormatting sqref="C43:N43">
    <cfRule type="containsText" dxfId="263" priority="3" operator="containsText" text="NO CUMPLE">
      <formula>NOT(ISERROR(SEARCH("NO CUMPLE",C43)))</formula>
    </cfRule>
    <cfRule type="containsText" dxfId="262" priority="4" operator="containsText" text="CUMPLE">
      <formula>NOT(ISERROR(SEARCH("CUMPLE",C43)))</formula>
    </cfRule>
  </conditionalFormatting>
  <pageMargins left="0.7" right="0.7" top="0.75" bottom="0.75" header="0.3" footer="0.3"/>
  <pageSetup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R23"/>
  <sheetViews>
    <sheetView showGridLines="0" zoomScale="90" zoomScaleNormal="90" zoomScaleSheetLayoutView="100" workbookViewId="0">
      <selection activeCell="H9" activeCellId="1" sqref="C9:D9 H9:I9"/>
    </sheetView>
  </sheetViews>
  <sheetFormatPr baseColWidth="10" defaultRowHeight="15"/>
  <cols>
    <col min="1" max="1" width="9" style="36" customWidth="1"/>
    <col min="2" max="2" width="9.28515625" style="36" bestFit="1" customWidth="1"/>
    <col min="3" max="3" width="11.42578125" style="36"/>
    <col min="4" max="4" width="8.140625" style="36" bestFit="1" customWidth="1"/>
    <col min="5" max="5" width="9.28515625" style="36" bestFit="1" customWidth="1"/>
    <col min="6" max="6" width="11.42578125" style="36"/>
    <col min="7" max="7" width="9" style="36" bestFit="1" customWidth="1"/>
    <col min="8" max="8" width="9.28515625" style="36" customWidth="1"/>
    <col min="9" max="10" width="8.140625" style="36" customWidth="1"/>
    <col min="11" max="11" width="11.42578125" style="36"/>
    <col min="12" max="12" width="11.5703125" style="36" customWidth="1"/>
    <col min="13" max="13" width="12.5703125" style="36" customWidth="1"/>
    <col min="14" max="14" width="13.28515625" style="36" customWidth="1"/>
    <col min="15" max="15" width="18.42578125" style="36" customWidth="1"/>
    <col min="16" max="16" width="21.42578125" customWidth="1"/>
    <col min="17" max="17" width="14.7109375" customWidth="1"/>
  </cols>
  <sheetData>
    <row r="1" spans="1:18" ht="29.25" customHeight="1">
      <c r="A1" s="253"/>
      <c r="B1" s="253"/>
      <c r="C1" s="253"/>
      <c r="D1" s="282" t="s">
        <v>45</v>
      </c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0" t="s">
        <v>228</v>
      </c>
      <c r="P1" s="281"/>
    </row>
    <row r="2" spans="1:18" ht="28.5" customHeight="1">
      <c r="A2" s="253"/>
      <c r="B2" s="253"/>
      <c r="C2" s="253"/>
      <c r="D2" s="282" t="s">
        <v>236</v>
      </c>
      <c r="E2" s="282"/>
      <c r="F2" s="282"/>
      <c r="G2" s="282"/>
      <c r="H2" s="282"/>
      <c r="I2" s="282"/>
      <c r="J2" s="282" t="s">
        <v>237</v>
      </c>
      <c r="K2" s="282"/>
      <c r="L2" s="282"/>
      <c r="M2" s="282"/>
      <c r="N2" s="282"/>
      <c r="O2" s="279" t="s">
        <v>44</v>
      </c>
      <c r="P2" s="279"/>
    </row>
    <row r="3" spans="1:18" ht="54" customHeight="1">
      <c r="A3" s="283" t="s">
        <v>115</v>
      </c>
      <c r="B3" s="283" t="s">
        <v>182</v>
      </c>
      <c r="C3" s="283"/>
      <c r="D3" s="283"/>
      <c r="E3" s="283" t="s">
        <v>167</v>
      </c>
      <c r="F3" s="283"/>
      <c r="G3" s="283"/>
      <c r="H3" s="283"/>
      <c r="I3" s="283"/>
      <c r="J3" s="98" t="s">
        <v>220</v>
      </c>
      <c r="K3" s="283" t="s">
        <v>188</v>
      </c>
      <c r="L3" s="283"/>
      <c r="M3" s="284" t="s">
        <v>207</v>
      </c>
      <c r="N3" s="283"/>
      <c r="O3" s="99" t="s">
        <v>208</v>
      </c>
      <c r="P3" s="96" t="s">
        <v>337</v>
      </c>
    </row>
    <row r="4" spans="1:18" ht="32.25" customHeight="1">
      <c r="A4" s="283"/>
      <c r="B4" s="219" t="s">
        <v>332</v>
      </c>
      <c r="C4" s="220" t="s">
        <v>184</v>
      </c>
      <c r="D4" s="221" t="s">
        <v>185</v>
      </c>
      <c r="E4" s="222" t="s">
        <v>183</v>
      </c>
      <c r="F4" s="223" t="s">
        <v>186</v>
      </c>
      <c r="G4" s="219" t="s">
        <v>187</v>
      </c>
      <c r="H4" s="220" t="s">
        <v>184</v>
      </c>
      <c r="I4" s="221" t="s">
        <v>185</v>
      </c>
      <c r="J4" s="34" t="s">
        <v>165</v>
      </c>
      <c r="K4" s="34" t="s">
        <v>189</v>
      </c>
      <c r="L4" s="34" t="s">
        <v>190</v>
      </c>
      <c r="M4" s="34" t="s">
        <v>192</v>
      </c>
      <c r="N4" s="34" t="s">
        <v>190</v>
      </c>
      <c r="O4" s="73" t="s">
        <v>193</v>
      </c>
      <c r="P4" s="73" t="s">
        <v>193</v>
      </c>
      <c r="Q4" s="175"/>
      <c r="R4" s="175" t="s">
        <v>0</v>
      </c>
    </row>
    <row r="5" spans="1:18" ht="16.5">
      <c r="A5" s="48" t="s">
        <v>14</v>
      </c>
      <c r="B5" s="126">
        <v>5.4</v>
      </c>
      <c r="C5" s="59">
        <v>2.1</v>
      </c>
      <c r="D5" s="59">
        <v>0</v>
      </c>
      <c r="E5" s="59">
        <v>81</v>
      </c>
      <c r="F5" s="59">
        <v>44.1</v>
      </c>
      <c r="G5" s="126">
        <v>0</v>
      </c>
      <c r="H5" s="59">
        <v>5.0999999999999996</v>
      </c>
      <c r="I5" s="59">
        <v>4.2</v>
      </c>
      <c r="J5" s="59">
        <f>SUM(B5:I5)</f>
        <v>141.89999999999998</v>
      </c>
      <c r="K5" s="86">
        <f>(SUM(C5:D5))/(SUM(B5:D5))</f>
        <v>0.28000000000000003</v>
      </c>
      <c r="L5" s="86">
        <f>(SUM(H5:I5))/(SUM(E5:I5))</f>
        <v>6.9196428571428589E-2</v>
      </c>
      <c r="M5" s="35" t="str">
        <f>+IF(K5&gt;=15%,"CUMPLE","NO CUMPLE")</f>
        <v>CUMPLE</v>
      </c>
      <c r="N5" s="35" t="str">
        <f>+IF(L5&gt;=15%,"CUMPLE","NO CUMPLE")</f>
        <v>NO CUMPLE</v>
      </c>
      <c r="O5" s="35" t="str">
        <f>+IF(J5&lt;=290,"CUMPLE","NO CUMPLE")</f>
        <v>CUMPLE</v>
      </c>
      <c r="P5" s="74">
        <f>J5/'TON  MOV '!B2</f>
        <v>1.4182908545727135E-2</v>
      </c>
      <c r="Q5" s="175"/>
      <c r="R5" s="175">
        <v>290</v>
      </c>
    </row>
    <row r="6" spans="1:18" ht="16.5">
      <c r="A6" s="48" t="s">
        <v>4</v>
      </c>
      <c r="B6" s="126">
        <v>4.7</v>
      </c>
      <c r="C6" s="126">
        <v>2.1</v>
      </c>
      <c r="D6" s="126">
        <v>0</v>
      </c>
      <c r="E6" s="126">
        <v>46</v>
      </c>
      <c r="F6" s="126">
        <v>44.9</v>
      </c>
      <c r="G6" s="126">
        <v>31.3</v>
      </c>
      <c r="H6" s="126">
        <v>6.1</v>
      </c>
      <c r="I6" s="126">
        <v>8.3000000000000007</v>
      </c>
      <c r="J6" s="59">
        <f t="shared" ref="J6:J14" si="0">SUM(B6:I6)</f>
        <v>143.4</v>
      </c>
      <c r="K6" s="86">
        <f t="shared" ref="K6:K17" si="1">(SUM(C6:D6))/(SUM(B6:D6))</f>
        <v>0.30882352941176466</v>
      </c>
      <c r="L6" s="86">
        <f t="shared" ref="L6:L17" si="2">(SUM(H6:I6))/(SUM(E6:I6))</f>
        <v>0.10541727672035138</v>
      </c>
      <c r="M6" s="35" t="str">
        <f t="shared" ref="M6:M17" si="3">+IF(K6&gt;=15%,"CUMPLE","NO CUMPLE")</f>
        <v>CUMPLE</v>
      </c>
      <c r="N6" s="35" t="str">
        <f t="shared" ref="N6:N17" si="4">+IF(L6&gt;=15%,"CUMPLE","NO CUMPLE")</f>
        <v>NO CUMPLE</v>
      </c>
      <c r="O6" s="35" t="str">
        <f t="shared" ref="O6:O17" si="5">+IF(J6&lt;=290,"CUMPLE","NO CUMPLE")</f>
        <v>CUMPLE</v>
      </c>
      <c r="P6" s="74">
        <f>+J6/'TON  MOV '!C2</f>
        <v>6.9845599337587062E-3</v>
      </c>
      <c r="Q6" s="175"/>
      <c r="R6" s="175">
        <v>290</v>
      </c>
    </row>
    <row r="7" spans="1:18" ht="16.5">
      <c r="A7" s="48" t="s">
        <v>5</v>
      </c>
      <c r="B7" s="126">
        <v>19.2</v>
      </c>
      <c r="C7" s="59">
        <v>16</v>
      </c>
      <c r="D7" s="126">
        <v>0</v>
      </c>
      <c r="E7" s="59">
        <v>163.9</v>
      </c>
      <c r="F7" s="126">
        <v>48.3</v>
      </c>
      <c r="G7" s="126">
        <v>44.3</v>
      </c>
      <c r="H7" s="126">
        <v>6.5</v>
      </c>
      <c r="I7" s="126">
        <v>5.5</v>
      </c>
      <c r="J7" s="196">
        <f t="shared" si="0"/>
        <v>303.70000000000005</v>
      </c>
      <c r="K7" s="86">
        <f t="shared" si="1"/>
        <v>0.45454545454545453</v>
      </c>
      <c r="L7" s="86">
        <f t="shared" si="2"/>
        <v>4.4692737430167599E-2</v>
      </c>
      <c r="M7" s="35" t="str">
        <f t="shared" si="3"/>
        <v>CUMPLE</v>
      </c>
      <c r="N7" s="35" t="str">
        <f t="shared" si="4"/>
        <v>NO CUMPLE</v>
      </c>
      <c r="O7" s="35" t="str">
        <f t="shared" si="5"/>
        <v>NO CUMPLE</v>
      </c>
      <c r="P7" s="74">
        <f>+J7/'TON  MOV '!D2</f>
        <v>1.1430614626067976E-2</v>
      </c>
      <c r="Q7" s="175"/>
      <c r="R7" s="175">
        <v>290</v>
      </c>
    </row>
    <row r="8" spans="1:18" ht="16.5">
      <c r="A8" s="48" t="s">
        <v>18</v>
      </c>
      <c r="B8" s="59">
        <v>11.2</v>
      </c>
      <c r="C8" s="126">
        <v>6.1</v>
      </c>
      <c r="D8" s="126">
        <v>0</v>
      </c>
      <c r="E8" s="126">
        <v>132</v>
      </c>
      <c r="F8" s="133">
        <v>6.7</v>
      </c>
      <c r="G8" s="126">
        <v>44.4</v>
      </c>
      <c r="H8" s="126">
        <v>7.9</v>
      </c>
      <c r="I8" s="126">
        <v>7</v>
      </c>
      <c r="J8" s="59">
        <f t="shared" si="0"/>
        <v>215.3</v>
      </c>
      <c r="K8" s="86">
        <f>(SUM(C8:D8))/(SUM(B8:D8))</f>
        <v>0.35260115606936421</v>
      </c>
      <c r="L8" s="86">
        <f t="shared" si="2"/>
        <v>7.5252525252525251E-2</v>
      </c>
      <c r="M8" s="35" t="str">
        <f t="shared" si="3"/>
        <v>CUMPLE</v>
      </c>
      <c r="N8" s="35" t="str">
        <f t="shared" si="4"/>
        <v>NO CUMPLE</v>
      </c>
      <c r="O8" s="35" t="str">
        <f t="shared" si="5"/>
        <v>CUMPLE</v>
      </c>
      <c r="P8" s="198">
        <f>J8/'TON  MOV '!E2</f>
        <v>4.3159266312518792E-3</v>
      </c>
      <c r="Q8" s="175"/>
      <c r="R8" s="175">
        <v>290</v>
      </c>
    </row>
    <row r="9" spans="1:18" ht="16.5">
      <c r="A9" s="48" t="s">
        <v>19</v>
      </c>
      <c r="B9" s="59">
        <v>4.3</v>
      </c>
      <c r="C9" s="59">
        <v>4.3</v>
      </c>
      <c r="D9" s="59">
        <v>0</v>
      </c>
      <c r="E9" s="59">
        <v>84</v>
      </c>
      <c r="F9" s="59">
        <v>41.3</v>
      </c>
      <c r="G9" s="59">
        <v>24</v>
      </c>
      <c r="H9" s="59">
        <v>16.399999999999999</v>
      </c>
      <c r="I9" s="59">
        <v>5.0999999999999996</v>
      </c>
      <c r="J9" s="59">
        <f t="shared" si="0"/>
        <v>179.39999999999998</v>
      </c>
      <c r="K9" s="86">
        <f t="shared" si="1"/>
        <v>0.5</v>
      </c>
      <c r="L9" s="86">
        <f t="shared" si="2"/>
        <v>0.12587822014051522</v>
      </c>
      <c r="M9" s="35" t="str">
        <f t="shared" si="3"/>
        <v>CUMPLE</v>
      </c>
      <c r="N9" s="35" t="str">
        <f t="shared" si="4"/>
        <v>NO CUMPLE</v>
      </c>
      <c r="O9" s="35" t="str">
        <f t="shared" si="5"/>
        <v>CUMPLE</v>
      </c>
      <c r="P9" s="199">
        <f>J9/'TON  MOV '!F2</f>
        <v>3.8373510727043266E-3</v>
      </c>
      <c r="Q9" s="175"/>
      <c r="R9" s="175">
        <v>290</v>
      </c>
    </row>
    <row r="10" spans="1:18" ht="16.5">
      <c r="A10" s="48" t="s">
        <v>20</v>
      </c>
      <c r="B10" s="59">
        <v>7</v>
      </c>
      <c r="C10" s="59">
        <v>6.2</v>
      </c>
      <c r="D10" s="59"/>
      <c r="E10" s="59">
        <v>118.1</v>
      </c>
      <c r="F10" s="59">
        <v>33.6</v>
      </c>
      <c r="G10" s="59">
        <v>20.7</v>
      </c>
      <c r="H10" s="59">
        <v>5.4</v>
      </c>
      <c r="I10" s="59">
        <v>10.199999999999999</v>
      </c>
      <c r="J10" s="59">
        <f t="shared" si="0"/>
        <v>201.19999999999996</v>
      </c>
      <c r="K10" s="86">
        <f t="shared" si="1"/>
        <v>0.46969696969696972</v>
      </c>
      <c r="L10" s="86">
        <f t="shared" si="2"/>
        <v>8.2978723404255328E-2</v>
      </c>
      <c r="M10" s="35" t="str">
        <f t="shared" si="3"/>
        <v>CUMPLE</v>
      </c>
      <c r="N10" s="35" t="str">
        <f t="shared" si="4"/>
        <v>NO CUMPLE</v>
      </c>
      <c r="O10" s="35" t="str">
        <f t="shared" si="5"/>
        <v>CUMPLE</v>
      </c>
      <c r="P10" s="74">
        <f>J10/'TON  MOV '!G2</f>
        <v>8.7148611772859159E-3</v>
      </c>
      <c r="Q10" s="175"/>
      <c r="R10" s="175">
        <v>290</v>
      </c>
    </row>
    <row r="11" spans="1:18" ht="16.5">
      <c r="A11" s="48" t="s">
        <v>21</v>
      </c>
      <c r="B11" s="59"/>
      <c r="C11" s="59"/>
      <c r="D11" s="59"/>
      <c r="E11" s="59"/>
      <c r="F11" s="59"/>
      <c r="G11" s="59"/>
      <c r="H11" s="59"/>
      <c r="I11" s="59"/>
      <c r="J11" s="59">
        <f t="shared" si="0"/>
        <v>0</v>
      </c>
      <c r="K11" s="86" t="e">
        <f t="shared" si="1"/>
        <v>#DIV/0!</v>
      </c>
      <c r="L11" s="86" t="e">
        <f t="shared" si="2"/>
        <v>#DIV/0!</v>
      </c>
      <c r="M11" s="35" t="e">
        <f t="shared" si="3"/>
        <v>#DIV/0!</v>
      </c>
      <c r="N11" s="35" t="e">
        <f t="shared" si="4"/>
        <v>#DIV/0!</v>
      </c>
      <c r="O11" s="35" t="str">
        <f>+IF(J11&lt;=290,"CUMPLE","NO CUMPLE")</f>
        <v>CUMPLE</v>
      </c>
      <c r="P11" s="74" t="e">
        <f>+J11/'TON  MOV '!H2</f>
        <v>#DIV/0!</v>
      </c>
      <c r="Q11" s="175"/>
      <c r="R11" s="175">
        <v>290</v>
      </c>
    </row>
    <row r="12" spans="1:18" ht="16.5">
      <c r="A12" s="48" t="s">
        <v>22</v>
      </c>
      <c r="B12" s="59"/>
      <c r="C12" s="59"/>
      <c r="D12" s="59"/>
      <c r="E12" s="59"/>
      <c r="F12" s="59"/>
      <c r="G12" s="59"/>
      <c r="H12" s="59"/>
      <c r="I12" s="59"/>
      <c r="J12" s="59">
        <f t="shared" si="0"/>
        <v>0</v>
      </c>
      <c r="K12" s="86" t="e">
        <f t="shared" si="1"/>
        <v>#DIV/0!</v>
      </c>
      <c r="L12" s="86" t="e">
        <f t="shared" si="2"/>
        <v>#DIV/0!</v>
      </c>
      <c r="M12" s="35" t="e">
        <f t="shared" si="3"/>
        <v>#DIV/0!</v>
      </c>
      <c r="N12" s="35" t="e">
        <f t="shared" si="4"/>
        <v>#DIV/0!</v>
      </c>
      <c r="O12" s="35" t="str">
        <f t="shared" si="5"/>
        <v>CUMPLE</v>
      </c>
      <c r="P12" s="74" t="e">
        <f>+RESIDUOS!J12/'TON  MOV '!I2</f>
        <v>#DIV/0!</v>
      </c>
      <c r="Q12" s="175"/>
      <c r="R12" s="175">
        <v>290</v>
      </c>
    </row>
    <row r="13" spans="1:18" ht="16.5">
      <c r="A13" s="48" t="s">
        <v>23</v>
      </c>
      <c r="B13" s="59"/>
      <c r="C13" s="59"/>
      <c r="D13" s="59"/>
      <c r="E13" s="59"/>
      <c r="F13" s="59"/>
      <c r="G13" s="59"/>
      <c r="H13" s="59"/>
      <c r="I13" s="59"/>
      <c r="J13" s="59">
        <f>SUM(B13:I13)</f>
        <v>0</v>
      </c>
      <c r="K13" s="86" t="e">
        <f t="shared" si="1"/>
        <v>#DIV/0!</v>
      </c>
      <c r="L13" s="86" t="e">
        <f t="shared" si="2"/>
        <v>#DIV/0!</v>
      </c>
      <c r="M13" s="35" t="e">
        <f t="shared" si="3"/>
        <v>#DIV/0!</v>
      </c>
      <c r="N13" s="35" t="e">
        <f t="shared" si="4"/>
        <v>#DIV/0!</v>
      </c>
      <c r="O13" s="35" t="str">
        <f t="shared" si="5"/>
        <v>CUMPLE</v>
      </c>
      <c r="P13" s="74" t="e">
        <f>+J13/'TON  MOV '!J2</f>
        <v>#DIV/0!</v>
      </c>
      <c r="Q13" s="175"/>
      <c r="R13" s="175">
        <v>290</v>
      </c>
    </row>
    <row r="14" spans="1:18" ht="16.5">
      <c r="A14" s="48" t="s">
        <v>24</v>
      </c>
      <c r="B14" s="59"/>
      <c r="C14" s="59"/>
      <c r="D14" s="59"/>
      <c r="E14" s="59"/>
      <c r="F14" s="59"/>
      <c r="G14" s="59"/>
      <c r="H14" s="59"/>
      <c r="I14" s="59"/>
      <c r="J14" s="59">
        <f t="shared" si="0"/>
        <v>0</v>
      </c>
      <c r="K14" s="86" t="e">
        <f t="shared" si="1"/>
        <v>#DIV/0!</v>
      </c>
      <c r="L14" s="86" t="e">
        <f t="shared" si="2"/>
        <v>#DIV/0!</v>
      </c>
      <c r="M14" s="35" t="e">
        <f t="shared" si="3"/>
        <v>#DIV/0!</v>
      </c>
      <c r="N14" s="35" t="e">
        <f t="shared" si="4"/>
        <v>#DIV/0!</v>
      </c>
      <c r="O14" s="35" t="str">
        <f t="shared" si="5"/>
        <v>CUMPLE</v>
      </c>
      <c r="P14" s="74" t="e">
        <f>+J14/'TON  MOV '!K2</f>
        <v>#DIV/0!</v>
      </c>
      <c r="Q14" s="175"/>
      <c r="R14" s="175">
        <v>290</v>
      </c>
    </row>
    <row r="15" spans="1:18" ht="16.5">
      <c r="A15" s="48" t="s">
        <v>25</v>
      </c>
      <c r="B15" s="59"/>
      <c r="C15" s="59"/>
      <c r="D15" s="59"/>
      <c r="E15" s="59"/>
      <c r="F15" s="59"/>
      <c r="G15" s="59"/>
      <c r="H15" s="59"/>
      <c r="I15" s="59"/>
      <c r="J15" s="59">
        <f>SUM(B15:I15)</f>
        <v>0</v>
      </c>
      <c r="K15" s="86" t="e">
        <f>(SUM(C15:D15))/(SUM(B15:D15))</f>
        <v>#DIV/0!</v>
      </c>
      <c r="L15" s="86" t="e">
        <f t="shared" si="2"/>
        <v>#DIV/0!</v>
      </c>
      <c r="M15" s="35" t="e">
        <f t="shared" si="3"/>
        <v>#DIV/0!</v>
      </c>
      <c r="N15" s="35" t="e">
        <f t="shared" si="4"/>
        <v>#DIV/0!</v>
      </c>
      <c r="O15" s="35" t="str">
        <f t="shared" si="5"/>
        <v>CUMPLE</v>
      </c>
      <c r="P15" s="199" t="e">
        <f>+J15/'TON  MOV '!L2</f>
        <v>#DIV/0!</v>
      </c>
      <c r="Q15" s="175"/>
      <c r="R15" s="175">
        <v>290</v>
      </c>
    </row>
    <row r="16" spans="1:18" ht="16.5">
      <c r="A16" s="48" t="s">
        <v>26</v>
      </c>
      <c r="B16" s="59"/>
      <c r="C16" s="59"/>
      <c r="D16" s="59"/>
      <c r="E16" s="59"/>
      <c r="F16" s="59"/>
      <c r="G16" s="59"/>
      <c r="H16" s="59"/>
      <c r="I16" s="59"/>
      <c r="J16" s="59">
        <f>SUM(B16:I16)</f>
        <v>0</v>
      </c>
      <c r="K16" s="86" t="e">
        <f>(SUM(C16:D16))/(SUM(B16:D16))</f>
        <v>#DIV/0!</v>
      </c>
      <c r="L16" s="86" t="e">
        <f t="shared" si="2"/>
        <v>#DIV/0!</v>
      </c>
      <c r="M16" s="35" t="e">
        <f t="shared" si="3"/>
        <v>#DIV/0!</v>
      </c>
      <c r="N16" s="35" t="e">
        <f t="shared" si="4"/>
        <v>#DIV/0!</v>
      </c>
      <c r="O16" s="35" t="str">
        <f t="shared" si="5"/>
        <v>CUMPLE</v>
      </c>
      <c r="P16" s="199" t="e">
        <f>+J16/'TON  MOV '!M2</f>
        <v>#DIV/0!</v>
      </c>
      <c r="Q16" s="175"/>
      <c r="R16" s="175">
        <v>290</v>
      </c>
    </row>
    <row r="17" spans="1:18" ht="16.5">
      <c r="A17" s="59" t="s">
        <v>191</v>
      </c>
      <c r="B17" s="126">
        <f>SUM(B5:B16)</f>
        <v>51.8</v>
      </c>
      <c r="C17" s="126">
        <f t="shared" ref="C17:I17" si="6">SUM(C5:C16)</f>
        <v>36.799999999999997</v>
      </c>
      <c r="D17" s="126">
        <f t="shared" si="6"/>
        <v>0</v>
      </c>
      <c r="E17" s="126">
        <f t="shared" si="6"/>
        <v>625</v>
      </c>
      <c r="F17" s="126">
        <f t="shared" si="6"/>
        <v>218.9</v>
      </c>
      <c r="G17" s="126">
        <f t="shared" si="6"/>
        <v>164.7</v>
      </c>
      <c r="H17" s="126">
        <f t="shared" si="6"/>
        <v>47.4</v>
      </c>
      <c r="I17" s="126">
        <f t="shared" si="6"/>
        <v>40.299999999999997</v>
      </c>
      <c r="J17" s="126">
        <f>SUM(B17:I17)</f>
        <v>1184.9000000000001</v>
      </c>
      <c r="K17" s="86">
        <f t="shared" si="1"/>
        <v>0.41534988713318283</v>
      </c>
      <c r="L17" s="86">
        <f t="shared" si="2"/>
        <v>7.9996351363677817E-2</v>
      </c>
      <c r="M17" s="35" t="str">
        <f t="shared" si="3"/>
        <v>CUMPLE</v>
      </c>
      <c r="N17" s="35" t="str">
        <f t="shared" si="4"/>
        <v>NO CUMPLE</v>
      </c>
      <c r="O17" s="201" t="str">
        <f t="shared" si="5"/>
        <v>NO CUMPLE</v>
      </c>
      <c r="P17" s="74">
        <f>+SUM(B17:I17)/'RESPEL '!O38</f>
        <v>6.7008618544574395E-3</v>
      </c>
      <c r="Q17" s="175"/>
      <c r="R17" s="175"/>
    </row>
    <row r="18" spans="1:18">
      <c r="P18" s="218"/>
      <c r="Q18" s="175"/>
      <c r="R18" s="175"/>
    </row>
    <row r="19" spans="1:18">
      <c r="Q19" s="175"/>
      <c r="R19" s="175"/>
    </row>
    <row r="23" spans="1:18">
      <c r="H23" s="215"/>
    </row>
  </sheetData>
  <mergeCells count="11">
    <mergeCell ref="A1:C2"/>
    <mergeCell ref="K3:L3"/>
    <mergeCell ref="M3:N3"/>
    <mergeCell ref="A3:A4"/>
    <mergeCell ref="B3:D3"/>
    <mergeCell ref="E3:I3"/>
    <mergeCell ref="O2:P2"/>
    <mergeCell ref="O1:P1"/>
    <mergeCell ref="D1:N1"/>
    <mergeCell ref="J2:N2"/>
    <mergeCell ref="D2:I2"/>
  </mergeCells>
  <conditionalFormatting sqref="M5">
    <cfRule type="containsText" dxfId="261" priority="7" operator="containsText" text="NO CUMPLE">
      <formula>NOT(ISERROR(SEARCH("NO CUMPLE",M5)))</formula>
    </cfRule>
    <cfRule type="containsText" dxfId="260" priority="8" operator="containsText" text="CUMPLE">
      <formula>NOT(ISERROR(SEARCH("CUMPLE",M5)))</formula>
    </cfRule>
  </conditionalFormatting>
  <conditionalFormatting sqref="M6:M17">
    <cfRule type="containsText" dxfId="259" priority="5" operator="containsText" text="NO CUMPLE">
      <formula>NOT(ISERROR(SEARCH("NO CUMPLE",M6)))</formula>
    </cfRule>
    <cfRule type="containsText" dxfId="258" priority="6" operator="containsText" text="CUMPLE">
      <formula>NOT(ISERROR(SEARCH("CUMPLE",M6)))</formula>
    </cfRule>
  </conditionalFormatting>
  <conditionalFormatting sqref="N5:N17">
    <cfRule type="containsText" dxfId="257" priority="3" operator="containsText" text="NO CUMPLE">
      <formula>NOT(ISERROR(SEARCH("NO CUMPLE",N5)))</formula>
    </cfRule>
    <cfRule type="containsText" dxfId="256" priority="4" operator="containsText" text="CUMPLE">
      <formula>NOT(ISERROR(SEARCH("CUMPLE",N5)))</formula>
    </cfRule>
  </conditionalFormatting>
  <conditionalFormatting sqref="O5:O17">
    <cfRule type="containsText" dxfId="255" priority="1" operator="containsText" text="NO CUMPLE">
      <formula>NOT(ISERROR(SEARCH("NO CUMPLE",O5)))</formula>
    </cfRule>
    <cfRule type="containsText" dxfId="254" priority="2" operator="containsText" text="CUMPLE">
      <formula>NOT(ISERROR(SEARCH("CUMPLE",O5)))</formula>
    </cfRule>
  </conditionalFormatting>
  <pageMargins left="0.7" right="0.7" top="0.75" bottom="0.75" header="0.3" footer="0.3"/>
  <pageSetup scale="46" orientation="portrait" r:id="rId1"/>
  <colBreaks count="1" manualBreakCount="1">
    <brk id="16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N18"/>
  <sheetViews>
    <sheetView showGridLines="0" topLeftCell="A4" zoomScale="115" zoomScaleNormal="115" zoomScaleSheetLayoutView="115" workbookViewId="0">
      <selection activeCell="J11" sqref="J11"/>
    </sheetView>
  </sheetViews>
  <sheetFormatPr baseColWidth="10" defaultRowHeight="16.5"/>
  <cols>
    <col min="1" max="1" width="14.85546875" style="64" customWidth="1"/>
    <col min="2" max="3" width="7.5703125" style="64" bestFit="1" customWidth="1"/>
    <col min="4" max="4" width="9.42578125" style="64" bestFit="1" customWidth="1"/>
    <col min="5" max="6" width="7.5703125" style="64" bestFit="1" customWidth="1"/>
    <col min="7" max="7" width="9.28515625" style="64" customWidth="1"/>
    <col min="8" max="9" width="7.5703125" style="64" bestFit="1" customWidth="1"/>
    <col min="10" max="10" width="14.28515625" style="64" customWidth="1"/>
    <col min="11" max="11" width="18.5703125" style="64" customWidth="1"/>
    <col min="12" max="12" width="11.42578125" style="64"/>
    <col min="13" max="13" width="16.85546875" style="64" customWidth="1"/>
    <col min="14" max="14" width="12" style="64" bestFit="1" customWidth="1"/>
    <col min="15" max="16384" width="11.42578125" style="64"/>
  </cols>
  <sheetData>
    <row r="1" spans="1:14" ht="42.75" customHeight="1">
      <c r="A1" s="250"/>
      <c r="B1" s="251"/>
      <c r="C1" s="304"/>
      <c r="D1" s="293" t="s">
        <v>206</v>
      </c>
      <c r="E1" s="294"/>
      <c r="F1" s="294"/>
      <c r="G1" s="294"/>
      <c r="H1" s="294"/>
      <c r="I1" s="294"/>
      <c r="J1" s="294"/>
      <c r="K1" s="295"/>
      <c r="L1" s="289" t="s">
        <v>223</v>
      </c>
      <c r="M1" s="290"/>
    </row>
    <row r="2" spans="1:14" ht="33" customHeight="1" thickBot="1">
      <c r="A2" s="305"/>
      <c r="B2" s="306"/>
      <c r="C2" s="307"/>
      <c r="D2" s="296"/>
      <c r="E2" s="297"/>
      <c r="F2" s="297"/>
      <c r="G2" s="297"/>
      <c r="H2" s="297"/>
      <c r="I2" s="297"/>
      <c r="J2" s="297"/>
      <c r="K2" s="298"/>
      <c r="L2" s="291"/>
      <c r="M2" s="292"/>
    </row>
    <row r="3" spans="1:14" ht="31.5" customHeight="1">
      <c r="A3" s="299" t="s">
        <v>153</v>
      </c>
      <c r="B3" s="301" t="s">
        <v>195</v>
      </c>
      <c r="C3" s="302"/>
      <c r="D3" s="303"/>
      <c r="E3" s="301" t="s">
        <v>196</v>
      </c>
      <c r="F3" s="302"/>
      <c r="G3" s="303"/>
      <c r="H3" s="301" t="s">
        <v>197</v>
      </c>
      <c r="I3" s="302"/>
      <c r="J3" s="303"/>
      <c r="K3" s="285" t="s">
        <v>199</v>
      </c>
      <c r="L3" s="286" t="s">
        <v>203</v>
      </c>
      <c r="M3" s="287" t="s">
        <v>204</v>
      </c>
    </row>
    <row r="4" spans="1:14" ht="32.25" customHeight="1">
      <c r="A4" s="300"/>
      <c r="B4" s="98" t="s">
        <v>202</v>
      </c>
      <c r="C4" s="98" t="s">
        <v>201</v>
      </c>
      <c r="D4" s="98" t="s">
        <v>198</v>
      </c>
      <c r="E4" s="98" t="s">
        <v>200</v>
      </c>
      <c r="F4" s="98" t="s">
        <v>205</v>
      </c>
      <c r="G4" s="98" t="s">
        <v>198</v>
      </c>
      <c r="H4" s="98" t="s">
        <v>202</v>
      </c>
      <c r="I4" s="98" t="s">
        <v>201</v>
      </c>
      <c r="J4" s="98" t="s">
        <v>198</v>
      </c>
      <c r="K4" s="284"/>
      <c r="L4" s="283"/>
      <c r="M4" s="288"/>
    </row>
    <row r="5" spans="1:14">
      <c r="A5" s="79" t="s">
        <v>14</v>
      </c>
      <c r="B5" s="197">
        <v>420</v>
      </c>
      <c r="C5" s="64">
        <v>432</v>
      </c>
      <c r="D5" s="78">
        <f>+C5-B5</f>
        <v>12</v>
      </c>
      <c r="E5" s="72">
        <v>107</v>
      </c>
      <c r="F5" s="212">
        <v>111</v>
      </c>
      <c r="G5" s="76">
        <f>+F5-E5</f>
        <v>4</v>
      </c>
      <c r="H5" s="72">
        <v>1138</v>
      </c>
      <c r="I5" s="208">
        <v>1174</v>
      </c>
      <c r="J5" s="72">
        <f>+I5-H5</f>
        <v>36</v>
      </c>
      <c r="K5" s="88">
        <f>+D5+G5+J5</f>
        <v>52</v>
      </c>
      <c r="L5" s="74">
        <f>+K5/+'TON  MOV '!B2</f>
        <v>5.1974012993503248E-3</v>
      </c>
      <c r="M5" s="125" t="str">
        <f>+IF(L5&lt;=0.02,"CUMPLE","NO CUMPLE")</f>
        <v>CUMPLE</v>
      </c>
    </row>
    <row r="6" spans="1:14">
      <c r="A6" s="79" t="s">
        <v>4</v>
      </c>
      <c r="B6" s="197">
        <f t="shared" ref="B6:B11" si="0">+C5</f>
        <v>432</v>
      </c>
      <c r="C6" s="206">
        <v>441</v>
      </c>
      <c r="D6" s="78">
        <f t="shared" ref="D6:D16" si="1">+C6-B6</f>
        <v>9</v>
      </c>
      <c r="E6" s="72">
        <f t="shared" ref="E6:E11" si="2">+F5</f>
        <v>111</v>
      </c>
      <c r="F6" s="211">
        <v>115</v>
      </c>
      <c r="G6" s="76">
        <f t="shared" ref="G6:G16" si="3">+F6-E6</f>
        <v>4</v>
      </c>
      <c r="H6" s="72">
        <v>1174</v>
      </c>
      <c r="I6" s="207">
        <v>1213</v>
      </c>
      <c r="J6" s="205">
        <f t="shared" ref="J6:J15" si="4">+I6-H6</f>
        <v>39</v>
      </c>
      <c r="K6" s="88">
        <f>+D6+G6+J6</f>
        <v>52</v>
      </c>
      <c r="L6" s="74">
        <f>+K6/'TON  MOV '!C2</f>
        <v>2.5327553455749842E-3</v>
      </c>
      <c r="M6" s="125" t="str">
        <f t="shared" ref="M6:M16" si="5">+IF(L6&lt;=0.02,"CUMPLE","NO CUMPLE")</f>
        <v>CUMPLE</v>
      </c>
      <c r="N6" s="168"/>
    </row>
    <row r="7" spans="1:14">
      <c r="A7" s="79" t="s">
        <v>5</v>
      </c>
      <c r="B7" s="197">
        <f t="shared" si="0"/>
        <v>441</v>
      </c>
      <c r="C7" s="197">
        <v>449</v>
      </c>
      <c r="D7" s="78">
        <f t="shared" si="1"/>
        <v>8</v>
      </c>
      <c r="E7" s="194">
        <f t="shared" si="2"/>
        <v>115</v>
      </c>
      <c r="F7" s="34">
        <v>117</v>
      </c>
      <c r="G7" s="76">
        <f t="shared" si="3"/>
        <v>2</v>
      </c>
      <c r="H7" s="194">
        <v>1213</v>
      </c>
      <c r="I7" s="194">
        <v>1256</v>
      </c>
      <c r="J7" s="205">
        <f t="shared" si="4"/>
        <v>43</v>
      </c>
      <c r="K7" s="88">
        <f t="shared" ref="K7:K17" si="6">+D7+G7+J7</f>
        <v>53</v>
      </c>
      <c r="L7" s="74">
        <f>+K7/'TON  MOV '!D2</f>
        <v>1.9948059768903608E-3</v>
      </c>
      <c r="M7" s="125" t="str">
        <f t="shared" si="5"/>
        <v>CUMPLE</v>
      </c>
      <c r="N7" s="168"/>
    </row>
    <row r="8" spans="1:14">
      <c r="A8" s="79" t="s">
        <v>18</v>
      </c>
      <c r="B8" s="197">
        <f t="shared" si="0"/>
        <v>449</v>
      </c>
      <c r="C8" s="76">
        <v>459</v>
      </c>
      <c r="D8" s="78">
        <f t="shared" si="1"/>
        <v>10</v>
      </c>
      <c r="E8" s="72">
        <f t="shared" si="2"/>
        <v>117</v>
      </c>
      <c r="F8" s="211">
        <v>120</v>
      </c>
      <c r="G8" s="76">
        <f t="shared" si="3"/>
        <v>3</v>
      </c>
      <c r="H8" s="72">
        <v>1256</v>
      </c>
      <c r="I8" s="195">
        <v>1292</v>
      </c>
      <c r="J8" s="205">
        <f t="shared" si="4"/>
        <v>36</v>
      </c>
      <c r="K8" s="88">
        <f>+D8+G8+J8</f>
        <v>49</v>
      </c>
      <c r="L8" s="74">
        <f>+K8/'TON  MOV '!E2</f>
        <v>9.8225919615114771E-4</v>
      </c>
      <c r="M8" s="125" t="str">
        <f t="shared" si="5"/>
        <v>CUMPLE</v>
      </c>
      <c r="N8" s="168"/>
    </row>
    <row r="9" spans="1:14">
      <c r="A9" s="79" t="s">
        <v>19</v>
      </c>
      <c r="B9" s="209">
        <f t="shared" si="0"/>
        <v>459</v>
      </c>
      <c r="C9" s="72">
        <v>464</v>
      </c>
      <c r="D9" s="78">
        <f t="shared" si="1"/>
        <v>5</v>
      </c>
      <c r="E9" s="194">
        <f t="shared" si="2"/>
        <v>120</v>
      </c>
      <c r="F9" s="211">
        <v>124</v>
      </c>
      <c r="G9" s="76">
        <f t="shared" si="3"/>
        <v>4</v>
      </c>
      <c r="H9" s="194">
        <v>1292</v>
      </c>
      <c r="I9" s="72">
        <v>1332</v>
      </c>
      <c r="J9" s="205">
        <f>+I9-H9</f>
        <v>40</v>
      </c>
      <c r="K9" s="88">
        <f t="shared" si="6"/>
        <v>49</v>
      </c>
      <c r="L9" s="199">
        <f>+K9/'TON  MOV '!F2</f>
        <v>1.0481059228679601E-3</v>
      </c>
      <c r="M9" s="169" t="str">
        <f t="shared" si="5"/>
        <v>CUMPLE</v>
      </c>
    </row>
    <row r="10" spans="1:14">
      <c r="A10" s="79" t="s">
        <v>20</v>
      </c>
      <c r="B10" s="197">
        <f t="shared" si="0"/>
        <v>464</v>
      </c>
      <c r="C10" s="72">
        <v>473</v>
      </c>
      <c r="D10" s="78">
        <f t="shared" si="1"/>
        <v>9</v>
      </c>
      <c r="E10" s="194">
        <f t="shared" si="2"/>
        <v>124</v>
      </c>
      <c r="F10" s="211">
        <v>130</v>
      </c>
      <c r="G10" s="76">
        <f t="shared" si="3"/>
        <v>6</v>
      </c>
      <c r="H10" s="194">
        <f t="shared" ref="H10:H11" si="7">+I9</f>
        <v>1332</v>
      </c>
      <c r="I10" s="72">
        <v>1380</v>
      </c>
      <c r="J10" s="205">
        <f t="shared" si="4"/>
        <v>48</v>
      </c>
      <c r="K10" s="88">
        <f>+D10+G10+J10</f>
        <v>63</v>
      </c>
      <c r="L10" s="199">
        <f>+K10/'TON  MOV '!G2</f>
        <v>2.7288084203231254E-3</v>
      </c>
      <c r="M10" s="169" t="str">
        <f>+IF(L10&lt;=0.02,"CUMPLE","NO CUMPLE")</f>
        <v>CUMPLE</v>
      </c>
    </row>
    <row r="11" spans="1:14">
      <c r="A11" s="79" t="s">
        <v>21</v>
      </c>
      <c r="B11" s="197">
        <f t="shared" si="0"/>
        <v>473</v>
      </c>
      <c r="C11" s="72"/>
      <c r="D11" s="78">
        <f t="shared" si="1"/>
        <v>-473</v>
      </c>
      <c r="E11" s="194">
        <f t="shared" si="2"/>
        <v>130</v>
      </c>
      <c r="F11" s="211"/>
      <c r="G11" s="76">
        <f t="shared" si="3"/>
        <v>-130</v>
      </c>
      <c r="H11" s="194">
        <f t="shared" si="7"/>
        <v>1380</v>
      </c>
      <c r="I11" s="72"/>
      <c r="J11" s="205">
        <f t="shared" si="4"/>
        <v>-1380</v>
      </c>
      <c r="K11" s="88">
        <f>+D11+G11+J11</f>
        <v>-1983</v>
      </c>
      <c r="L11" s="74" t="e">
        <f>+K11/'TON  MOV '!H2</f>
        <v>#DIV/0!</v>
      </c>
      <c r="M11" s="169" t="e">
        <f t="shared" si="5"/>
        <v>#DIV/0!</v>
      </c>
    </row>
    <row r="12" spans="1:14">
      <c r="A12" s="79" t="s">
        <v>22</v>
      </c>
      <c r="B12" s="197">
        <f>+C11</f>
        <v>0</v>
      </c>
      <c r="C12" s="72"/>
      <c r="D12" s="78">
        <f t="shared" si="1"/>
        <v>0</v>
      </c>
      <c r="E12" s="194">
        <f>+F11</f>
        <v>0</v>
      </c>
      <c r="F12" s="211"/>
      <c r="G12" s="76">
        <f t="shared" si="3"/>
        <v>0</v>
      </c>
      <c r="H12" s="194">
        <f>+I11</f>
        <v>0</v>
      </c>
      <c r="I12" s="72"/>
      <c r="J12" s="205">
        <f t="shared" si="4"/>
        <v>0</v>
      </c>
      <c r="K12" s="88">
        <f>+D12+G12+J12</f>
        <v>0</v>
      </c>
      <c r="L12" s="74" t="e">
        <f>+K12/'TON  MOV '!I2</f>
        <v>#DIV/0!</v>
      </c>
      <c r="M12" s="169" t="e">
        <f t="shared" si="5"/>
        <v>#DIV/0!</v>
      </c>
    </row>
    <row r="13" spans="1:14">
      <c r="A13" s="79" t="s">
        <v>23</v>
      </c>
      <c r="B13" s="197">
        <f>+C12</f>
        <v>0</v>
      </c>
      <c r="C13" s="76"/>
      <c r="D13" s="78">
        <f>+C13-B13</f>
        <v>0</v>
      </c>
      <c r="E13" s="194">
        <f>+F12</f>
        <v>0</v>
      </c>
      <c r="F13" s="211"/>
      <c r="G13" s="76">
        <f t="shared" si="3"/>
        <v>0</v>
      </c>
      <c r="H13" s="194">
        <f>+I12</f>
        <v>0</v>
      </c>
      <c r="I13" s="72"/>
      <c r="J13" s="205">
        <f t="shared" si="4"/>
        <v>0</v>
      </c>
      <c r="K13" s="88">
        <f>+D13+G13+J13</f>
        <v>0</v>
      </c>
      <c r="L13" s="74" t="e">
        <f>+K13/'TON  MOV '!J2</f>
        <v>#DIV/0!</v>
      </c>
      <c r="M13" s="169" t="e">
        <f t="shared" si="5"/>
        <v>#DIV/0!</v>
      </c>
    </row>
    <row r="14" spans="1:14">
      <c r="A14" s="79" t="s">
        <v>24</v>
      </c>
      <c r="B14" s="209">
        <f>+C13</f>
        <v>0</v>
      </c>
      <c r="C14" s="72"/>
      <c r="D14" s="78">
        <f t="shared" si="1"/>
        <v>0</v>
      </c>
      <c r="E14" s="194">
        <f>+F13</f>
        <v>0</v>
      </c>
      <c r="F14" s="72"/>
      <c r="G14" s="76">
        <f t="shared" si="3"/>
        <v>0</v>
      </c>
      <c r="H14" s="194">
        <f>+I13</f>
        <v>0</v>
      </c>
      <c r="I14" s="72"/>
      <c r="J14" s="205">
        <f t="shared" si="4"/>
        <v>0</v>
      </c>
      <c r="K14" s="88">
        <f t="shared" si="6"/>
        <v>0</v>
      </c>
      <c r="L14" s="74" t="e">
        <f>+K14/'TON  MOV '!K2</f>
        <v>#DIV/0!</v>
      </c>
      <c r="M14" s="169" t="e">
        <f t="shared" si="5"/>
        <v>#DIV/0!</v>
      </c>
    </row>
    <row r="15" spans="1:14">
      <c r="A15" s="79" t="s">
        <v>25</v>
      </c>
      <c r="B15" s="197">
        <f>+C14</f>
        <v>0</v>
      </c>
      <c r="C15" s="72"/>
      <c r="D15" s="78">
        <f t="shared" si="1"/>
        <v>0</v>
      </c>
      <c r="E15" s="194">
        <f>+F14</f>
        <v>0</v>
      </c>
      <c r="F15" s="72"/>
      <c r="G15" s="76">
        <f t="shared" si="3"/>
        <v>0</v>
      </c>
      <c r="H15" s="194">
        <f>+I14</f>
        <v>0</v>
      </c>
      <c r="I15" s="34"/>
      <c r="J15" s="205">
        <f t="shared" si="4"/>
        <v>0</v>
      </c>
      <c r="K15" s="88">
        <f>+D15+G15+J15</f>
        <v>0</v>
      </c>
      <c r="L15" s="74" t="e">
        <f>+K15/'TON  MOV '!L2</f>
        <v>#DIV/0!</v>
      </c>
      <c r="M15" s="125" t="e">
        <f t="shared" si="5"/>
        <v>#DIV/0!</v>
      </c>
    </row>
    <row r="16" spans="1:14">
      <c r="A16" s="79" t="s">
        <v>26</v>
      </c>
      <c r="B16" s="197">
        <f>+C15</f>
        <v>0</v>
      </c>
      <c r="C16" s="72"/>
      <c r="D16" s="78">
        <f t="shared" si="1"/>
        <v>0</v>
      </c>
      <c r="E16" s="194">
        <f>+F15</f>
        <v>0</v>
      </c>
      <c r="F16" s="72"/>
      <c r="G16" s="76">
        <f t="shared" si="3"/>
        <v>0</v>
      </c>
      <c r="H16" s="194">
        <f>+I15</f>
        <v>0</v>
      </c>
      <c r="I16" s="72"/>
      <c r="J16" s="205">
        <f>+I16-H16</f>
        <v>0</v>
      </c>
      <c r="K16" s="88">
        <f t="shared" si="6"/>
        <v>0</v>
      </c>
      <c r="L16" s="74" t="e">
        <f>+K16/'TON  MOV '!M2</f>
        <v>#DIV/0!</v>
      </c>
      <c r="M16" s="125" t="e">
        <f t="shared" si="5"/>
        <v>#DIV/0!</v>
      </c>
    </row>
    <row r="17" spans="1:13" ht="17.25" hidden="1" thickBot="1">
      <c r="A17" s="81" t="s">
        <v>165</v>
      </c>
      <c r="B17" s="82"/>
      <c r="C17" s="83"/>
      <c r="D17" s="78">
        <f>+C17-B17</f>
        <v>0</v>
      </c>
      <c r="E17" s="84"/>
      <c r="F17" s="83"/>
      <c r="G17" s="87">
        <f>SUM(G5:G16)</f>
        <v>-107</v>
      </c>
      <c r="H17" s="83"/>
      <c r="I17" s="83"/>
      <c r="J17" s="83">
        <f>SUM(J5:J16)</f>
        <v>-1138</v>
      </c>
      <c r="K17" s="170">
        <f t="shared" si="6"/>
        <v>-1245</v>
      </c>
      <c r="L17" s="89">
        <f>+K17/'RESPEL '!O38</f>
        <v>-7.0407401542742099E-3</v>
      </c>
      <c r="M17" s="134" t="str">
        <f>+IF(L17&lt;=0.02,"CUMPLE","NO CUMPLE")</f>
        <v>CUMPLE</v>
      </c>
    </row>
    <row r="18" spans="1:13">
      <c r="K18" s="216"/>
    </row>
  </sheetData>
  <mergeCells count="10">
    <mergeCell ref="A3:A4"/>
    <mergeCell ref="B3:D3"/>
    <mergeCell ref="E3:G3"/>
    <mergeCell ref="H3:J3"/>
    <mergeCell ref="A1:C2"/>
    <mergeCell ref="K3:K4"/>
    <mergeCell ref="L3:L4"/>
    <mergeCell ref="M3:M4"/>
    <mergeCell ref="L1:M2"/>
    <mergeCell ref="D1:K2"/>
  </mergeCells>
  <conditionalFormatting sqref="M5:M16">
    <cfRule type="containsText" dxfId="253" priority="3" operator="containsText" text="NO CUMPLE">
      <formula>NOT(ISERROR(SEARCH("NO CUMPLE",M5)))</formula>
    </cfRule>
    <cfRule type="containsText" dxfId="252" priority="4" operator="containsText" text="CUMPLE">
      <formula>NOT(ISERROR(SEARCH("CUMPLE",M5)))</formula>
    </cfRule>
  </conditionalFormatting>
  <conditionalFormatting sqref="M17">
    <cfRule type="containsText" dxfId="251" priority="1" operator="containsText" text="NO CUMPLE">
      <formula>NOT(ISERROR(SEARCH("NO CUMPLE",M17)))</formula>
    </cfRule>
    <cfRule type="containsText" dxfId="250" priority="2" operator="containsText" text="CUMPLE">
      <formula>NOT(ISERROR(SEARCH("CUMPLE",M17)))</formula>
    </cfRule>
  </conditionalFormatting>
  <pageMargins left="0.7" right="0.7" top="0.75" bottom="0.75" header="0.3" footer="0.3"/>
  <pageSetup scale="4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I18"/>
  <sheetViews>
    <sheetView showGridLines="0" zoomScale="115" zoomScaleNormal="115" zoomScaleSheetLayoutView="100" workbookViewId="0">
      <selection activeCell="D5" sqref="D5"/>
    </sheetView>
  </sheetViews>
  <sheetFormatPr baseColWidth="10" defaultRowHeight="16.5"/>
  <cols>
    <col min="1" max="1" width="17.5703125" style="64" customWidth="1"/>
    <col min="2" max="2" width="21.7109375" style="64" customWidth="1"/>
    <col min="3" max="3" width="22.5703125" style="64" customWidth="1"/>
    <col min="4" max="4" width="19.28515625" style="64" customWidth="1"/>
    <col min="5" max="5" width="22.140625" style="64" customWidth="1"/>
    <col min="6" max="6" width="15.5703125" style="64" customWidth="1"/>
    <col min="7" max="7" width="18.5703125" style="64" customWidth="1"/>
    <col min="8" max="16384" width="11.42578125" style="64"/>
  </cols>
  <sheetData>
    <row r="1" spans="1:9" ht="27" customHeight="1">
      <c r="A1" s="313"/>
      <c r="B1" s="315" t="s">
        <v>218</v>
      </c>
      <c r="C1" s="316"/>
      <c r="D1" s="316"/>
      <c r="E1" s="317"/>
      <c r="F1" s="321" t="s">
        <v>225</v>
      </c>
      <c r="G1" s="322"/>
    </row>
    <row r="2" spans="1:9" ht="33" customHeight="1">
      <c r="A2" s="314"/>
      <c r="B2" s="318"/>
      <c r="C2" s="319"/>
      <c r="D2" s="319"/>
      <c r="E2" s="320"/>
      <c r="F2" s="323"/>
      <c r="G2" s="324"/>
    </row>
    <row r="3" spans="1:9">
      <c r="A3" s="308" t="s">
        <v>153</v>
      </c>
      <c r="B3" s="310"/>
      <c r="C3" s="310"/>
      <c r="D3" s="94"/>
      <c r="E3" s="311" t="s">
        <v>217</v>
      </c>
      <c r="F3" s="310" t="s">
        <v>178</v>
      </c>
      <c r="G3" s="312"/>
    </row>
    <row r="4" spans="1:9" ht="55.5" customHeight="1">
      <c r="A4" s="309"/>
      <c r="B4" s="98" t="s">
        <v>345</v>
      </c>
      <c r="C4" s="98" t="s">
        <v>346</v>
      </c>
      <c r="D4" s="98" t="s">
        <v>351</v>
      </c>
      <c r="E4" s="285"/>
      <c r="F4" s="98" t="s">
        <v>179</v>
      </c>
      <c r="G4" s="97" t="s">
        <v>178</v>
      </c>
      <c r="H4" s="174"/>
      <c r="I4" s="176" t="s">
        <v>219</v>
      </c>
    </row>
    <row r="5" spans="1:9">
      <c r="A5" s="79" t="s">
        <v>14</v>
      </c>
      <c r="B5" s="74">
        <v>14</v>
      </c>
      <c r="C5" s="74">
        <v>10</v>
      </c>
      <c r="D5" s="129">
        <f>+C5/'TON  MOV '!B2</f>
        <v>9.9950024987506244E-4</v>
      </c>
      <c r="E5" s="74" t="str">
        <f>+IF(C5&lt;=25.8,"CUMPLE","NO CUMPLE")</f>
        <v>CUMPLE</v>
      </c>
      <c r="F5" s="74">
        <f>+C5-B5</f>
        <v>-4</v>
      </c>
      <c r="G5" s="80">
        <f>+(F5/B5)*100</f>
        <v>-28.571428571428569</v>
      </c>
      <c r="H5" s="174"/>
      <c r="I5" s="174">
        <v>25.8</v>
      </c>
    </row>
    <row r="6" spans="1:9">
      <c r="A6" s="79" t="s">
        <v>4</v>
      </c>
      <c r="B6" s="74">
        <v>14.6</v>
      </c>
      <c r="C6" s="74">
        <v>15</v>
      </c>
      <c r="D6" s="129">
        <f>+C6/'TON  MOV '!C2</f>
        <v>7.3060250353124546E-4</v>
      </c>
      <c r="E6" s="74" t="str">
        <f t="shared" ref="E6:E15" si="0">+IF(C6&lt;=25.8,"CUMPLE","NO CUMPLE")</f>
        <v>CUMPLE</v>
      </c>
      <c r="F6" s="74">
        <f>+C6-B6</f>
        <v>0.40000000000000036</v>
      </c>
      <c r="G6" s="80">
        <f t="shared" ref="G6:G17" si="1">+((F6*100)/C6)</f>
        <v>2.6666666666666692</v>
      </c>
      <c r="H6" s="174"/>
      <c r="I6" s="174">
        <v>25.8</v>
      </c>
    </row>
    <row r="7" spans="1:9">
      <c r="A7" s="79" t="s">
        <v>5</v>
      </c>
      <c r="B7" s="74">
        <v>10.7</v>
      </c>
      <c r="C7" s="74">
        <v>10</v>
      </c>
      <c r="D7" s="129">
        <f>+C7/'TON  MOV '!D2</f>
        <v>3.7637848620572848E-4</v>
      </c>
      <c r="E7" s="74" t="str">
        <f t="shared" si="0"/>
        <v>CUMPLE</v>
      </c>
      <c r="F7" s="74">
        <f>+C7-B7</f>
        <v>-0.69999999999999929</v>
      </c>
      <c r="G7" s="80">
        <f t="shared" si="1"/>
        <v>-6.9999999999999929</v>
      </c>
      <c r="H7" s="174"/>
      <c r="I7" s="174">
        <v>25.8</v>
      </c>
    </row>
    <row r="8" spans="1:9">
      <c r="A8" s="79" t="s">
        <v>18</v>
      </c>
      <c r="B8" s="74">
        <v>10.9</v>
      </c>
      <c r="C8" s="74">
        <v>6</v>
      </c>
      <c r="D8" s="129">
        <f>+C8/'TON  MOV '!E2</f>
        <v>1.2027663626340584E-4</v>
      </c>
      <c r="E8" s="74" t="str">
        <f t="shared" si="0"/>
        <v>CUMPLE</v>
      </c>
      <c r="F8" s="74">
        <f>+C8-B8</f>
        <v>-4.9000000000000004</v>
      </c>
      <c r="G8" s="80">
        <f t="shared" si="1"/>
        <v>-81.666666666666671</v>
      </c>
      <c r="H8" s="174"/>
      <c r="I8" s="174">
        <v>25.8</v>
      </c>
    </row>
    <row r="9" spans="1:9">
      <c r="A9" s="79" t="s">
        <v>19</v>
      </c>
      <c r="B9" s="74">
        <v>7.1</v>
      </c>
      <c r="C9" s="74">
        <v>7</v>
      </c>
      <c r="D9" s="129">
        <f>+C9/'TON  MOV '!F2</f>
        <v>1.4972941755256571E-4</v>
      </c>
      <c r="E9" s="74" t="str">
        <f t="shared" si="0"/>
        <v>CUMPLE</v>
      </c>
      <c r="F9" s="74">
        <f t="shared" ref="F9:F15" si="2">+C9-B9</f>
        <v>-9.9999999999999645E-2</v>
      </c>
      <c r="G9" s="80">
        <f t="shared" si="1"/>
        <v>-1.4285714285714235</v>
      </c>
      <c r="H9" s="174"/>
      <c r="I9" s="174">
        <v>25.8</v>
      </c>
    </row>
    <row r="10" spans="1:9">
      <c r="A10" s="79" t="s">
        <v>20</v>
      </c>
      <c r="B10" s="74">
        <v>6.1</v>
      </c>
      <c r="C10" s="74">
        <v>4</v>
      </c>
      <c r="D10" s="129">
        <f>+C10/'TON  MOV '!G2</f>
        <v>1.7325767748083338E-4</v>
      </c>
      <c r="E10" s="74" t="str">
        <f t="shared" si="0"/>
        <v>CUMPLE</v>
      </c>
      <c r="F10" s="74">
        <f t="shared" si="2"/>
        <v>-2.0999999999999996</v>
      </c>
      <c r="G10" s="80">
        <f t="shared" si="1"/>
        <v>-52.499999999999993</v>
      </c>
      <c r="H10" s="174"/>
      <c r="I10" s="174">
        <v>25.8</v>
      </c>
    </row>
    <row r="11" spans="1:9">
      <c r="A11" s="79" t="s">
        <v>21</v>
      </c>
      <c r="B11" s="74">
        <v>8.8000000000000007</v>
      </c>
      <c r="C11" s="74"/>
      <c r="D11" s="129" t="e">
        <f>+C11/'TON  MOV '!H2</f>
        <v>#DIV/0!</v>
      </c>
      <c r="E11" s="74" t="str">
        <f t="shared" si="0"/>
        <v>CUMPLE</v>
      </c>
      <c r="F11" s="74">
        <f t="shared" si="2"/>
        <v>-8.8000000000000007</v>
      </c>
      <c r="G11" s="80" t="e">
        <f t="shared" si="1"/>
        <v>#DIV/0!</v>
      </c>
      <c r="H11" s="174"/>
      <c r="I11" s="174">
        <v>25.8</v>
      </c>
    </row>
    <row r="12" spans="1:9">
      <c r="A12" s="79" t="s">
        <v>22</v>
      </c>
      <c r="B12" s="74">
        <v>9</v>
      </c>
      <c r="C12" s="74"/>
      <c r="D12" s="129" t="e">
        <f>+C12/'TON  MOV '!I2</f>
        <v>#DIV/0!</v>
      </c>
      <c r="E12" s="74" t="str">
        <f t="shared" si="0"/>
        <v>CUMPLE</v>
      </c>
      <c r="F12" s="74">
        <f t="shared" si="2"/>
        <v>-9</v>
      </c>
      <c r="G12" s="80" t="e">
        <f t="shared" si="1"/>
        <v>#DIV/0!</v>
      </c>
      <c r="H12" s="174"/>
      <c r="I12" s="174">
        <v>25.8</v>
      </c>
    </row>
    <row r="13" spans="1:9">
      <c r="A13" s="79" t="s">
        <v>23</v>
      </c>
      <c r="B13" s="74">
        <v>10</v>
      </c>
      <c r="C13" s="74"/>
      <c r="D13" s="129" t="e">
        <f>+C13/'TON  MOV '!J2</f>
        <v>#DIV/0!</v>
      </c>
      <c r="E13" s="74" t="str">
        <f t="shared" si="0"/>
        <v>CUMPLE</v>
      </c>
      <c r="F13" s="74">
        <f t="shared" si="2"/>
        <v>-10</v>
      </c>
      <c r="G13" s="80" t="e">
        <f t="shared" si="1"/>
        <v>#DIV/0!</v>
      </c>
      <c r="H13" s="174"/>
      <c r="I13" s="174">
        <v>25.8</v>
      </c>
    </row>
    <row r="14" spans="1:9">
      <c r="A14" s="79" t="s">
        <v>24</v>
      </c>
      <c r="B14" s="74">
        <v>9</v>
      </c>
      <c r="C14" s="74"/>
      <c r="D14" s="129" t="e">
        <f>+C14/'TON  MOV '!K2</f>
        <v>#DIV/0!</v>
      </c>
      <c r="E14" s="74" t="str">
        <f t="shared" si="0"/>
        <v>CUMPLE</v>
      </c>
      <c r="F14" s="74">
        <f t="shared" si="2"/>
        <v>-9</v>
      </c>
      <c r="G14" s="80" t="e">
        <f t="shared" si="1"/>
        <v>#DIV/0!</v>
      </c>
      <c r="H14" s="174"/>
      <c r="I14" s="174">
        <v>25.8</v>
      </c>
    </row>
    <row r="15" spans="1:9">
      <c r="A15" s="79" t="s">
        <v>25</v>
      </c>
      <c r="B15" s="74">
        <v>7</v>
      </c>
      <c r="C15" s="74"/>
      <c r="D15" s="129" t="e">
        <f>+C15/'TON  MOV '!L2</f>
        <v>#DIV/0!</v>
      </c>
      <c r="E15" s="74" t="str">
        <f t="shared" si="0"/>
        <v>CUMPLE</v>
      </c>
      <c r="F15" s="74">
        <f t="shared" si="2"/>
        <v>-7</v>
      </c>
      <c r="G15" s="80" t="e">
        <f t="shared" si="1"/>
        <v>#DIV/0!</v>
      </c>
      <c r="H15" s="174"/>
      <c r="I15" s="174">
        <v>25.8</v>
      </c>
    </row>
    <row r="16" spans="1:9">
      <c r="A16" s="79" t="s">
        <v>26</v>
      </c>
      <c r="B16" s="74">
        <v>10</v>
      </c>
      <c r="C16" s="74"/>
      <c r="D16" s="129" t="e">
        <f>+C16/'TON  MOV '!M2</f>
        <v>#DIV/0!</v>
      </c>
      <c r="E16" s="74" t="str">
        <f>+IF(C16&lt;=25.8,"CUMPLE","NO CUMPLE")</f>
        <v>CUMPLE</v>
      </c>
      <c r="F16" s="74">
        <f>+C16-B16</f>
        <v>-10</v>
      </c>
      <c r="G16" s="80" t="e">
        <f>+((F16*100)/C16)</f>
        <v>#DIV/0!</v>
      </c>
      <c r="H16" s="174"/>
      <c r="I16" s="174">
        <v>25.8</v>
      </c>
    </row>
    <row r="17" spans="1:9" ht="17.25" hidden="1" thickBot="1">
      <c r="A17" s="81" t="s">
        <v>165</v>
      </c>
      <c r="B17" s="83">
        <f>SUM(B5:B16)</f>
        <v>117.2</v>
      </c>
      <c r="C17" s="84">
        <f>SUM(C5:C16)</f>
        <v>52</v>
      </c>
      <c r="D17" s="178">
        <f>+C17/'RESPEL '!O38</f>
        <v>2.9407107471667384E-4</v>
      </c>
      <c r="E17" s="74" t="s">
        <v>333</v>
      </c>
      <c r="F17" s="74">
        <f>+C17-B17</f>
        <v>-65.2</v>
      </c>
      <c r="G17" s="85">
        <f t="shared" si="1"/>
        <v>-125.38461538461539</v>
      </c>
      <c r="H17" s="174"/>
      <c r="I17" s="174"/>
    </row>
    <row r="18" spans="1:9">
      <c r="H18" s="174"/>
      <c r="I18" s="174"/>
    </row>
  </sheetData>
  <mergeCells count="7">
    <mergeCell ref="A3:A4"/>
    <mergeCell ref="B3:C3"/>
    <mergeCell ref="E3:E4"/>
    <mergeCell ref="F3:G3"/>
    <mergeCell ref="A1:A2"/>
    <mergeCell ref="B1:E2"/>
    <mergeCell ref="F1:G2"/>
  </mergeCells>
  <conditionalFormatting sqref="E5:E17">
    <cfRule type="containsText" dxfId="249" priority="5" operator="containsText" text="NO CUMPLE">
      <formula>NOT(ISERROR(SEARCH("NO CUMPLE",E5)))</formula>
    </cfRule>
    <cfRule type="containsText" dxfId="248" priority="6" operator="containsText" text="CUMPLE">
      <formula>NOT(ISERROR(SEARCH("CUMPLE",E5)))</formula>
    </cfRule>
    <cfRule type="containsText" dxfId="247" priority="7" operator="containsText" text="NO CUMPLE">
      <formula>NOT(ISERROR(SEARCH("NO CUMPLE",E5)))</formula>
    </cfRule>
    <cfRule type="containsText" dxfId="246" priority="8" operator="containsText" text="CUMPLE">
      <formula>NOT(ISERROR(SEARCH("CUMPLE",E5)))</formula>
    </cfRule>
  </conditionalFormatting>
  <pageMargins left="0.7" right="0.7" top="0.75" bottom="0.75" header="0.3" footer="0.3"/>
  <pageSetup scale="6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/>
  <dimension ref="A1:J18"/>
  <sheetViews>
    <sheetView showGridLines="0" zoomScale="90" zoomScaleNormal="90" zoomScaleSheetLayoutView="100" workbookViewId="0">
      <selection activeCell="E12" sqref="E12"/>
    </sheetView>
  </sheetViews>
  <sheetFormatPr baseColWidth="10" defaultRowHeight="16.5"/>
  <cols>
    <col min="1" max="1" width="14.85546875" style="64" customWidth="1"/>
    <col min="2" max="3" width="11.42578125" style="64"/>
    <col min="4" max="4" width="13.85546875" style="64" customWidth="1"/>
    <col min="5" max="6" width="11.42578125" style="64"/>
    <col min="7" max="7" width="14.28515625" style="64" customWidth="1"/>
    <col min="8" max="8" width="15" style="64" customWidth="1"/>
    <col min="9" max="9" width="15.5703125" style="64" customWidth="1"/>
    <col min="10" max="10" width="18.5703125" style="64" customWidth="1"/>
    <col min="11" max="16384" width="11.42578125" style="64"/>
  </cols>
  <sheetData>
    <row r="1" spans="1:10" ht="33.75" customHeight="1">
      <c r="A1" s="250"/>
      <c r="B1" s="251"/>
      <c r="C1" s="251"/>
      <c r="D1" s="315" t="s">
        <v>180</v>
      </c>
      <c r="E1" s="316"/>
      <c r="F1" s="316"/>
      <c r="G1" s="316"/>
      <c r="H1" s="316"/>
      <c r="I1" s="289" t="s">
        <v>224</v>
      </c>
      <c r="J1" s="290"/>
    </row>
    <row r="2" spans="1:10" ht="33" customHeight="1" thickBot="1">
      <c r="A2" s="252"/>
      <c r="B2" s="253"/>
      <c r="C2" s="253"/>
      <c r="D2" s="318"/>
      <c r="E2" s="319"/>
      <c r="F2" s="319"/>
      <c r="G2" s="319"/>
      <c r="H2" s="319"/>
      <c r="I2" s="291"/>
      <c r="J2" s="292"/>
    </row>
    <row r="3" spans="1:10">
      <c r="A3" s="308" t="s">
        <v>153</v>
      </c>
      <c r="B3" s="310" t="s">
        <v>338</v>
      </c>
      <c r="C3" s="310"/>
      <c r="D3" s="310"/>
      <c r="E3" s="325" t="s">
        <v>344</v>
      </c>
      <c r="F3" s="326"/>
      <c r="G3" s="327"/>
      <c r="H3" s="311" t="s">
        <v>326</v>
      </c>
      <c r="I3" s="310" t="s">
        <v>178</v>
      </c>
      <c r="J3" s="312"/>
    </row>
    <row r="4" spans="1:10" ht="33">
      <c r="A4" s="309"/>
      <c r="B4" s="95" t="s">
        <v>173</v>
      </c>
      <c r="C4" s="95" t="s">
        <v>174</v>
      </c>
      <c r="D4" s="95" t="s">
        <v>175</v>
      </c>
      <c r="E4" s="95" t="s">
        <v>177</v>
      </c>
      <c r="F4" s="95" t="s">
        <v>174</v>
      </c>
      <c r="G4" s="95" t="s">
        <v>175</v>
      </c>
      <c r="H4" s="285"/>
      <c r="I4" s="96" t="s">
        <v>179</v>
      </c>
      <c r="J4" s="97" t="s">
        <v>178</v>
      </c>
    </row>
    <row r="5" spans="1:10">
      <c r="A5" s="79" t="s">
        <v>14</v>
      </c>
      <c r="B5" s="75">
        <v>39344</v>
      </c>
      <c r="C5" s="204">
        <v>15400</v>
      </c>
      <c r="D5" s="74">
        <f>C5/B5</f>
        <v>0.39141927612850752</v>
      </c>
      <c r="E5" s="76">
        <f>+'TON  MOV '!B2</f>
        <v>10005</v>
      </c>
      <c r="F5" s="72">
        <v>15400</v>
      </c>
      <c r="G5" s="74">
        <f>F5/E5</f>
        <v>1.5392303848075961</v>
      </c>
      <c r="H5" s="74" t="str">
        <f>+IF(G5&lt;=1.8,"CUMPLE","NO CUMPLE")</f>
        <v>CUMPLE</v>
      </c>
      <c r="I5" s="74">
        <f t="shared" ref="I5:I17" si="0">+G5-D5</f>
        <v>1.1478111086790885</v>
      </c>
      <c r="J5" s="80">
        <f>+((I5*100)/D5)</f>
        <v>293.24337831084455</v>
      </c>
    </row>
    <row r="6" spans="1:10">
      <c r="A6" s="79" t="s">
        <v>4</v>
      </c>
      <c r="B6" s="75">
        <v>30364</v>
      </c>
      <c r="C6" s="204">
        <v>15400</v>
      </c>
      <c r="D6" s="74">
        <f t="shared" ref="D6:D15" si="1">C6/B6</f>
        <v>0.5071795547358714</v>
      </c>
      <c r="E6" s="76">
        <f>+'TON  MOV '!C2</f>
        <v>20531</v>
      </c>
      <c r="F6" s="72">
        <v>15400</v>
      </c>
      <c r="G6" s="74">
        <f t="shared" ref="G6:G14" si="2">F6/E6</f>
        <v>0.75008523695874529</v>
      </c>
      <c r="H6" s="74" t="str">
        <f t="shared" ref="H6:H16" si="3">+IF(G6&lt;=1.8,"CUMPLE","NO CUMPLE")</f>
        <v>CUMPLE</v>
      </c>
      <c r="I6" s="74">
        <f t="shared" si="0"/>
        <v>0.2429056822228739</v>
      </c>
      <c r="J6" s="80">
        <f t="shared" ref="J6:J17" si="4">+((I6*100)/D6)</f>
        <v>47.893429448151579</v>
      </c>
    </row>
    <row r="7" spans="1:10">
      <c r="A7" s="79" t="s">
        <v>5</v>
      </c>
      <c r="B7" s="75">
        <v>16913</v>
      </c>
      <c r="C7" s="204">
        <v>19800</v>
      </c>
      <c r="D7" s="74">
        <f t="shared" si="1"/>
        <v>1.1706970969077042</v>
      </c>
      <c r="E7" s="76">
        <f>+'TON  MOV '!D2</f>
        <v>26569</v>
      </c>
      <c r="F7" s="72">
        <v>19800</v>
      </c>
      <c r="G7" s="74">
        <f t="shared" si="2"/>
        <v>0.74522940268734239</v>
      </c>
      <c r="H7" s="74" t="str">
        <f t="shared" si="3"/>
        <v>CUMPLE</v>
      </c>
      <c r="I7" s="74">
        <f t="shared" si="0"/>
        <v>-0.42546769422036179</v>
      </c>
      <c r="J7" s="80">
        <f t="shared" si="4"/>
        <v>-36.343106628025147</v>
      </c>
    </row>
    <row r="8" spans="1:10">
      <c r="A8" s="79" t="s">
        <v>18</v>
      </c>
      <c r="B8" s="75">
        <v>49992</v>
      </c>
      <c r="C8" s="204">
        <v>22000</v>
      </c>
      <c r="D8" s="74">
        <f t="shared" si="1"/>
        <v>0.44007041126580254</v>
      </c>
      <c r="E8" s="72">
        <f>+'TON  MOV '!E2</f>
        <v>49885</v>
      </c>
      <c r="F8" s="72">
        <v>22000</v>
      </c>
      <c r="G8" s="74">
        <f t="shared" si="2"/>
        <v>0.44101433296582138</v>
      </c>
      <c r="H8" s="74" t="str">
        <f t="shared" si="3"/>
        <v>CUMPLE</v>
      </c>
      <c r="I8" s="74">
        <f t="shared" si="0"/>
        <v>9.4392170001883491E-4</v>
      </c>
      <c r="J8" s="80">
        <f t="shared" si="4"/>
        <v>0.21449333466973453</v>
      </c>
    </row>
    <row r="9" spans="1:10">
      <c r="A9" s="79" t="s">
        <v>19</v>
      </c>
      <c r="B9" s="75">
        <v>25073</v>
      </c>
      <c r="C9" s="204">
        <v>30800</v>
      </c>
      <c r="D9" s="74">
        <f t="shared" si="1"/>
        <v>1.2284130339408925</v>
      </c>
      <c r="E9" s="72">
        <f>+'TON  MOV '!F2</f>
        <v>46751</v>
      </c>
      <c r="F9" s="72">
        <v>30800</v>
      </c>
      <c r="G9" s="74">
        <f t="shared" si="2"/>
        <v>0.65880943723128915</v>
      </c>
      <c r="H9" s="74" t="str">
        <f t="shared" si="3"/>
        <v>CUMPLE</v>
      </c>
      <c r="I9" s="74">
        <f t="shared" si="0"/>
        <v>-0.56960359670960337</v>
      </c>
      <c r="J9" s="80">
        <f t="shared" si="4"/>
        <v>-46.36906162435028</v>
      </c>
    </row>
    <row r="10" spans="1:10">
      <c r="A10" s="79" t="s">
        <v>20</v>
      </c>
      <c r="B10" s="75">
        <v>30744</v>
      </c>
      <c r="C10" s="225">
        <v>19800</v>
      </c>
      <c r="D10" s="74">
        <f t="shared" si="1"/>
        <v>0.64402810304449654</v>
      </c>
      <c r="E10" s="76">
        <f>+'TON  MOV '!G2</f>
        <v>23087</v>
      </c>
      <c r="F10" s="72">
        <v>33000</v>
      </c>
      <c r="G10" s="74">
        <f t="shared" si="2"/>
        <v>1.4293758392168754</v>
      </c>
      <c r="H10" s="74" t="str">
        <f t="shared" si="3"/>
        <v>CUMPLE</v>
      </c>
      <c r="I10" s="74">
        <f t="shared" si="0"/>
        <v>0.78534773617237885</v>
      </c>
      <c r="J10" s="80">
        <f t="shared" si="4"/>
        <v>121.94308485294755</v>
      </c>
    </row>
    <row r="11" spans="1:10">
      <c r="A11" s="79" t="s">
        <v>21</v>
      </c>
      <c r="B11" s="75">
        <v>48048</v>
      </c>
      <c r="C11" s="225">
        <v>22000</v>
      </c>
      <c r="D11" s="74">
        <f t="shared" si="1"/>
        <v>0.45787545787545786</v>
      </c>
      <c r="E11" s="72">
        <f>+'TON  MOV '!H2</f>
        <v>0</v>
      </c>
      <c r="F11" s="72"/>
      <c r="G11" s="74" t="e">
        <f t="shared" si="2"/>
        <v>#DIV/0!</v>
      </c>
      <c r="H11" s="74" t="e">
        <f>+IF(G11&lt;=1.8,"CUMPLE","NO CUMPLE")</f>
        <v>#DIV/0!</v>
      </c>
      <c r="I11" s="74" t="e">
        <f t="shared" si="0"/>
        <v>#DIV/0!</v>
      </c>
      <c r="J11" s="80" t="e">
        <f t="shared" si="4"/>
        <v>#DIV/0!</v>
      </c>
    </row>
    <row r="12" spans="1:10">
      <c r="A12" s="79" t="s">
        <v>22</v>
      </c>
      <c r="B12" s="75">
        <v>19802</v>
      </c>
      <c r="C12" s="225">
        <v>19800</v>
      </c>
      <c r="D12" s="74">
        <f t="shared" si="1"/>
        <v>0.99989900010099986</v>
      </c>
      <c r="E12" s="72">
        <f>+'TON  MOV '!I2</f>
        <v>0</v>
      </c>
      <c r="F12" s="72"/>
      <c r="G12" s="74" t="e">
        <f t="shared" si="2"/>
        <v>#DIV/0!</v>
      </c>
      <c r="H12" s="74" t="e">
        <f t="shared" si="3"/>
        <v>#DIV/0!</v>
      </c>
      <c r="I12" s="74" t="e">
        <f t="shared" si="0"/>
        <v>#DIV/0!</v>
      </c>
      <c r="J12" s="80" t="e">
        <f t="shared" si="4"/>
        <v>#DIV/0!</v>
      </c>
    </row>
    <row r="13" spans="1:10">
      <c r="A13" s="79" t="s">
        <v>23</v>
      </c>
      <c r="B13" s="75">
        <v>24843</v>
      </c>
      <c r="C13" s="225">
        <v>24200</v>
      </c>
      <c r="D13" s="74">
        <f t="shared" si="1"/>
        <v>0.9741174576339412</v>
      </c>
      <c r="E13" s="72">
        <f>+'TON  MOV '!J2</f>
        <v>0</v>
      </c>
      <c r="F13" s="72"/>
      <c r="G13" s="74" t="e">
        <f t="shared" si="2"/>
        <v>#DIV/0!</v>
      </c>
      <c r="H13" s="74" t="e">
        <f t="shared" si="3"/>
        <v>#DIV/0!</v>
      </c>
      <c r="I13" s="74" t="e">
        <f t="shared" si="0"/>
        <v>#DIV/0!</v>
      </c>
      <c r="J13" s="80" t="e">
        <f t="shared" si="4"/>
        <v>#DIV/0!</v>
      </c>
    </row>
    <row r="14" spans="1:10">
      <c r="A14" s="79" t="s">
        <v>24</v>
      </c>
      <c r="B14" s="75">
        <v>19737</v>
      </c>
      <c r="C14" s="225">
        <v>30800</v>
      </c>
      <c r="D14" s="74">
        <f t="shared" si="1"/>
        <v>1.5605208491665401</v>
      </c>
      <c r="E14" s="72">
        <f>+'TON  MOV '!K2</f>
        <v>0</v>
      </c>
      <c r="F14" s="72"/>
      <c r="G14" s="74" t="e">
        <f t="shared" si="2"/>
        <v>#DIV/0!</v>
      </c>
      <c r="H14" s="74" t="e">
        <f t="shared" si="3"/>
        <v>#DIV/0!</v>
      </c>
      <c r="I14" s="74" t="e">
        <f t="shared" si="0"/>
        <v>#DIV/0!</v>
      </c>
      <c r="J14" s="80" t="e">
        <f t="shared" si="4"/>
        <v>#DIV/0!</v>
      </c>
    </row>
    <row r="15" spans="1:10">
      <c r="A15" s="79" t="s">
        <v>25</v>
      </c>
      <c r="B15" s="75">
        <v>4968</v>
      </c>
      <c r="C15" s="225">
        <v>33000</v>
      </c>
      <c r="D15" s="74">
        <f t="shared" si="1"/>
        <v>6.6425120772946862</v>
      </c>
      <c r="E15" s="76">
        <f>+'TON  MOV '!L2</f>
        <v>0</v>
      </c>
      <c r="F15" s="72"/>
      <c r="G15" s="74" t="e">
        <f>F15/E15</f>
        <v>#DIV/0!</v>
      </c>
      <c r="H15" s="74" t="e">
        <f t="shared" si="3"/>
        <v>#DIV/0!</v>
      </c>
      <c r="I15" s="74" t="e">
        <f t="shared" si="0"/>
        <v>#DIV/0!</v>
      </c>
      <c r="J15" s="80" t="e">
        <f t="shared" si="4"/>
        <v>#DIV/0!</v>
      </c>
    </row>
    <row r="16" spans="1:10">
      <c r="A16" s="79" t="s">
        <v>26</v>
      </c>
      <c r="B16" s="75">
        <v>11201</v>
      </c>
      <c r="C16" s="225">
        <v>26400</v>
      </c>
      <c r="D16" s="74">
        <f>C16/B16</f>
        <v>2.3569324167485046</v>
      </c>
      <c r="E16" s="72">
        <f>+'TON  MOV '!M2</f>
        <v>0</v>
      </c>
      <c r="F16" s="72"/>
      <c r="G16" s="74" t="e">
        <f>F16/E16</f>
        <v>#DIV/0!</v>
      </c>
      <c r="H16" s="74" t="e">
        <f t="shared" si="3"/>
        <v>#DIV/0!</v>
      </c>
      <c r="I16" s="74" t="e">
        <f t="shared" si="0"/>
        <v>#DIV/0!</v>
      </c>
      <c r="J16" s="80" t="e">
        <f t="shared" si="4"/>
        <v>#DIV/0!</v>
      </c>
    </row>
    <row r="17" spans="1:10" ht="17.25" hidden="1" thickBot="1">
      <c r="A17" s="81" t="s">
        <v>165</v>
      </c>
      <c r="B17" s="82">
        <f>SUM(B5:B16)</f>
        <v>321029</v>
      </c>
      <c r="C17" s="225">
        <v>28600</v>
      </c>
      <c r="D17" s="84">
        <f>+C17/B17</f>
        <v>8.9088524712720663E-2</v>
      </c>
      <c r="E17" s="83">
        <f>SUM(E5:E16)</f>
        <v>176828</v>
      </c>
      <c r="F17" s="83">
        <f>SUM(F5:F16)</f>
        <v>136400</v>
      </c>
      <c r="G17" s="84">
        <f>+F17/E17</f>
        <v>0.77137104983373672</v>
      </c>
      <c r="H17" s="84" t="str">
        <f>+IF(G17&lt;=1.2,"CUMPLE","NO CUMPLE")</f>
        <v>CUMPLE</v>
      </c>
      <c r="I17" s="84">
        <f t="shared" si="0"/>
        <v>0.68228252512101606</v>
      </c>
      <c r="J17" s="85">
        <f t="shared" si="4"/>
        <v>765.8478208289323</v>
      </c>
    </row>
    <row r="18" spans="1:10">
      <c r="D18" s="217"/>
      <c r="G18" s="217" t="e">
        <f>G5+G6+G7+G8+G9+G10+G11+G12+G13+G14+G15+G16</f>
        <v>#DIV/0!</v>
      </c>
      <c r="H18" s="64" t="e">
        <f>+IF(G18&lt;=1.2,"CUMPLE","NO CUMPLE")</f>
        <v>#DIV/0!</v>
      </c>
    </row>
  </sheetData>
  <mergeCells count="8">
    <mergeCell ref="A1:C2"/>
    <mergeCell ref="D1:H2"/>
    <mergeCell ref="I1:J2"/>
    <mergeCell ref="A3:A4"/>
    <mergeCell ref="B3:D3"/>
    <mergeCell ref="I3:J3"/>
    <mergeCell ref="H3:H4"/>
    <mergeCell ref="E3:G3"/>
  </mergeCells>
  <conditionalFormatting sqref="H5:H16">
    <cfRule type="containsText" dxfId="245" priority="5" operator="containsText" text="NO CUMPLE">
      <formula>NOT(ISERROR(SEARCH("NO CUMPLE",H5)))</formula>
    </cfRule>
    <cfRule type="containsText" dxfId="244" priority="6" operator="containsText" text="CUMPLE">
      <formula>NOT(ISERROR(SEARCH("CUMPLE",H5)))</formula>
    </cfRule>
    <cfRule type="containsText" dxfId="243" priority="9" operator="containsText" text="NO CUMPLE">
      <formula>NOT(ISERROR(SEARCH("NO CUMPLE",H5)))</formula>
    </cfRule>
    <cfRule type="containsText" dxfId="242" priority="10" operator="containsText" text="CUMPLE">
      <formula>NOT(ISERROR(SEARCH("CUMPLE",H5)))</formula>
    </cfRule>
  </conditionalFormatting>
  <pageMargins left="0.7" right="0.7" top="0.75" bottom="0.75" header="0.3" footer="0.3"/>
  <pageSetup scale="6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A1:J17"/>
  <sheetViews>
    <sheetView showGridLines="0" zoomScale="90" zoomScaleNormal="90" zoomScaleSheetLayoutView="115" workbookViewId="0">
      <selection activeCell="E11" sqref="E11"/>
    </sheetView>
  </sheetViews>
  <sheetFormatPr baseColWidth="10" defaultRowHeight="16.5"/>
  <cols>
    <col min="1" max="1" width="14.85546875" style="64" customWidth="1"/>
    <col min="2" max="3" width="11.42578125" style="64"/>
    <col min="4" max="4" width="13.85546875" style="64" customWidth="1"/>
    <col min="5" max="6" width="11.42578125" style="64"/>
    <col min="7" max="7" width="14.28515625" style="64" customWidth="1"/>
    <col min="8" max="8" width="15.7109375" style="64" customWidth="1"/>
    <col min="9" max="9" width="15.5703125" style="64" customWidth="1"/>
    <col min="10" max="10" width="18.5703125" style="64" customWidth="1"/>
    <col min="11" max="16384" width="11.42578125" style="64"/>
  </cols>
  <sheetData>
    <row r="1" spans="1:10" ht="27" customHeight="1">
      <c r="A1" s="250"/>
      <c r="B1" s="251"/>
      <c r="C1" s="304"/>
      <c r="D1" s="328" t="s">
        <v>181</v>
      </c>
      <c r="E1" s="316"/>
      <c r="F1" s="316"/>
      <c r="G1" s="316"/>
      <c r="H1" s="329"/>
      <c r="I1" s="289" t="s">
        <v>224</v>
      </c>
      <c r="J1" s="290"/>
    </row>
    <row r="2" spans="1:10" ht="33" customHeight="1" thickBot="1">
      <c r="A2" s="305"/>
      <c r="B2" s="306"/>
      <c r="C2" s="307"/>
      <c r="D2" s="330"/>
      <c r="E2" s="331"/>
      <c r="F2" s="331"/>
      <c r="G2" s="331"/>
      <c r="H2" s="332"/>
      <c r="I2" s="291"/>
      <c r="J2" s="292"/>
    </row>
    <row r="3" spans="1:10">
      <c r="A3" s="333" t="s">
        <v>153</v>
      </c>
      <c r="B3" s="335" t="s">
        <v>338</v>
      </c>
      <c r="C3" s="335"/>
      <c r="D3" s="335"/>
      <c r="E3" s="337" t="s">
        <v>344</v>
      </c>
      <c r="F3" s="338"/>
      <c r="G3" s="339"/>
      <c r="H3" s="340" t="s">
        <v>329</v>
      </c>
      <c r="I3" s="335" t="s">
        <v>194</v>
      </c>
      <c r="J3" s="336"/>
    </row>
    <row r="4" spans="1:10" ht="50.25" thickBot="1">
      <c r="A4" s="334"/>
      <c r="B4" s="103" t="s">
        <v>347</v>
      </c>
      <c r="C4" s="103" t="s">
        <v>339</v>
      </c>
      <c r="D4" s="103" t="s">
        <v>340</v>
      </c>
      <c r="E4" s="103" t="s">
        <v>348</v>
      </c>
      <c r="F4" s="103" t="s">
        <v>349</v>
      </c>
      <c r="G4" s="103" t="s">
        <v>350</v>
      </c>
      <c r="H4" s="341"/>
      <c r="I4" s="103" t="s">
        <v>179</v>
      </c>
      <c r="J4" s="192" t="s">
        <v>178</v>
      </c>
    </row>
    <row r="5" spans="1:10">
      <c r="A5" s="187" t="s">
        <v>14</v>
      </c>
      <c r="B5" s="188">
        <v>39344</v>
      </c>
      <c r="C5" s="189">
        <v>27080</v>
      </c>
      <c r="D5" s="190">
        <f>C5/B5</f>
        <v>0.68828792191947952</v>
      </c>
      <c r="E5" s="193">
        <f>+'TON  MOV '!B2</f>
        <v>10005</v>
      </c>
      <c r="F5" s="189">
        <v>16941</v>
      </c>
      <c r="G5" s="190">
        <f>+F5/E5</f>
        <v>1.6932533733133432</v>
      </c>
      <c r="H5" s="190" t="str">
        <f>+IF(G5&lt;=2,"CUMPLE","NO CUMPLE")</f>
        <v>CUMPLE</v>
      </c>
      <c r="I5" s="190">
        <f t="shared" ref="I5:I17" si="0">+G5-D5</f>
        <v>1.0049654513938637</v>
      </c>
      <c r="J5" s="191">
        <f t="shared" ref="J5:J17" si="1">+((I5*100)/D5)</f>
        <v>146.00945612865647</v>
      </c>
    </row>
    <row r="6" spans="1:10">
      <c r="A6" s="79" t="s">
        <v>4</v>
      </c>
      <c r="B6" s="75">
        <v>30364</v>
      </c>
      <c r="C6" s="204">
        <v>23016</v>
      </c>
      <c r="D6" s="190">
        <f>C6/B6</f>
        <v>0.75800289816888422</v>
      </c>
      <c r="E6" s="76">
        <f>+'TON  MOV '!C2</f>
        <v>20531</v>
      </c>
      <c r="F6" s="72">
        <v>17031</v>
      </c>
      <c r="G6" s="190">
        <f t="shared" ref="G6:G16" si="2">+F6/E6</f>
        <v>0.82952608250937609</v>
      </c>
      <c r="H6" s="74" t="str">
        <f t="shared" ref="H6:H16" si="3">+IF(G6&lt;=2,"CUMPLE","NO CUMPLE")</f>
        <v>CUMPLE</v>
      </c>
      <c r="I6" s="74">
        <f>+G6-D6</f>
        <v>7.1523184340491874E-2</v>
      </c>
      <c r="J6" s="80">
        <f>+((I6*100)/D6)</f>
        <v>9.4357402212143509</v>
      </c>
    </row>
    <row r="7" spans="1:10">
      <c r="A7" s="79" t="s">
        <v>5</v>
      </c>
      <c r="B7" s="75">
        <v>16913</v>
      </c>
      <c r="C7" s="204">
        <v>29777</v>
      </c>
      <c r="D7" s="190">
        <f t="shared" ref="D7:D17" si="4">C7/B7</f>
        <v>1.7605983562939751</v>
      </c>
      <c r="E7" s="76">
        <f>+'TON  MOV '!D2</f>
        <v>26569</v>
      </c>
      <c r="F7" s="194">
        <v>17912</v>
      </c>
      <c r="G7" s="190">
        <f t="shared" si="2"/>
        <v>0.67416914449170084</v>
      </c>
      <c r="H7" s="74" t="str">
        <f t="shared" si="3"/>
        <v>CUMPLE</v>
      </c>
      <c r="I7" s="74">
        <f t="shared" si="0"/>
        <v>-1.0864292118022743</v>
      </c>
      <c r="J7" s="80">
        <f t="shared" si="1"/>
        <v>-61.707953317029471</v>
      </c>
    </row>
    <row r="8" spans="1:10">
      <c r="A8" s="79" t="s">
        <v>18</v>
      </c>
      <c r="B8" s="75">
        <v>49992</v>
      </c>
      <c r="C8" s="204">
        <v>50682</v>
      </c>
      <c r="D8" s="190">
        <f t="shared" si="4"/>
        <v>1.0138022083533365</v>
      </c>
      <c r="E8" s="78">
        <f>+'TON  MOV '!E2</f>
        <v>49885</v>
      </c>
      <c r="F8" s="72">
        <v>17939</v>
      </c>
      <c r="G8" s="190">
        <f t="shared" si="2"/>
        <v>0.35960709632153953</v>
      </c>
      <c r="H8" s="74" t="str">
        <f t="shared" si="3"/>
        <v>CUMPLE</v>
      </c>
      <c r="I8" s="74">
        <f t="shared" si="0"/>
        <v>-0.65419511203179692</v>
      </c>
      <c r="J8" s="80">
        <f t="shared" si="1"/>
        <v>-64.52887029062309</v>
      </c>
    </row>
    <row r="9" spans="1:10">
      <c r="A9" s="79" t="s">
        <v>19</v>
      </c>
      <c r="B9" s="75">
        <v>42568</v>
      </c>
      <c r="C9" s="224">
        <v>20863</v>
      </c>
      <c r="D9" s="190">
        <f t="shared" si="4"/>
        <v>0.49010994174027439</v>
      </c>
      <c r="E9" s="78">
        <f>+'TON  MOV '!F2</f>
        <v>46751</v>
      </c>
      <c r="F9" s="72">
        <v>17296</v>
      </c>
      <c r="G9" s="190">
        <f t="shared" si="2"/>
        <v>0.36996000085559666</v>
      </c>
      <c r="H9" s="74" t="str">
        <f t="shared" si="3"/>
        <v>CUMPLE</v>
      </c>
      <c r="I9" s="74">
        <f t="shared" si="0"/>
        <v>-0.12014994088467773</v>
      </c>
      <c r="J9" s="80">
        <f t="shared" si="1"/>
        <v>-24.5148956697453</v>
      </c>
    </row>
    <row r="10" spans="1:10">
      <c r="A10" s="79" t="s">
        <v>20</v>
      </c>
      <c r="B10" s="75">
        <v>31981.459000000003</v>
      </c>
      <c r="C10" s="224">
        <v>14351</v>
      </c>
      <c r="D10" s="190">
        <f t="shared" si="4"/>
        <v>0.44872874624012615</v>
      </c>
      <c r="E10" s="78">
        <v>34954</v>
      </c>
      <c r="F10" s="72">
        <v>17568</v>
      </c>
      <c r="G10" s="190">
        <f t="shared" si="2"/>
        <v>0.5026034216398696</v>
      </c>
      <c r="H10" s="74" t="str">
        <f t="shared" si="3"/>
        <v>CUMPLE</v>
      </c>
      <c r="I10" s="74">
        <f t="shared" si="0"/>
        <v>5.3874675399743444E-2</v>
      </c>
      <c r="J10" s="80">
        <f t="shared" si="1"/>
        <v>12.006067329351291</v>
      </c>
    </row>
    <row r="11" spans="1:10">
      <c r="A11" s="79" t="s">
        <v>21</v>
      </c>
      <c r="B11" s="75">
        <v>9921</v>
      </c>
      <c r="C11" s="224">
        <v>13603</v>
      </c>
      <c r="D11" s="190">
        <f t="shared" si="4"/>
        <v>1.3711319423445216</v>
      </c>
      <c r="E11" s="78"/>
      <c r="F11" s="200">
        <v>0</v>
      </c>
      <c r="G11" s="190" t="e">
        <f t="shared" si="2"/>
        <v>#DIV/0!</v>
      </c>
      <c r="H11" s="74" t="e">
        <f>+IF(G11&lt;=2,"CUMPLE","NO CUMPLE")</f>
        <v>#DIV/0!</v>
      </c>
      <c r="I11" s="74" t="e">
        <f t="shared" si="0"/>
        <v>#DIV/0!</v>
      </c>
      <c r="J11" s="80" t="e">
        <f t="shared" si="1"/>
        <v>#DIV/0!</v>
      </c>
    </row>
    <row r="12" spans="1:10">
      <c r="A12" s="79" t="s">
        <v>22</v>
      </c>
      <c r="B12" s="75">
        <v>14295</v>
      </c>
      <c r="C12" s="224">
        <v>19935</v>
      </c>
      <c r="D12" s="190">
        <f t="shared" si="4"/>
        <v>1.3945435466946485</v>
      </c>
      <c r="E12" s="78"/>
      <c r="F12" s="200">
        <v>0</v>
      </c>
      <c r="G12" s="190" t="e">
        <f t="shared" si="2"/>
        <v>#DIV/0!</v>
      </c>
      <c r="H12" s="74" t="e">
        <f t="shared" si="3"/>
        <v>#DIV/0!</v>
      </c>
      <c r="I12" s="74" t="e">
        <f t="shared" si="0"/>
        <v>#DIV/0!</v>
      </c>
      <c r="J12" s="80" t="e">
        <f>+((I12*100)/D12)</f>
        <v>#DIV/0!</v>
      </c>
    </row>
    <row r="13" spans="1:10">
      <c r="A13" s="79" t="s">
        <v>23</v>
      </c>
      <c r="B13" s="75">
        <v>27912</v>
      </c>
      <c r="C13" s="224">
        <v>18562</v>
      </c>
      <c r="D13" s="190">
        <f t="shared" si="4"/>
        <v>0.66501862997993699</v>
      </c>
      <c r="E13" s="78"/>
      <c r="F13" s="211">
        <v>0</v>
      </c>
      <c r="G13" s="190" t="e">
        <f t="shared" si="2"/>
        <v>#DIV/0!</v>
      </c>
      <c r="H13" s="74" t="e">
        <f t="shared" si="3"/>
        <v>#DIV/0!</v>
      </c>
      <c r="I13" s="74" t="e">
        <f t="shared" si="0"/>
        <v>#DIV/0!</v>
      </c>
      <c r="J13" s="80" t="e">
        <f t="shared" si="1"/>
        <v>#DIV/0!</v>
      </c>
    </row>
    <row r="14" spans="1:10">
      <c r="A14" s="79" t="s">
        <v>24</v>
      </c>
      <c r="B14" s="75">
        <v>13991</v>
      </c>
      <c r="C14" s="224">
        <v>15269</v>
      </c>
      <c r="D14" s="190">
        <f t="shared" si="4"/>
        <v>1.0913444357086699</v>
      </c>
      <c r="E14" s="78"/>
      <c r="F14" s="211">
        <v>0</v>
      </c>
      <c r="G14" s="190" t="e">
        <f t="shared" si="2"/>
        <v>#DIV/0!</v>
      </c>
      <c r="H14" s="74" t="e">
        <f t="shared" si="3"/>
        <v>#DIV/0!</v>
      </c>
      <c r="I14" s="74" t="e">
        <f t="shared" si="0"/>
        <v>#DIV/0!</v>
      </c>
      <c r="J14" s="80" t="e">
        <f t="shared" si="1"/>
        <v>#DIV/0!</v>
      </c>
    </row>
    <row r="15" spans="1:10">
      <c r="A15" s="79" t="s">
        <v>25</v>
      </c>
      <c r="B15" s="75">
        <v>31251</v>
      </c>
      <c r="C15" s="224">
        <v>24319</v>
      </c>
      <c r="D15" s="190">
        <f t="shared" si="4"/>
        <v>0.77818309814085951</v>
      </c>
      <c r="E15" s="78"/>
      <c r="F15" s="213">
        <v>0</v>
      </c>
      <c r="G15" s="190" t="e">
        <f t="shared" si="2"/>
        <v>#DIV/0!</v>
      </c>
      <c r="H15" s="74" t="e">
        <f t="shared" si="3"/>
        <v>#DIV/0!</v>
      </c>
      <c r="I15" s="74" t="e">
        <f t="shared" si="0"/>
        <v>#DIV/0!</v>
      </c>
      <c r="J15" s="80" t="e">
        <f t="shared" si="1"/>
        <v>#DIV/0!</v>
      </c>
    </row>
    <row r="16" spans="1:10">
      <c r="A16" s="79" t="s">
        <v>26</v>
      </c>
      <c r="B16" s="75">
        <v>14743</v>
      </c>
      <c r="C16" s="224">
        <v>27483</v>
      </c>
      <c r="D16" s="190">
        <f t="shared" si="4"/>
        <v>1.8641389133826223</v>
      </c>
      <c r="E16" s="76"/>
      <c r="F16" s="72">
        <v>0</v>
      </c>
      <c r="G16" s="190" t="e">
        <f t="shared" si="2"/>
        <v>#DIV/0!</v>
      </c>
      <c r="H16" s="74" t="e">
        <f t="shared" si="3"/>
        <v>#DIV/0!</v>
      </c>
      <c r="I16" s="74" t="e">
        <f t="shared" si="0"/>
        <v>#DIV/0!</v>
      </c>
      <c r="J16" s="80" t="e">
        <f t="shared" si="1"/>
        <v>#DIV/0!</v>
      </c>
    </row>
    <row r="17" spans="1:10" ht="17.25" hidden="1" thickBot="1">
      <c r="A17" s="81" t="s">
        <v>165</v>
      </c>
      <c r="B17" s="82">
        <f>SUM(B5:B16)</f>
        <v>323275.45900000003</v>
      </c>
      <c r="C17" s="83">
        <f>SUM(C5:C16)</f>
        <v>284940</v>
      </c>
      <c r="D17" s="190">
        <f t="shared" si="4"/>
        <v>0.8814154989723485</v>
      </c>
      <c r="E17" s="83">
        <f>SUM(E5:E16)</f>
        <v>188695</v>
      </c>
      <c r="F17" s="83">
        <f>SUM(F5:F16)</f>
        <v>104687</v>
      </c>
      <c r="G17" s="83">
        <f>+F17/E17</f>
        <v>0.55479477463631788</v>
      </c>
      <c r="H17" s="84" t="str">
        <f>+IF(G17&lt;=1.5,"CUMPLE","NO CUMPLE")</f>
        <v>CUMPLE</v>
      </c>
      <c r="I17" s="84">
        <f t="shared" si="0"/>
        <v>-0.32662072433603062</v>
      </c>
      <c r="J17" s="85">
        <f t="shared" si="1"/>
        <v>-37.056385406977881</v>
      </c>
    </row>
  </sheetData>
  <mergeCells count="8">
    <mergeCell ref="A1:C2"/>
    <mergeCell ref="D1:H2"/>
    <mergeCell ref="A3:A4"/>
    <mergeCell ref="B3:D3"/>
    <mergeCell ref="I3:J3"/>
    <mergeCell ref="E3:G3"/>
    <mergeCell ref="H3:H4"/>
    <mergeCell ref="I1:J2"/>
  </mergeCells>
  <conditionalFormatting sqref="H5:H16">
    <cfRule type="containsText" dxfId="241" priority="3" operator="containsText" text="NO CUMPLE">
      <formula>NOT(ISERROR(SEARCH("NO CUMPLE",H5)))</formula>
    </cfRule>
    <cfRule type="containsText" dxfId="240" priority="4" operator="containsText" text="CUMPLE">
      <formula>NOT(ISERROR(SEARCH("CUMPLE",H5)))</formula>
    </cfRule>
  </conditionalFormatting>
  <pageMargins left="0.7" right="0.7" top="0.75" bottom="0.75" header="0.3" footer="0.3"/>
  <pageSetup scale="6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5"/>
  <dimension ref="A1:F17"/>
  <sheetViews>
    <sheetView view="pageBreakPreview" topLeftCell="A4" zoomScale="115" zoomScaleNormal="90" zoomScaleSheetLayoutView="115" workbookViewId="0">
      <selection activeCell="B3" sqref="B3:D3"/>
    </sheetView>
  </sheetViews>
  <sheetFormatPr baseColWidth="10" defaultRowHeight="16.5"/>
  <cols>
    <col min="1" max="1" width="14.85546875" style="64" customWidth="1"/>
    <col min="2" max="2" width="13.5703125" style="64" customWidth="1"/>
    <col min="3" max="3" width="14.42578125" style="64" customWidth="1"/>
    <col min="4" max="4" width="16.85546875" style="64" customWidth="1"/>
    <col min="5" max="5" width="13" style="64" customWidth="1"/>
    <col min="6" max="6" width="18.42578125" style="64" customWidth="1"/>
    <col min="7" max="16384" width="11.42578125" style="64"/>
  </cols>
  <sheetData>
    <row r="1" spans="1:6" ht="27" customHeight="1">
      <c r="A1" s="253"/>
      <c r="B1" s="345" t="s">
        <v>214</v>
      </c>
      <c r="C1" s="346"/>
      <c r="D1" s="346"/>
      <c r="E1" s="347"/>
      <c r="F1" s="351" t="s">
        <v>224</v>
      </c>
    </row>
    <row r="2" spans="1:6" ht="33" customHeight="1">
      <c r="A2" s="253"/>
      <c r="B2" s="348"/>
      <c r="C2" s="349"/>
      <c r="D2" s="349"/>
      <c r="E2" s="350"/>
      <c r="F2" s="352"/>
    </row>
    <row r="3" spans="1:6" ht="16.5" customHeight="1">
      <c r="A3" s="308" t="s">
        <v>153</v>
      </c>
      <c r="B3" s="342" t="s">
        <v>176</v>
      </c>
      <c r="C3" s="343"/>
      <c r="D3" s="344"/>
      <c r="E3" s="104"/>
      <c r="F3" s="105"/>
    </row>
    <row r="4" spans="1:6" ht="49.5">
      <c r="A4" s="309"/>
      <c r="B4" s="98" t="s">
        <v>209</v>
      </c>
      <c r="C4" s="98" t="s">
        <v>210</v>
      </c>
      <c r="D4" s="98" t="s">
        <v>211</v>
      </c>
      <c r="E4" s="98" t="s">
        <v>212</v>
      </c>
      <c r="F4" s="98" t="s">
        <v>213</v>
      </c>
    </row>
    <row r="5" spans="1:6">
      <c r="A5" s="106" t="s">
        <v>14</v>
      </c>
      <c r="B5" s="75"/>
      <c r="C5" s="72"/>
      <c r="D5" s="74">
        <f>+'TON  MOV '!B2</f>
        <v>10005</v>
      </c>
      <c r="E5" s="72">
        <f>+B5/D5</f>
        <v>0</v>
      </c>
      <c r="F5" s="72">
        <f>+C5/D5</f>
        <v>0</v>
      </c>
    </row>
    <row r="6" spans="1:6">
      <c r="A6" s="106" t="s">
        <v>4</v>
      </c>
      <c r="B6" s="75"/>
      <c r="C6" s="72"/>
      <c r="D6" s="74">
        <f>+'TON  MOV '!C2</f>
        <v>20531</v>
      </c>
      <c r="E6" s="72">
        <f t="shared" ref="E6:E16" si="0">+B6/D6</f>
        <v>0</v>
      </c>
      <c r="F6" s="72">
        <f t="shared" ref="F6:F16" si="1">+C6/D6</f>
        <v>0</v>
      </c>
    </row>
    <row r="7" spans="1:6">
      <c r="A7" s="106" t="s">
        <v>5</v>
      </c>
      <c r="B7" s="75"/>
      <c r="C7" s="72"/>
      <c r="D7" s="74">
        <f>+'TON  MOV '!D2</f>
        <v>26569</v>
      </c>
      <c r="E7" s="72">
        <f t="shared" si="0"/>
        <v>0</v>
      </c>
      <c r="F7" s="72">
        <f t="shared" si="1"/>
        <v>0</v>
      </c>
    </row>
    <row r="8" spans="1:6">
      <c r="A8" s="106" t="s">
        <v>18</v>
      </c>
      <c r="B8" s="75"/>
      <c r="C8" s="76"/>
      <c r="D8" s="74">
        <f>+'TON  MOV '!E2</f>
        <v>49885</v>
      </c>
      <c r="E8" s="72">
        <f t="shared" si="0"/>
        <v>0</v>
      </c>
      <c r="F8" s="72">
        <f t="shared" si="1"/>
        <v>0</v>
      </c>
    </row>
    <row r="9" spans="1:6">
      <c r="A9" s="106" t="s">
        <v>19</v>
      </c>
      <c r="B9" s="75"/>
      <c r="C9" s="72"/>
      <c r="D9" s="74">
        <f>+'TON  MOV '!F2</f>
        <v>46751</v>
      </c>
      <c r="E9" s="72">
        <f t="shared" si="0"/>
        <v>0</v>
      </c>
      <c r="F9" s="72">
        <f t="shared" si="1"/>
        <v>0</v>
      </c>
    </row>
    <row r="10" spans="1:6">
      <c r="A10" s="106" t="s">
        <v>20</v>
      </c>
      <c r="B10" s="75"/>
      <c r="C10" s="72"/>
      <c r="D10" s="74">
        <f>+'TON  MOV '!G2</f>
        <v>23087</v>
      </c>
      <c r="E10" s="72">
        <f t="shared" si="0"/>
        <v>0</v>
      </c>
      <c r="F10" s="72">
        <f t="shared" si="1"/>
        <v>0</v>
      </c>
    </row>
    <row r="11" spans="1:6">
      <c r="A11" s="106" t="s">
        <v>21</v>
      </c>
      <c r="B11" s="75"/>
      <c r="C11" s="72"/>
      <c r="D11" s="74">
        <f>+'TON  MOV '!H2</f>
        <v>0</v>
      </c>
      <c r="E11" s="72" t="e">
        <f t="shared" si="0"/>
        <v>#DIV/0!</v>
      </c>
      <c r="F11" s="72" t="e">
        <f t="shared" si="1"/>
        <v>#DIV/0!</v>
      </c>
    </row>
    <row r="12" spans="1:6">
      <c r="A12" s="106" t="s">
        <v>22</v>
      </c>
      <c r="B12" s="75"/>
      <c r="C12" s="72"/>
      <c r="D12" s="74">
        <f>+'TON  MOV '!I2</f>
        <v>0</v>
      </c>
      <c r="E12" s="72" t="e">
        <f t="shared" si="0"/>
        <v>#DIV/0!</v>
      </c>
      <c r="F12" s="72" t="e">
        <f t="shared" si="1"/>
        <v>#DIV/0!</v>
      </c>
    </row>
    <row r="13" spans="1:6">
      <c r="A13" s="106" t="s">
        <v>23</v>
      </c>
      <c r="B13" s="75"/>
      <c r="C13" s="76"/>
      <c r="D13" s="74">
        <f>+'TON  MOV '!J2</f>
        <v>0</v>
      </c>
      <c r="E13" s="72" t="e">
        <f t="shared" si="0"/>
        <v>#DIV/0!</v>
      </c>
      <c r="F13" s="72" t="e">
        <f t="shared" si="1"/>
        <v>#DIV/0!</v>
      </c>
    </row>
    <row r="14" spans="1:6">
      <c r="A14" s="106" t="s">
        <v>24</v>
      </c>
      <c r="B14" s="77"/>
      <c r="C14" s="72"/>
      <c r="D14" s="74">
        <f>+'TON  MOV '!K2</f>
        <v>0</v>
      </c>
      <c r="E14" s="72" t="e">
        <f t="shared" si="0"/>
        <v>#DIV/0!</v>
      </c>
      <c r="F14" s="72" t="e">
        <f t="shared" si="1"/>
        <v>#DIV/0!</v>
      </c>
    </row>
    <row r="15" spans="1:6">
      <c r="A15" s="106" t="s">
        <v>25</v>
      </c>
      <c r="B15" s="72"/>
      <c r="C15" s="72"/>
      <c r="D15" s="74">
        <f>+'TON  MOV '!L2</f>
        <v>0</v>
      </c>
      <c r="E15" s="72" t="e">
        <f t="shared" si="0"/>
        <v>#DIV/0!</v>
      </c>
      <c r="F15" s="72" t="e">
        <f t="shared" si="1"/>
        <v>#DIV/0!</v>
      </c>
    </row>
    <row r="16" spans="1:6">
      <c r="A16" s="106" t="s">
        <v>26</v>
      </c>
      <c r="B16" s="72"/>
      <c r="C16" s="72"/>
      <c r="D16" s="74">
        <f>+'TON  MOV '!M2</f>
        <v>0</v>
      </c>
      <c r="E16" s="72" t="e">
        <f t="shared" si="0"/>
        <v>#DIV/0!</v>
      </c>
      <c r="F16" s="72" t="e">
        <f t="shared" si="1"/>
        <v>#DIV/0!</v>
      </c>
    </row>
    <row r="17" spans="1:6" ht="17.25" thickBot="1">
      <c r="A17" s="81" t="s">
        <v>165</v>
      </c>
      <c r="B17" s="82">
        <f>SUM(B5:B16)</f>
        <v>0</v>
      </c>
      <c r="C17" s="83">
        <f>SUM(C5:C16)</f>
        <v>0</v>
      </c>
      <c r="D17" s="87">
        <f>SUM(D5:D16)</f>
        <v>176828</v>
      </c>
      <c r="E17" s="83" t="e">
        <f>SUM(E5:E16)</f>
        <v>#DIV/0!</v>
      </c>
      <c r="F17" s="83" t="e">
        <f>SUM(F5:F16)</f>
        <v>#DIV/0!</v>
      </c>
    </row>
  </sheetData>
  <mergeCells count="5">
    <mergeCell ref="A3:A4"/>
    <mergeCell ref="B3:D3"/>
    <mergeCell ref="A1:A2"/>
    <mergeCell ref="B1:E2"/>
    <mergeCell ref="F1:F2"/>
  </mergeCells>
  <pageMargins left="0.7" right="0.7" top="0.75" bottom="0.75" header="0.3" footer="0.3"/>
  <pageSetup scale="9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2">
    <tabColor rgb="FFC00000"/>
  </sheetPr>
  <dimension ref="A1:AK24"/>
  <sheetViews>
    <sheetView showGridLines="0" tabSelected="1" topLeftCell="G1" zoomScale="85" zoomScaleNormal="85" zoomScaleSheetLayoutView="85" workbookViewId="0">
      <selection activeCell="X16" sqref="X16"/>
    </sheetView>
  </sheetViews>
  <sheetFormatPr baseColWidth="10" defaultRowHeight="15"/>
  <cols>
    <col min="1" max="1" width="0.7109375" style="2" customWidth="1"/>
    <col min="2" max="2" width="17.5703125" style="2" customWidth="1"/>
    <col min="3" max="3" width="17.5703125" style="2" hidden="1" customWidth="1"/>
    <col min="4" max="4" width="11.42578125" style="2" customWidth="1"/>
    <col min="5" max="5" width="18.7109375" style="2" customWidth="1"/>
    <col min="6" max="6" width="11.7109375" style="2" customWidth="1"/>
    <col min="7" max="7" width="36" style="2" bestFit="1" customWidth="1"/>
    <col min="8" max="8" width="12" style="2" customWidth="1"/>
    <col min="9" max="9" width="3.140625" style="2" hidden="1" customWidth="1"/>
    <col min="10" max="10" width="11" style="3" customWidth="1"/>
    <col min="11" max="11" width="11.28515625" style="2" customWidth="1"/>
    <col min="12" max="12" width="9.85546875" style="2" hidden="1" customWidth="1"/>
    <col min="13" max="13" width="9.7109375" style="2" hidden="1" customWidth="1"/>
    <col min="14" max="14" width="8.28515625" style="2" hidden="1" customWidth="1"/>
    <col min="15" max="15" width="8.5703125" style="2" hidden="1" customWidth="1"/>
    <col min="16" max="16" width="8.28515625" style="2" hidden="1" customWidth="1"/>
    <col min="17" max="17" width="8.5703125" style="2" hidden="1" customWidth="1"/>
    <col min="18" max="18" width="8" style="2" hidden="1" customWidth="1"/>
    <col min="19" max="19" width="8.5703125" style="13" hidden="1" customWidth="1"/>
    <col min="20" max="20" width="7.85546875" style="13" hidden="1" customWidth="1"/>
    <col min="21" max="21" width="8.5703125" style="13" hidden="1" customWidth="1"/>
    <col min="22" max="22" width="8.85546875" style="13" customWidth="1"/>
    <col min="23" max="23" width="8.5703125" style="13" bestFit="1" customWidth="1"/>
    <col min="24" max="24" width="10.85546875" style="13" customWidth="1"/>
    <col min="25" max="25" width="8.5703125" style="13" bestFit="1" customWidth="1"/>
    <col min="26" max="26" width="8.5703125" style="13" customWidth="1"/>
    <col min="27" max="28" width="8.7109375" style="13" customWidth="1"/>
    <col min="29" max="29" width="8.5703125" style="13" bestFit="1" customWidth="1"/>
    <col min="30" max="30" width="8" style="13" customWidth="1"/>
    <col min="31" max="31" width="8.5703125" style="13" bestFit="1" customWidth="1"/>
    <col min="32" max="32" width="7.7109375" style="13" customWidth="1"/>
    <col min="33" max="33" width="10" style="13" bestFit="1" customWidth="1"/>
    <col min="34" max="34" width="8" style="13" customWidth="1"/>
    <col min="35" max="35" width="11.28515625" style="13" customWidth="1"/>
    <col min="36" max="36" width="11.42578125" hidden="1" customWidth="1"/>
  </cols>
  <sheetData>
    <row r="1" spans="1:37" ht="36.75" customHeight="1" thickBot="1">
      <c r="A1" s="8"/>
      <c r="B1" s="392"/>
      <c r="C1" s="393"/>
      <c r="D1" s="394"/>
      <c r="E1" s="401" t="s">
        <v>229</v>
      </c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2"/>
      <c r="Y1" s="402"/>
      <c r="Z1" s="402"/>
      <c r="AA1" s="402"/>
      <c r="AB1" s="403"/>
      <c r="AC1" s="381" t="s">
        <v>240</v>
      </c>
      <c r="AD1" s="382"/>
      <c r="AE1" s="383"/>
      <c r="AF1" s="383"/>
      <c r="AG1" s="383"/>
      <c r="AH1" s="383"/>
      <c r="AI1" s="384"/>
      <c r="AJ1" s="7"/>
      <c r="AK1" s="7"/>
    </row>
    <row r="2" spans="1:37" ht="24.95" customHeight="1">
      <c r="A2" s="8"/>
      <c r="B2" s="395"/>
      <c r="C2" s="396"/>
      <c r="D2" s="397"/>
      <c r="E2" s="398" t="s">
        <v>238</v>
      </c>
      <c r="F2" s="399"/>
      <c r="G2" s="399"/>
      <c r="H2" s="399"/>
      <c r="I2" s="399"/>
      <c r="J2" s="399"/>
      <c r="K2" s="399"/>
      <c r="L2" s="399"/>
      <c r="M2" s="400"/>
      <c r="N2" s="404" t="s">
        <v>239</v>
      </c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6"/>
      <c r="AC2" s="385" t="s">
        <v>44</v>
      </c>
      <c r="AD2" s="386"/>
      <c r="AE2" s="386"/>
      <c r="AF2" s="386"/>
      <c r="AG2" s="386"/>
      <c r="AH2" s="386"/>
      <c r="AI2" s="387"/>
      <c r="AJ2" s="7"/>
      <c r="AK2" s="7"/>
    </row>
    <row r="3" spans="1:37" s="5" customFormat="1" ht="44.25" customHeight="1">
      <c r="A3" s="9"/>
      <c r="B3" s="109" t="s">
        <v>27</v>
      </c>
      <c r="C3" s="110" t="s">
        <v>126</v>
      </c>
      <c r="D3" s="353" t="s">
        <v>1</v>
      </c>
      <c r="E3" s="355"/>
      <c r="F3" s="111" t="s">
        <v>2</v>
      </c>
      <c r="G3" s="111" t="s">
        <v>29</v>
      </c>
      <c r="H3" s="111" t="s">
        <v>3</v>
      </c>
      <c r="I3" s="111" t="s">
        <v>36</v>
      </c>
      <c r="J3" s="112" t="s">
        <v>0</v>
      </c>
      <c r="K3" s="111" t="s">
        <v>12</v>
      </c>
      <c r="L3" s="424" t="s">
        <v>14</v>
      </c>
      <c r="M3" s="425"/>
      <c r="N3" s="353" t="s">
        <v>16</v>
      </c>
      <c r="O3" s="355"/>
      <c r="P3" s="353" t="s">
        <v>17</v>
      </c>
      <c r="Q3" s="355"/>
      <c r="R3" s="353" t="s">
        <v>18</v>
      </c>
      <c r="S3" s="355"/>
      <c r="T3" s="353" t="s">
        <v>19</v>
      </c>
      <c r="U3" s="355"/>
      <c r="V3" s="353" t="s">
        <v>20</v>
      </c>
      <c r="W3" s="355"/>
      <c r="X3" s="353" t="s">
        <v>21</v>
      </c>
      <c r="Y3" s="355"/>
      <c r="Z3" s="353" t="s">
        <v>22</v>
      </c>
      <c r="AA3" s="355"/>
      <c r="AB3" s="353" t="s">
        <v>23</v>
      </c>
      <c r="AC3" s="355"/>
      <c r="AD3" s="353" t="s">
        <v>24</v>
      </c>
      <c r="AE3" s="355"/>
      <c r="AF3" s="353" t="s">
        <v>25</v>
      </c>
      <c r="AG3" s="355"/>
      <c r="AH3" s="353" t="s">
        <v>26</v>
      </c>
      <c r="AI3" s="354"/>
    </row>
    <row r="4" spans="1:37" s="4" customFormat="1" ht="30.75" customHeight="1" thickBot="1">
      <c r="A4" s="10"/>
      <c r="B4" s="118" t="s">
        <v>28</v>
      </c>
      <c r="C4" s="119" t="s">
        <v>92</v>
      </c>
      <c r="D4" s="388" t="s">
        <v>30</v>
      </c>
      <c r="E4" s="389"/>
      <c r="F4" s="120" t="s">
        <v>6</v>
      </c>
      <c r="G4" s="121"/>
      <c r="H4" s="120" t="s">
        <v>7</v>
      </c>
      <c r="I4" s="122">
        <v>100</v>
      </c>
      <c r="J4" s="123" t="s">
        <v>121</v>
      </c>
      <c r="K4" s="122" t="s">
        <v>10</v>
      </c>
      <c r="L4" s="123">
        <f>7/7</f>
        <v>1</v>
      </c>
      <c r="M4" s="123" t="str">
        <f>+IF(L4&gt;=85%,"CUMPLE","NO CUMPLE")</f>
        <v>CUMPLE</v>
      </c>
      <c r="N4" s="123">
        <f>7/7</f>
        <v>1</v>
      </c>
      <c r="O4" s="123" t="str">
        <f>+IF(N4&gt;=85%,"CUMPLE","NO CUMPLE")</f>
        <v>CUMPLE</v>
      </c>
      <c r="P4" s="123">
        <f>7/7</f>
        <v>1</v>
      </c>
      <c r="Q4" s="123" t="str">
        <f>+IF(P4&gt;=85%,"CUMPLE","NO CUMPLE")</f>
        <v>CUMPLE</v>
      </c>
      <c r="R4" s="123">
        <f>7/7</f>
        <v>1</v>
      </c>
      <c r="S4" s="123" t="str">
        <f>+IF(R4&gt;=85%,"CUMPLE","NO CUMPLE")</f>
        <v>CUMPLE</v>
      </c>
      <c r="T4" s="123">
        <f>6/7</f>
        <v>0.8571428571428571</v>
      </c>
      <c r="U4" s="123" t="str">
        <f>+IF(T4&gt;=85%,"CUMPLE","NO CUMPLE")</f>
        <v>CUMPLE</v>
      </c>
      <c r="V4" s="123">
        <f>10/10</f>
        <v>1</v>
      </c>
      <c r="W4" s="123" t="str">
        <f>+IF(V4&gt;=85%,"CUMPLE","NO CUMPLE")</f>
        <v>CUMPLE</v>
      </c>
      <c r="X4" s="123"/>
      <c r="Y4" s="123" t="str">
        <f>+IF(X4&gt;=85%,"CUMPLE","NO CUMPLE")</f>
        <v>NO CUMPLE</v>
      </c>
      <c r="Z4" s="123"/>
      <c r="AA4" s="123" t="str">
        <f>+IF(Z4&gt;=85%,"CUMPLE","NO CUMPLE")</f>
        <v>NO CUMPLE</v>
      </c>
      <c r="AB4" s="123"/>
      <c r="AC4" s="123" t="str">
        <f>+IF(AB4&gt;=85%,"CUMPLE","NO CUMPLE")</f>
        <v>NO CUMPLE</v>
      </c>
      <c r="AD4" s="123"/>
      <c r="AE4" s="123" t="str">
        <f>+IF(AD4&gt;=85%,"CUMPLE","NO CUMPLE")</f>
        <v>NO CUMPLE</v>
      </c>
      <c r="AF4" s="123"/>
      <c r="AG4" s="123" t="str">
        <f>+IF(AF4&gt;=85%,"CUMPLE","NO CUMPLE")</f>
        <v>NO CUMPLE</v>
      </c>
      <c r="AH4" s="123"/>
      <c r="AI4" s="113" t="str">
        <f>+IF(AH4&gt;=85%,"CUMPLE","NO CUMPLE")</f>
        <v>NO CUMPLE</v>
      </c>
    </row>
    <row r="5" spans="1:37" s="4" customFormat="1" ht="27.75" customHeight="1" thickTop="1" thickBot="1">
      <c r="A5" s="10"/>
      <c r="B5" s="370" t="s">
        <v>114</v>
      </c>
      <c r="C5" s="15" t="s">
        <v>127</v>
      </c>
      <c r="D5" s="390" t="s">
        <v>31</v>
      </c>
      <c r="E5" s="391"/>
      <c r="F5" s="26" t="s">
        <v>108</v>
      </c>
      <c r="G5" s="14" t="s">
        <v>107</v>
      </c>
      <c r="H5" s="14" t="s">
        <v>15</v>
      </c>
      <c r="I5" s="37">
        <v>8.33</v>
      </c>
      <c r="J5" s="45" t="s">
        <v>231</v>
      </c>
      <c r="K5" s="14" t="s">
        <v>10</v>
      </c>
      <c r="L5" s="127">
        <f>+EE!G5</f>
        <v>1.5392303848075961</v>
      </c>
      <c r="M5" s="117" t="str">
        <f>+EE!H5</f>
        <v>CUMPLE</v>
      </c>
      <c r="N5" s="37">
        <f>+EE!G6</f>
        <v>0.75008523695874529</v>
      </c>
      <c r="O5" s="117" t="str">
        <f>+EE!H6</f>
        <v>CUMPLE</v>
      </c>
      <c r="P5" s="37">
        <f>+EE!G7</f>
        <v>0.74522940268734239</v>
      </c>
      <c r="Q5" s="117" t="str">
        <f>+EE!H7</f>
        <v>CUMPLE</v>
      </c>
      <c r="R5" s="37">
        <f>+EE!G8</f>
        <v>0.44101433296582138</v>
      </c>
      <c r="S5" s="117" t="str">
        <f>+EE!H8</f>
        <v>CUMPLE</v>
      </c>
      <c r="T5" s="37">
        <f>+EE!G9</f>
        <v>0.65880943723128915</v>
      </c>
      <c r="U5" s="117" t="str">
        <f>+EE!H9</f>
        <v>CUMPLE</v>
      </c>
      <c r="V5" s="37">
        <f>+EE!G10</f>
        <v>1.4293758392168754</v>
      </c>
      <c r="W5" s="117" t="str">
        <f>+EE!H10</f>
        <v>CUMPLE</v>
      </c>
      <c r="X5" s="37" t="e">
        <f>+EE!G11</f>
        <v>#DIV/0!</v>
      </c>
      <c r="Y5" s="117" t="e">
        <f>+EE!H11</f>
        <v>#DIV/0!</v>
      </c>
      <c r="Z5" s="37" t="e">
        <f>+EE!G12</f>
        <v>#DIV/0!</v>
      </c>
      <c r="AA5" s="117" t="e">
        <f>+EE!H12</f>
        <v>#DIV/0!</v>
      </c>
      <c r="AB5" s="37" t="e">
        <f>+EE!G13</f>
        <v>#DIV/0!</v>
      </c>
      <c r="AC5" s="117" t="e">
        <f>+EE!H13</f>
        <v>#DIV/0!</v>
      </c>
      <c r="AD5" s="37" t="e">
        <f>+EE!G14</f>
        <v>#DIV/0!</v>
      </c>
      <c r="AE5" s="117" t="e">
        <f>+EE!H14</f>
        <v>#DIV/0!</v>
      </c>
      <c r="AF5" s="37" t="e">
        <f>+EE!G15</f>
        <v>#DIV/0!</v>
      </c>
      <c r="AG5" s="117" t="e">
        <f>+EE!H15</f>
        <v>#DIV/0!</v>
      </c>
      <c r="AH5" s="37" t="e">
        <f>+EE!G16</f>
        <v>#DIV/0!</v>
      </c>
      <c r="AI5" s="117" t="e">
        <f>+EE!H16</f>
        <v>#DIV/0!</v>
      </c>
      <c r="AJ5" s="49"/>
    </row>
    <row r="6" spans="1:37" s="33" customFormat="1" ht="36" customHeight="1">
      <c r="A6" s="15"/>
      <c r="B6" s="370"/>
      <c r="C6" s="29" t="s">
        <v>127</v>
      </c>
      <c r="D6" s="407" t="s">
        <v>47</v>
      </c>
      <c r="E6" s="408"/>
      <c r="F6" s="30" t="s">
        <v>93</v>
      </c>
      <c r="G6" s="30" t="s">
        <v>215</v>
      </c>
      <c r="H6" s="30" t="s">
        <v>15</v>
      </c>
      <c r="I6" s="32">
        <v>8.33</v>
      </c>
      <c r="J6" s="46" t="s">
        <v>230</v>
      </c>
      <c r="K6" s="31" t="s">
        <v>10</v>
      </c>
      <c r="L6" s="128">
        <f>+GN!G5</f>
        <v>1.6932533733133432</v>
      </c>
      <c r="M6" s="115" t="str">
        <f>+GN!H5</f>
        <v>CUMPLE</v>
      </c>
      <c r="N6" s="130">
        <f>+GN!G6</f>
        <v>0.82952608250937609</v>
      </c>
      <c r="O6" s="115" t="str">
        <f>+GN!H6</f>
        <v>CUMPLE</v>
      </c>
      <c r="P6" s="128">
        <f>+GN!G7</f>
        <v>0.67416914449170084</v>
      </c>
      <c r="Q6" s="115" t="str">
        <f>+GN!H7</f>
        <v>CUMPLE</v>
      </c>
      <c r="R6" s="114">
        <f>+GN!G8</f>
        <v>0.35960709632153953</v>
      </c>
      <c r="S6" s="115" t="str">
        <f>+GN!H8</f>
        <v>CUMPLE</v>
      </c>
      <c r="T6" s="130">
        <f>+GN!G9</f>
        <v>0.36996000085559666</v>
      </c>
      <c r="U6" s="115" t="str">
        <f>+GN!H9</f>
        <v>CUMPLE</v>
      </c>
      <c r="V6" s="128">
        <f>+GN!G10</f>
        <v>0.5026034216398696</v>
      </c>
      <c r="W6" s="115" t="str">
        <f>+GN!H10</f>
        <v>CUMPLE</v>
      </c>
      <c r="X6" s="128" t="e">
        <f>+GN!G11</f>
        <v>#DIV/0!</v>
      </c>
      <c r="Y6" s="115" t="e">
        <f>+GN!H11</f>
        <v>#DIV/0!</v>
      </c>
      <c r="Z6" s="130" t="e">
        <f>+GN!G12</f>
        <v>#DIV/0!</v>
      </c>
      <c r="AA6" s="115" t="e">
        <f>+GN!H12</f>
        <v>#DIV/0!</v>
      </c>
      <c r="AB6" s="114" t="e">
        <f>+GN!G13</f>
        <v>#DIV/0!</v>
      </c>
      <c r="AC6" s="115" t="e">
        <f>+GN!H13</f>
        <v>#DIV/0!</v>
      </c>
      <c r="AD6" s="114" t="e">
        <f>+GN!G14</f>
        <v>#DIV/0!</v>
      </c>
      <c r="AE6" s="115" t="e">
        <f>+GN!H14</f>
        <v>#DIV/0!</v>
      </c>
      <c r="AF6" s="114" t="e">
        <f>+GN!G15</f>
        <v>#DIV/0!</v>
      </c>
      <c r="AG6" s="115" t="e">
        <f>+GN!H15</f>
        <v>#DIV/0!</v>
      </c>
      <c r="AH6" s="114" t="e">
        <f>+GN!G16</f>
        <v>#DIV/0!</v>
      </c>
      <c r="AI6" s="115" t="e">
        <f>+GN!H16</f>
        <v>#DIV/0!</v>
      </c>
      <c r="AJ6" s="49"/>
    </row>
    <row r="7" spans="1:37" s="4" customFormat="1" ht="56.25" customHeight="1">
      <c r="A7" s="10"/>
      <c r="B7" s="61" t="s">
        <v>99</v>
      </c>
      <c r="C7" s="29" t="s">
        <v>128</v>
      </c>
      <c r="D7" s="423" t="s">
        <v>8</v>
      </c>
      <c r="E7" s="423"/>
      <c r="F7" s="21" t="s">
        <v>93</v>
      </c>
      <c r="G7" s="29" t="s">
        <v>216</v>
      </c>
      <c r="H7" s="29" t="s">
        <v>7</v>
      </c>
      <c r="I7" s="11">
        <v>25</v>
      </c>
      <c r="J7" s="44" t="s">
        <v>122</v>
      </c>
      <c r="K7" s="29" t="s">
        <v>10</v>
      </c>
      <c r="L7" s="116">
        <f>+'AGUA '!L5</f>
        <v>5.1974012993503248E-3</v>
      </c>
      <c r="M7" s="115" t="str">
        <f>+'AGUA '!M5</f>
        <v>CUMPLE</v>
      </c>
      <c r="N7" s="116">
        <f>+'AGUA '!L6</f>
        <v>2.5327553455749842E-3</v>
      </c>
      <c r="O7" s="115" t="str">
        <f>+'AGUA '!M6</f>
        <v>CUMPLE</v>
      </c>
      <c r="P7" s="128">
        <f>+'AGUA '!L7</f>
        <v>1.9948059768903608E-3</v>
      </c>
      <c r="Q7" s="115" t="str">
        <f>+'AGUA '!M7</f>
        <v>CUMPLE</v>
      </c>
      <c r="R7" s="114">
        <f>+'AGUA '!L8</f>
        <v>9.8225919615114771E-4</v>
      </c>
      <c r="S7" s="115" t="str">
        <f>+'AGUA '!M8</f>
        <v>CUMPLE</v>
      </c>
      <c r="T7" s="130">
        <f>+'AGUA '!L9</f>
        <v>1.0481059228679601E-3</v>
      </c>
      <c r="U7" s="115" t="str">
        <f>+'AGUA '!M9</f>
        <v>CUMPLE</v>
      </c>
      <c r="V7" s="177">
        <f>+'AGUA '!L10</f>
        <v>2.7288084203231254E-3</v>
      </c>
      <c r="W7" s="115" t="str">
        <f>+'AGUA '!M10</f>
        <v>CUMPLE</v>
      </c>
      <c r="X7" s="130" t="e">
        <f>+'AGUA '!L11</f>
        <v>#DIV/0!</v>
      </c>
      <c r="Y7" s="115" t="e">
        <f>+'AGUA '!M11</f>
        <v>#DIV/0!</v>
      </c>
      <c r="Z7" s="55" t="e">
        <f>+'AGUA '!L12</f>
        <v>#DIV/0!</v>
      </c>
      <c r="AA7" s="115" t="e">
        <f>+'AGUA '!M12</f>
        <v>#DIV/0!</v>
      </c>
      <c r="AB7" s="55" t="e">
        <f>+'AGUA '!L13</f>
        <v>#DIV/0!</v>
      </c>
      <c r="AC7" s="115" t="e">
        <f>+'AGUA '!M13</f>
        <v>#DIV/0!</v>
      </c>
      <c r="AD7" s="54" t="e">
        <f>+'AGUA '!L14</f>
        <v>#DIV/0!</v>
      </c>
      <c r="AE7" s="115" t="e">
        <f>+'AGUA '!M14</f>
        <v>#DIV/0!</v>
      </c>
      <c r="AF7" s="214" t="e">
        <f>+'AGUA '!L15</f>
        <v>#DIV/0!</v>
      </c>
      <c r="AG7" s="115" t="e">
        <f>+'AGUA '!M15</f>
        <v>#DIV/0!</v>
      </c>
      <c r="AH7" s="180" t="e">
        <f>+'AGUA '!L16</f>
        <v>#DIV/0!</v>
      </c>
      <c r="AI7" s="115" t="e">
        <f>+'AGUA '!M16</f>
        <v>#DIV/0!</v>
      </c>
      <c r="AJ7" s="53"/>
    </row>
    <row r="8" spans="1:37" s="4" customFormat="1" ht="66" customHeight="1">
      <c r="A8" s="10"/>
      <c r="B8" s="61" t="s">
        <v>98</v>
      </c>
      <c r="C8" s="29" t="s">
        <v>129</v>
      </c>
      <c r="D8" s="423" t="s">
        <v>9</v>
      </c>
      <c r="E8" s="423"/>
      <c r="F8" s="21" t="s">
        <v>33</v>
      </c>
      <c r="G8" s="29" t="s">
        <v>113</v>
      </c>
      <c r="H8" s="29" t="s">
        <v>7</v>
      </c>
      <c r="I8" s="11">
        <v>25</v>
      </c>
      <c r="J8" s="44" t="s">
        <v>46</v>
      </c>
      <c r="K8" s="29" t="s">
        <v>10</v>
      </c>
      <c r="L8" s="116">
        <f>+Vol_VERT!C5</f>
        <v>10</v>
      </c>
      <c r="M8" s="115" t="str">
        <f>+Vol_VERT!E5</f>
        <v>CUMPLE</v>
      </c>
      <c r="N8" s="11">
        <f>+Vol_VERT!C6</f>
        <v>15</v>
      </c>
      <c r="O8" s="115" t="str">
        <f>+Vol_VERT!E6</f>
        <v>CUMPLE</v>
      </c>
      <c r="P8" s="11">
        <f>+Vol_VERT!C7</f>
        <v>10</v>
      </c>
      <c r="Q8" s="115" t="str">
        <f>+Vol_VERT!E7</f>
        <v>CUMPLE</v>
      </c>
      <c r="R8" s="11">
        <f>+Vol_VERT!C8</f>
        <v>6</v>
      </c>
      <c r="S8" s="115" t="str">
        <f>+Vol_VERT!E8</f>
        <v>CUMPLE</v>
      </c>
      <c r="T8" s="47">
        <f>+Vol_VERT!C9</f>
        <v>7</v>
      </c>
      <c r="U8" s="115" t="str">
        <f>+Vol_VERT!E9</f>
        <v>CUMPLE</v>
      </c>
      <c r="V8" s="47">
        <f>+Vol_VERT!C10</f>
        <v>4</v>
      </c>
      <c r="W8" s="115" t="str">
        <f>+Vol_VERT!E10</f>
        <v>CUMPLE</v>
      </c>
      <c r="X8" s="22">
        <f>+Vol_VERT!C11</f>
        <v>0</v>
      </c>
      <c r="Y8" s="115" t="str">
        <f>+Vol_VERT!E11</f>
        <v>CUMPLE</v>
      </c>
      <c r="Z8" s="47">
        <f>+Vol_VERT!C12</f>
        <v>0</v>
      </c>
      <c r="AA8" s="115" t="str">
        <f>+Vol_VERT!E12</f>
        <v>CUMPLE</v>
      </c>
      <c r="AB8" s="47">
        <f>+Vol_VERT!C13</f>
        <v>0</v>
      </c>
      <c r="AC8" s="115" t="str">
        <f>+Vol_VERT!E13</f>
        <v>CUMPLE</v>
      </c>
      <c r="AD8" s="47">
        <f>+Vol_VERT!C14</f>
        <v>0</v>
      </c>
      <c r="AE8" s="115" t="str">
        <f>+Vol_VERT!E14</f>
        <v>CUMPLE</v>
      </c>
      <c r="AF8" s="22">
        <f>+Vol_VERT!C15</f>
        <v>0</v>
      </c>
      <c r="AG8" s="115" t="str">
        <f>+Vol_VERT!E15</f>
        <v>CUMPLE</v>
      </c>
      <c r="AH8" s="107">
        <f>+Vol_VERT!C16</f>
        <v>0</v>
      </c>
      <c r="AI8" s="115" t="str">
        <f>+Vol_VERT!E16</f>
        <v>CUMPLE</v>
      </c>
      <c r="AJ8" s="49"/>
    </row>
    <row r="9" spans="1:37" s="4" customFormat="1" ht="33.75" customHeight="1">
      <c r="A9" s="10"/>
      <c r="B9" s="364" t="s">
        <v>97</v>
      </c>
      <c r="C9" s="29" t="s">
        <v>130</v>
      </c>
      <c r="D9" s="361" t="s">
        <v>49</v>
      </c>
      <c r="E9" s="358"/>
      <c r="F9" s="21" t="s">
        <v>32</v>
      </c>
      <c r="G9" s="29" t="s">
        <v>82</v>
      </c>
      <c r="H9" s="29" t="s">
        <v>7</v>
      </c>
      <c r="I9" s="11">
        <v>6.25</v>
      </c>
      <c r="J9" s="44" t="s">
        <v>83</v>
      </c>
      <c r="K9" s="29" t="s">
        <v>11</v>
      </c>
      <c r="L9" s="29">
        <f>+RESIDUOS!J5</f>
        <v>141.89999999999998</v>
      </c>
      <c r="M9" s="115" t="str">
        <f>+RESIDUOS!O5</f>
        <v>CUMPLE</v>
      </c>
      <c r="N9" s="47">
        <f>+RESIDUOS!J6</f>
        <v>143.4</v>
      </c>
      <c r="O9" s="115" t="str">
        <f>+RESIDUOS!O6</f>
        <v>CUMPLE</v>
      </c>
      <c r="P9" s="47">
        <f>+RESIDUOS!J7</f>
        <v>303.70000000000005</v>
      </c>
      <c r="Q9" s="115" t="str">
        <f>+RESIDUOS!O7</f>
        <v>NO CUMPLE</v>
      </c>
      <c r="R9" s="47">
        <f>+RESIDUOS!J8</f>
        <v>215.3</v>
      </c>
      <c r="S9" s="115" t="str">
        <f>+RESIDUOS!O8</f>
        <v>CUMPLE</v>
      </c>
      <c r="T9" s="47">
        <f>+RESIDUOS!J9</f>
        <v>179.39999999999998</v>
      </c>
      <c r="U9" s="115" t="str">
        <f>+RESIDUOS!O9</f>
        <v>CUMPLE</v>
      </c>
      <c r="V9" s="47">
        <f>+RESIDUOS!J10</f>
        <v>201.19999999999996</v>
      </c>
      <c r="W9" s="115" t="str">
        <f>+RESIDUOS!O10</f>
        <v>CUMPLE</v>
      </c>
      <c r="X9" s="47">
        <f>+RESIDUOS!J11</f>
        <v>0</v>
      </c>
      <c r="Y9" s="115" t="str">
        <f>+RESIDUOS!O11</f>
        <v>CUMPLE</v>
      </c>
      <c r="Z9" s="47">
        <f>+RESIDUOS!J12</f>
        <v>0</v>
      </c>
      <c r="AA9" s="115" t="str">
        <f>+RESIDUOS!O12</f>
        <v>CUMPLE</v>
      </c>
      <c r="AB9" s="47">
        <f>+RESIDUOS!J13</f>
        <v>0</v>
      </c>
      <c r="AC9" s="115" t="str">
        <f>+RESIDUOS!O13</f>
        <v>CUMPLE</v>
      </c>
      <c r="AD9" s="47">
        <f>+RESIDUOS!J14</f>
        <v>0</v>
      </c>
      <c r="AE9" s="115" t="str">
        <f>+RESIDUOS!O14</f>
        <v>CUMPLE</v>
      </c>
      <c r="AF9" s="47">
        <f>+RESIDUOS!J15</f>
        <v>0</v>
      </c>
      <c r="AG9" s="115" t="str">
        <f>+RESIDUOS!O15</f>
        <v>CUMPLE</v>
      </c>
      <c r="AH9" s="47">
        <f>+RESIDUOS!J16</f>
        <v>0</v>
      </c>
      <c r="AI9" s="115" t="str">
        <f>+RESIDUOS!O16</f>
        <v>CUMPLE</v>
      </c>
      <c r="AJ9" s="49"/>
    </row>
    <row r="10" spans="1:37" s="4" customFormat="1" ht="27.75" customHeight="1">
      <c r="A10" s="10"/>
      <c r="B10" s="364"/>
      <c r="C10" s="29" t="s">
        <v>130</v>
      </c>
      <c r="D10" s="361" t="s">
        <v>124</v>
      </c>
      <c r="E10" s="358"/>
      <c r="F10" s="21" t="s">
        <v>6</v>
      </c>
      <c r="G10" s="29" t="s">
        <v>120</v>
      </c>
      <c r="H10" s="29" t="s">
        <v>7</v>
      </c>
      <c r="I10" s="11">
        <v>6.25</v>
      </c>
      <c r="J10" s="44">
        <v>15</v>
      </c>
      <c r="K10" s="29" t="s">
        <v>11</v>
      </c>
      <c r="L10" s="124">
        <f>+RESIDUOS!K5</f>
        <v>0.28000000000000003</v>
      </c>
      <c r="M10" s="115" t="str">
        <f>+RESIDUOS!M5</f>
        <v>CUMPLE</v>
      </c>
      <c r="N10" s="23">
        <f>+RESIDUOS!K6</f>
        <v>0.30882352941176466</v>
      </c>
      <c r="O10" s="115" t="str">
        <f>+RESIDUOS!M6</f>
        <v>CUMPLE</v>
      </c>
      <c r="P10" s="23">
        <f>+RESIDUOS!K7</f>
        <v>0.45454545454545453</v>
      </c>
      <c r="Q10" s="115" t="str">
        <f>+RESIDUOS!M7</f>
        <v>CUMPLE</v>
      </c>
      <c r="R10" s="23">
        <f>+RESIDUOS!K8</f>
        <v>0.35260115606936421</v>
      </c>
      <c r="S10" s="115" t="str">
        <f>+RESIDUOS!M8</f>
        <v>CUMPLE</v>
      </c>
      <c r="T10" s="23">
        <f>+RESIDUOS!K9</f>
        <v>0.5</v>
      </c>
      <c r="U10" s="115" t="str">
        <f>+RESIDUOS!M9</f>
        <v>CUMPLE</v>
      </c>
      <c r="V10" s="23">
        <f>+RESIDUOS!K10</f>
        <v>0.46969696969696972</v>
      </c>
      <c r="W10" s="115" t="str">
        <f>+RESIDUOS!M10</f>
        <v>CUMPLE</v>
      </c>
      <c r="X10" s="27" t="e">
        <f>+RESIDUOS!K11</f>
        <v>#DIV/0!</v>
      </c>
      <c r="Y10" s="115" t="e">
        <f>+RESIDUOS!M11</f>
        <v>#DIV/0!</v>
      </c>
      <c r="Z10" s="23" t="e">
        <f>+RESIDUOS!K12</f>
        <v>#DIV/0!</v>
      </c>
      <c r="AA10" s="115" t="e">
        <f>+RESIDUOS!M12</f>
        <v>#DIV/0!</v>
      </c>
      <c r="AB10" s="23" t="e">
        <f>+RESIDUOS!K13</f>
        <v>#DIV/0!</v>
      </c>
      <c r="AC10" s="115" t="e">
        <f>+RESIDUOS!M13</f>
        <v>#DIV/0!</v>
      </c>
      <c r="AD10" s="23" t="e">
        <f>+RESIDUOS!K14</f>
        <v>#DIV/0!</v>
      </c>
      <c r="AE10" s="115" t="e">
        <f>+RESIDUOS!M14</f>
        <v>#DIV/0!</v>
      </c>
      <c r="AF10" s="23" t="e">
        <f>+RESIDUOS!K15</f>
        <v>#DIV/0!</v>
      </c>
      <c r="AG10" s="115" t="e">
        <f>+RESIDUOS!M15</f>
        <v>#DIV/0!</v>
      </c>
      <c r="AH10" s="60" t="e">
        <f>+RESIDUOS!K16</f>
        <v>#DIV/0!</v>
      </c>
      <c r="AI10" s="115" t="e">
        <f>+RESIDUOS!M16</f>
        <v>#DIV/0!</v>
      </c>
      <c r="AJ10" s="49"/>
    </row>
    <row r="11" spans="1:37" s="4" customFormat="1" ht="29.25" customHeight="1">
      <c r="A11" s="10"/>
      <c r="B11" s="365"/>
      <c r="C11" s="29" t="s">
        <v>130</v>
      </c>
      <c r="D11" s="362" t="s">
        <v>48</v>
      </c>
      <c r="E11" s="363"/>
      <c r="F11" s="28" t="s">
        <v>32</v>
      </c>
      <c r="G11" s="28" t="s">
        <v>112</v>
      </c>
      <c r="H11" s="28" t="s">
        <v>7</v>
      </c>
      <c r="I11" s="38">
        <v>6.25</v>
      </c>
      <c r="J11" s="46" t="s">
        <v>334</v>
      </c>
      <c r="K11" s="29" t="s">
        <v>11</v>
      </c>
      <c r="L11" s="28">
        <f>+'RESPEL '!C37</f>
        <v>74</v>
      </c>
      <c r="M11" s="115" t="str">
        <f>+'RESPEL '!C43</f>
        <v>CUMPLE</v>
      </c>
      <c r="N11" s="28">
        <f>+'RESPEL '!D37</f>
        <v>64</v>
      </c>
      <c r="O11" s="115" t="str">
        <f>+'RESPEL '!D43</f>
        <v>CUMPLE</v>
      </c>
      <c r="P11" s="28">
        <f>+'RESPEL '!E37</f>
        <v>380</v>
      </c>
      <c r="Q11" s="115" t="str">
        <f>+'RESPEL '!E43</f>
        <v>CUMPLE</v>
      </c>
      <c r="R11" s="39">
        <f>+'RESPEL '!F37</f>
        <v>2949</v>
      </c>
      <c r="S11" s="115" t="str">
        <f>+'RESPEL '!F43</f>
        <v>NO CUMPLE</v>
      </c>
      <c r="T11" s="39">
        <f>+'RESPEL '!G37</f>
        <v>1540</v>
      </c>
      <c r="U11" s="115" t="str">
        <f>+'RESPEL '!G43</f>
        <v>NO CUMPLE</v>
      </c>
      <c r="V11" s="40">
        <f>+'RESPEL '!H37</f>
        <v>3165</v>
      </c>
      <c r="W11" s="115" t="str">
        <f>+'RESPEL '!H43</f>
        <v>NO CUMPLE</v>
      </c>
      <c r="X11" s="40">
        <f>+'RESPEL '!I37</f>
        <v>0</v>
      </c>
      <c r="Y11" s="115" t="str">
        <f>+'RESPEL '!I43</f>
        <v>CUMPLE</v>
      </c>
      <c r="Z11" s="40">
        <f>+'RESPEL '!J37</f>
        <v>0</v>
      </c>
      <c r="AA11" s="115" t="str">
        <f>+'RESPEL '!J43</f>
        <v>CUMPLE</v>
      </c>
      <c r="AB11" s="40">
        <f>+'RESPEL '!K37</f>
        <v>0</v>
      </c>
      <c r="AC11" s="115" t="str">
        <f>+'RESPEL '!K43</f>
        <v>CUMPLE</v>
      </c>
      <c r="AD11" s="40">
        <f>+'RESPEL '!L37</f>
        <v>0</v>
      </c>
      <c r="AE11" s="115" t="str">
        <f>+'RESPEL '!L43</f>
        <v>CUMPLE</v>
      </c>
      <c r="AF11" s="40">
        <f>+'RESPEL '!M37</f>
        <v>0</v>
      </c>
      <c r="AG11" s="115" t="str">
        <f>+'RESPEL '!M43</f>
        <v>CUMPLE</v>
      </c>
      <c r="AH11" s="40">
        <f>+'RESPEL '!N37</f>
        <v>0</v>
      </c>
      <c r="AI11" s="115" t="str">
        <f>+'RESPEL '!N43</f>
        <v>CUMPLE</v>
      </c>
      <c r="AJ11" s="49"/>
    </row>
    <row r="12" spans="1:37" s="4" customFormat="1" ht="42" customHeight="1">
      <c r="A12" s="10"/>
      <c r="B12" s="61" t="s">
        <v>96</v>
      </c>
      <c r="C12" s="57" t="s">
        <v>131</v>
      </c>
      <c r="D12" s="361" t="s">
        <v>101</v>
      </c>
      <c r="E12" s="358"/>
      <c r="F12" s="29" t="s">
        <v>104</v>
      </c>
      <c r="G12" s="29" t="s">
        <v>90</v>
      </c>
      <c r="H12" s="29" t="s">
        <v>88</v>
      </c>
      <c r="I12" s="11"/>
      <c r="J12" s="44" t="s">
        <v>91</v>
      </c>
      <c r="K12" s="29" t="s">
        <v>11</v>
      </c>
      <c r="L12" s="361">
        <v>69</v>
      </c>
      <c r="M12" s="409"/>
      <c r="N12" s="409"/>
      <c r="O12" s="409"/>
      <c r="P12" s="409"/>
      <c r="Q12" s="358"/>
      <c r="R12" s="410">
        <v>70.400000000000006</v>
      </c>
      <c r="S12" s="411"/>
      <c r="T12" s="411"/>
      <c r="U12" s="411"/>
      <c r="V12" s="411"/>
      <c r="W12" s="412"/>
      <c r="X12" s="410" t="s">
        <v>343</v>
      </c>
      <c r="Y12" s="411"/>
      <c r="Z12" s="411"/>
      <c r="AA12" s="411"/>
      <c r="AB12" s="411"/>
      <c r="AC12" s="412"/>
      <c r="AD12" s="413">
        <v>65</v>
      </c>
      <c r="AE12" s="414"/>
      <c r="AF12" s="414"/>
      <c r="AG12" s="414"/>
      <c r="AH12" s="414"/>
      <c r="AI12" s="415"/>
    </row>
    <row r="13" spans="1:37" s="4" customFormat="1" ht="40.5" customHeight="1">
      <c r="A13" s="10"/>
      <c r="B13" s="365" t="s">
        <v>100</v>
      </c>
      <c r="C13" s="58" t="s">
        <v>132</v>
      </c>
      <c r="D13" s="361" t="s">
        <v>102</v>
      </c>
      <c r="E13" s="358"/>
      <c r="F13" s="29" t="s">
        <v>86</v>
      </c>
      <c r="G13" s="29" t="s">
        <v>106</v>
      </c>
      <c r="H13" s="29" t="s">
        <v>87</v>
      </c>
      <c r="I13" s="11"/>
      <c r="J13" s="44" t="s">
        <v>94</v>
      </c>
      <c r="K13" s="29" t="s">
        <v>11</v>
      </c>
      <c r="L13" s="418" t="s">
        <v>343</v>
      </c>
      <c r="M13" s="419"/>
      <c r="N13" s="419"/>
      <c r="O13" s="419"/>
      <c r="P13" s="419"/>
      <c r="Q13" s="419"/>
      <c r="R13" s="419"/>
      <c r="S13" s="419"/>
      <c r="T13" s="419"/>
      <c r="U13" s="419"/>
      <c r="V13" s="419"/>
      <c r="W13" s="420"/>
      <c r="X13" s="422" t="s">
        <v>343</v>
      </c>
      <c r="Y13" s="422"/>
      <c r="Z13" s="422"/>
      <c r="AA13" s="422"/>
      <c r="AB13" s="422"/>
      <c r="AC13" s="422"/>
      <c r="AD13" s="422"/>
      <c r="AE13" s="422"/>
      <c r="AF13" s="422"/>
      <c r="AG13" s="422"/>
      <c r="AH13" s="422"/>
      <c r="AI13" s="422"/>
    </row>
    <row r="14" spans="1:37" s="4" customFormat="1" ht="40.5" customHeight="1" thickBot="1">
      <c r="A14" s="10"/>
      <c r="B14" s="370"/>
      <c r="C14" s="58" t="s">
        <v>132</v>
      </c>
      <c r="D14" s="362" t="s">
        <v>103</v>
      </c>
      <c r="E14" s="363"/>
      <c r="F14" s="28" t="s">
        <v>86</v>
      </c>
      <c r="G14" s="28" t="s">
        <v>105</v>
      </c>
      <c r="H14" s="28" t="s">
        <v>87</v>
      </c>
      <c r="I14" s="38"/>
      <c r="J14" s="46" t="s">
        <v>95</v>
      </c>
      <c r="K14" s="28" t="s">
        <v>11</v>
      </c>
      <c r="L14" s="362" t="s">
        <v>343</v>
      </c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363"/>
      <c r="X14" s="417" t="s">
        <v>343</v>
      </c>
      <c r="Y14" s="417"/>
      <c r="Z14" s="417"/>
      <c r="AA14" s="417"/>
      <c r="AB14" s="417"/>
      <c r="AC14" s="417"/>
      <c r="AD14" s="417"/>
      <c r="AE14" s="417"/>
      <c r="AF14" s="417"/>
      <c r="AG14" s="417"/>
      <c r="AH14" s="417"/>
      <c r="AI14" s="417"/>
    </row>
    <row r="15" spans="1:37" s="4" customFormat="1" ht="30.75" customHeight="1" thickBot="1">
      <c r="A15" s="10"/>
      <c r="B15" s="366" t="s">
        <v>34</v>
      </c>
      <c r="C15" s="371"/>
      <c r="D15" s="366" t="s">
        <v>35</v>
      </c>
      <c r="E15" s="367"/>
      <c r="F15" s="161" t="s">
        <v>6</v>
      </c>
      <c r="G15" s="162"/>
      <c r="H15" s="163" t="s">
        <v>7</v>
      </c>
      <c r="I15" s="164">
        <v>100</v>
      </c>
      <c r="J15" s="165">
        <v>0.8</v>
      </c>
      <c r="K15" s="164" t="s">
        <v>10</v>
      </c>
      <c r="L15" s="165">
        <f>5/5</f>
        <v>1</v>
      </c>
      <c r="M15" s="166" t="str">
        <f>+IF(L15&gt;=80%,"CUMPLE","NO CUMPLE")</f>
        <v>CUMPLE</v>
      </c>
      <c r="N15" s="165">
        <f>5/5</f>
        <v>1</v>
      </c>
      <c r="O15" s="166" t="str">
        <f>+IF(N15&gt;=80%,"CUMPLE","NO CUMPLE")</f>
        <v>CUMPLE</v>
      </c>
      <c r="P15" s="165">
        <f>4/5</f>
        <v>0.8</v>
      </c>
      <c r="Q15" s="166" t="str">
        <f>+IF(P15&gt;=80%,"CUMPLE","NO CUMPLE")</f>
        <v>CUMPLE</v>
      </c>
      <c r="R15" s="165">
        <f>4/5</f>
        <v>0.8</v>
      </c>
      <c r="S15" s="166" t="str">
        <f>+IF(R15&gt;=80%,"CUMPLE","NO CUMPLE")</f>
        <v>CUMPLE</v>
      </c>
      <c r="T15" s="165">
        <f>4/5</f>
        <v>0.8</v>
      </c>
      <c r="U15" s="166" t="str">
        <f>+IF(T15&gt;=80%,"CUMPLE","NO CUMPLE")</f>
        <v>CUMPLE</v>
      </c>
      <c r="V15" s="165">
        <f>5/5</f>
        <v>1</v>
      </c>
      <c r="W15" s="166" t="str">
        <f>+IF(V15&gt;=80%,"CUMPLE","NO CUMPLE")</f>
        <v>CUMPLE</v>
      </c>
      <c r="X15" s="165"/>
      <c r="Y15" s="166" t="str">
        <f>+IF(X15&gt;=80%,"CUMPLE","NO CUMPLE")</f>
        <v>NO CUMPLE</v>
      </c>
      <c r="Z15" s="165"/>
      <c r="AA15" s="166" t="str">
        <f>+IF(Z15&gt;=80%,"CUMPLE","NO CUMPLE")</f>
        <v>NO CUMPLE</v>
      </c>
      <c r="AB15" s="165"/>
      <c r="AC15" s="166" t="str">
        <f>+IF(AB15&gt;=80%,"CUMPLE","NO CUMPLE")</f>
        <v>NO CUMPLE</v>
      </c>
      <c r="AD15" s="165"/>
      <c r="AE15" s="166" t="str">
        <f>+IF(AD15&gt;=80%,"CUMPLE","NO CUMPLE")</f>
        <v>NO CUMPLE</v>
      </c>
      <c r="AF15" s="165"/>
      <c r="AG15" s="166" t="str">
        <f>+IF(AF15&gt;=80%,"CUMPLE","NO CUMPLE")</f>
        <v>NO CUMPLE</v>
      </c>
      <c r="AH15" s="165"/>
      <c r="AI15" s="167" t="str">
        <f>+IF(AH15&gt;=80%,"CUMPLE","NO CUMPLE")</f>
        <v>NO CUMPLE</v>
      </c>
    </row>
    <row r="16" spans="1:37" s="4" customFormat="1" ht="33.75" customHeight="1" thickTop="1">
      <c r="A16" s="10"/>
      <c r="B16" s="372" t="s">
        <v>79</v>
      </c>
      <c r="C16" s="373"/>
      <c r="D16" s="368" t="s">
        <v>37</v>
      </c>
      <c r="E16" s="369"/>
      <c r="F16" s="14" t="s">
        <v>39</v>
      </c>
      <c r="G16" s="14" t="s">
        <v>38</v>
      </c>
      <c r="H16" s="14" t="s">
        <v>7</v>
      </c>
      <c r="I16" s="14">
        <v>33.33</v>
      </c>
      <c r="J16" s="6">
        <v>0</v>
      </c>
      <c r="K16" s="14" t="s">
        <v>10</v>
      </c>
      <c r="L16" s="14">
        <v>0</v>
      </c>
      <c r="M16" s="14"/>
      <c r="N16" s="14">
        <v>0</v>
      </c>
      <c r="O16" s="14"/>
      <c r="P16" s="14">
        <v>0</v>
      </c>
      <c r="Q16" s="14"/>
      <c r="R16" s="14">
        <v>0</v>
      </c>
      <c r="S16" s="14"/>
      <c r="T16" s="14">
        <v>0</v>
      </c>
      <c r="U16" s="14"/>
      <c r="V16" s="14">
        <v>0</v>
      </c>
      <c r="W16" s="14"/>
      <c r="X16" s="14">
        <v>0</v>
      </c>
      <c r="Y16" s="14"/>
      <c r="Z16" s="14">
        <v>0</v>
      </c>
      <c r="AA16" s="14"/>
      <c r="AB16" s="14">
        <v>0</v>
      </c>
      <c r="AC16" s="14"/>
      <c r="AD16" s="14">
        <v>0</v>
      </c>
      <c r="AE16" s="14"/>
      <c r="AF16" s="14">
        <v>0</v>
      </c>
      <c r="AG16" s="14"/>
      <c r="AH16" s="62">
        <v>0</v>
      </c>
      <c r="AI16" s="12"/>
      <c r="AJ16" s="50"/>
    </row>
    <row r="17" spans="1:36" s="4" customFormat="1" ht="25.5" customHeight="1">
      <c r="A17" s="10"/>
      <c r="B17" s="374"/>
      <c r="C17" s="375"/>
      <c r="D17" s="416" t="s">
        <v>76</v>
      </c>
      <c r="E17" s="363"/>
      <c r="F17" s="14" t="s">
        <v>39</v>
      </c>
      <c r="G17" s="14" t="s">
        <v>77</v>
      </c>
      <c r="H17" s="14" t="s">
        <v>7</v>
      </c>
      <c r="I17" s="14"/>
      <c r="J17" s="6">
        <v>0</v>
      </c>
      <c r="K17" s="14" t="s">
        <v>10</v>
      </c>
      <c r="L17" s="14">
        <v>0</v>
      </c>
      <c r="M17" s="14"/>
      <c r="N17" s="14">
        <v>0</v>
      </c>
      <c r="O17" s="14"/>
      <c r="P17" s="14">
        <v>0</v>
      </c>
      <c r="Q17" s="14"/>
      <c r="R17" s="14">
        <v>0</v>
      </c>
      <c r="S17" s="14"/>
      <c r="T17" s="14">
        <v>0</v>
      </c>
      <c r="U17" s="14"/>
      <c r="V17" s="14">
        <v>0</v>
      </c>
      <c r="W17" s="14"/>
      <c r="X17" s="14">
        <v>0</v>
      </c>
      <c r="Y17" s="14"/>
      <c r="Z17" s="14">
        <v>0</v>
      </c>
      <c r="AA17" s="14"/>
      <c r="AB17" s="14">
        <v>0</v>
      </c>
      <c r="AC17" s="14"/>
      <c r="AD17" s="14">
        <v>0</v>
      </c>
      <c r="AE17" s="14"/>
      <c r="AF17" s="14">
        <v>0</v>
      </c>
      <c r="AG17" s="14"/>
      <c r="AH17" s="62">
        <v>0</v>
      </c>
      <c r="AI17" s="12"/>
      <c r="AJ17" s="50"/>
    </row>
    <row r="18" spans="1:36" s="4" customFormat="1" ht="24" customHeight="1">
      <c r="A18" s="10"/>
      <c r="B18" s="376"/>
      <c r="C18" s="377"/>
      <c r="D18" s="376"/>
      <c r="E18" s="391"/>
      <c r="F18" s="14" t="s">
        <v>39</v>
      </c>
      <c r="G18" s="14" t="s">
        <v>78</v>
      </c>
      <c r="H18" s="14" t="s">
        <v>7</v>
      </c>
      <c r="I18" s="14"/>
      <c r="J18" s="6">
        <v>0</v>
      </c>
      <c r="K18" s="14" t="s">
        <v>10</v>
      </c>
      <c r="L18" s="14">
        <v>0</v>
      </c>
      <c r="M18" s="14"/>
      <c r="N18" s="14">
        <v>0</v>
      </c>
      <c r="O18" s="14"/>
      <c r="P18" s="14">
        <v>0</v>
      </c>
      <c r="Q18" s="14"/>
      <c r="R18" s="14">
        <v>0</v>
      </c>
      <c r="S18" s="14"/>
      <c r="T18" s="14">
        <v>0</v>
      </c>
      <c r="U18" s="14"/>
      <c r="V18" s="14">
        <v>0</v>
      </c>
      <c r="W18" s="14"/>
      <c r="X18" s="14">
        <v>0</v>
      </c>
      <c r="Y18" s="14"/>
      <c r="Z18" s="14">
        <v>0</v>
      </c>
      <c r="AA18" s="14"/>
      <c r="AB18" s="14">
        <v>0</v>
      </c>
      <c r="AC18" s="14"/>
      <c r="AD18" s="14">
        <v>0</v>
      </c>
      <c r="AE18" s="14"/>
      <c r="AF18" s="14">
        <v>0</v>
      </c>
      <c r="AG18" s="14"/>
      <c r="AH18" s="62">
        <v>0</v>
      </c>
      <c r="AI18" s="12"/>
      <c r="AJ18" s="50"/>
    </row>
    <row r="19" spans="1:36" s="4" customFormat="1" ht="39" customHeight="1">
      <c r="A19" s="10"/>
      <c r="B19" s="357" t="s">
        <v>80</v>
      </c>
      <c r="C19" s="378"/>
      <c r="D19" s="357" t="s">
        <v>43</v>
      </c>
      <c r="E19" s="358"/>
      <c r="F19" s="29" t="s">
        <v>6</v>
      </c>
      <c r="G19" s="29" t="s">
        <v>42</v>
      </c>
      <c r="H19" s="14" t="s">
        <v>7</v>
      </c>
      <c r="I19" s="29">
        <v>33.33</v>
      </c>
      <c r="J19" s="1">
        <v>1</v>
      </c>
      <c r="K19" s="29" t="s">
        <v>10</v>
      </c>
      <c r="L19" s="1">
        <v>1</v>
      </c>
      <c r="M19" s="1"/>
      <c r="N19" s="1">
        <v>1</v>
      </c>
      <c r="O19" s="1"/>
      <c r="P19" s="1">
        <v>0</v>
      </c>
      <c r="Q19" s="1"/>
      <c r="R19" s="1">
        <v>0</v>
      </c>
      <c r="S19" s="1"/>
      <c r="T19" s="1">
        <v>0</v>
      </c>
      <c r="U19" s="1"/>
      <c r="V19" s="1">
        <v>1</v>
      </c>
      <c r="W19" s="1"/>
      <c r="X19" s="1">
        <v>1</v>
      </c>
      <c r="Y19" s="1"/>
      <c r="Z19" s="1">
        <v>1</v>
      </c>
      <c r="AA19" s="1"/>
      <c r="AB19" s="1">
        <v>1</v>
      </c>
      <c r="AC19" s="1"/>
      <c r="AD19" s="1">
        <v>1</v>
      </c>
      <c r="AE19" s="1"/>
      <c r="AF19" s="1">
        <v>1</v>
      </c>
      <c r="AG19" s="41"/>
      <c r="AH19" s="179">
        <v>100</v>
      </c>
      <c r="AI19" s="42"/>
      <c r="AJ19" s="51"/>
    </row>
    <row r="20" spans="1:36" s="4" customFormat="1" ht="33" customHeight="1" thickBot="1">
      <c r="A20" s="10"/>
      <c r="B20" s="379" t="s">
        <v>81</v>
      </c>
      <c r="C20" s="380"/>
      <c r="D20" s="359" t="s">
        <v>74</v>
      </c>
      <c r="E20" s="360"/>
      <c r="F20" s="17" t="s">
        <v>39</v>
      </c>
      <c r="G20" s="17" t="s">
        <v>75</v>
      </c>
      <c r="H20" s="17" t="s">
        <v>7</v>
      </c>
      <c r="I20" s="17">
        <v>33.33</v>
      </c>
      <c r="J20" s="18">
        <v>0</v>
      </c>
      <c r="K20" s="17" t="s">
        <v>10</v>
      </c>
      <c r="L20" s="17">
        <v>0</v>
      </c>
      <c r="M20" s="18"/>
      <c r="N20" s="18">
        <v>0</v>
      </c>
      <c r="O20" s="18"/>
      <c r="P20" s="18">
        <v>0</v>
      </c>
      <c r="Q20" s="18"/>
      <c r="R20" s="18">
        <v>0</v>
      </c>
      <c r="S20" s="19"/>
      <c r="T20" s="19">
        <v>0</v>
      </c>
      <c r="U20" s="19"/>
      <c r="V20" s="19">
        <v>0</v>
      </c>
      <c r="W20" s="19"/>
      <c r="X20" s="19">
        <v>0</v>
      </c>
      <c r="Y20" s="19"/>
      <c r="Z20" s="19">
        <v>0</v>
      </c>
      <c r="AA20" s="19"/>
      <c r="AB20" s="19">
        <v>0</v>
      </c>
      <c r="AC20" s="19"/>
      <c r="AD20" s="19">
        <v>0</v>
      </c>
      <c r="AE20" s="19"/>
      <c r="AF20" s="19">
        <v>0</v>
      </c>
      <c r="AG20" s="19"/>
      <c r="AH20" s="108">
        <v>0</v>
      </c>
      <c r="AI20" s="20"/>
      <c r="AJ20" s="52"/>
    </row>
    <row r="21" spans="1:36" s="4" customFormat="1" ht="10.5" customHeight="1">
      <c r="A21" s="10"/>
      <c r="B21" s="15"/>
      <c r="C21" s="15"/>
      <c r="D21" s="15"/>
      <c r="E21" s="15"/>
      <c r="F21" s="15"/>
      <c r="G21" s="15"/>
      <c r="H21" s="15"/>
      <c r="I21" s="15"/>
      <c r="J21" s="16"/>
      <c r="K21" s="15"/>
      <c r="L21" s="15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1:36"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6" ht="24.75" customHeight="1" thickBot="1">
      <c r="B23" s="356" t="s">
        <v>125</v>
      </c>
      <c r="C23" s="356"/>
      <c r="D23" s="356"/>
      <c r="E23" s="356"/>
      <c r="F23" s="356"/>
      <c r="G23" s="356"/>
      <c r="H23" s="356"/>
      <c r="I23" s="356"/>
      <c r="J23" s="356"/>
      <c r="K23" s="356"/>
      <c r="L23" s="56">
        <f>+(L4+L15)/2</f>
        <v>1</v>
      </c>
      <c r="M23" s="123" t="str">
        <f>+IF(L23&gt;=85%,"CUMPLE","NO CUMPLE")</f>
        <v>CUMPLE</v>
      </c>
      <c r="N23" s="56">
        <f>+(N4+N15)/2</f>
        <v>1</v>
      </c>
      <c r="O23" s="123" t="str">
        <f>+IF(N23&gt;=85%,"CUMPLE","NO CUMPLE")</f>
        <v>CUMPLE</v>
      </c>
      <c r="P23" s="56">
        <f>+(P4+P15)/2</f>
        <v>0.9</v>
      </c>
      <c r="Q23" s="123" t="str">
        <f>+IF(P23&gt;=85%,"CUMPLE","NO CUMPLE")</f>
        <v>CUMPLE</v>
      </c>
      <c r="R23" s="56">
        <f>+(R4+R15)/2</f>
        <v>0.9</v>
      </c>
      <c r="S23" s="123" t="str">
        <f>+IF(R23&gt;=85%,"CUMPLE","NO CUMPLE")</f>
        <v>CUMPLE</v>
      </c>
      <c r="T23" s="56">
        <f>+(T4+T15)/2</f>
        <v>0.82857142857142851</v>
      </c>
      <c r="U23" s="123" t="str">
        <f>+IF(T23&gt;=85%,"CUMPLE","NO CUMPLE")</f>
        <v>NO CUMPLE</v>
      </c>
      <c r="V23" s="56">
        <f>+(V4+V15)/2</f>
        <v>1</v>
      </c>
      <c r="W23" s="123" t="str">
        <f>+IF(V23&gt;=85%,"CUMPLE","NO CUMPLE")</f>
        <v>CUMPLE</v>
      </c>
      <c r="X23" s="56">
        <f>+(X4+X15)/2</f>
        <v>0</v>
      </c>
      <c r="Y23" s="123" t="str">
        <f>+IF(X23&gt;=85%,"CUMPLE","NO CUMPLE")</f>
        <v>NO CUMPLE</v>
      </c>
      <c r="Z23" s="56">
        <f>+(Z4+Z15)/2</f>
        <v>0</v>
      </c>
      <c r="AA23" s="123" t="str">
        <f>+IF(Z23&gt;=85%,"CUMPLE","NO CUMPLE")</f>
        <v>NO CUMPLE</v>
      </c>
      <c r="AB23" s="56">
        <f>+(AB4+AB15)/2</f>
        <v>0</v>
      </c>
      <c r="AC23" s="123" t="str">
        <f>+IF(AB23&gt;=85%,"CUMPLE","NO CUMPLE")</f>
        <v>NO CUMPLE</v>
      </c>
      <c r="AD23" s="56">
        <f>+(AD4+AD15)/2</f>
        <v>0</v>
      </c>
      <c r="AE23" s="123" t="str">
        <f>+IF(AD23&gt;=85%,"CUMPLE","NO CUMPLE")</f>
        <v>NO CUMPLE</v>
      </c>
      <c r="AF23" s="56">
        <f>+(AF4+AF15)/2</f>
        <v>0</v>
      </c>
      <c r="AG23" s="123" t="str">
        <f>+IF(AF23&gt;=85%,"CUMPLE","NO CUMPLE")</f>
        <v>NO CUMPLE</v>
      </c>
      <c r="AH23" s="56">
        <f>+(AH4+AH15)/2</f>
        <v>0</v>
      </c>
      <c r="AI23" s="123" t="str">
        <f>+IF(AH23&gt;=85%,"CUMPLE","NO CUMPLE")</f>
        <v>NO CUMPLE</v>
      </c>
    </row>
    <row r="24" spans="1:36" ht="15.75" thickTop="1"/>
  </sheetData>
  <mergeCells count="51">
    <mergeCell ref="AB3:AC3"/>
    <mergeCell ref="AD3:AE3"/>
    <mergeCell ref="AF3:AG3"/>
    <mergeCell ref="D7:E7"/>
    <mergeCell ref="D8:E8"/>
    <mergeCell ref="Z3:AA3"/>
    <mergeCell ref="L3:M3"/>
    <mergeCell ref="N3:O3"/>
    <mergeCell ref="P3:Q3"/>
    <mergeCell ref="D17:E18"/>
    <mergeCell ref="X14:AI14"/>
    <mergeCell ref="L13:W13"/>
    <mergeCell ref="L14:W14"/>
    <mergeCell ref="X13:AI13"/>
    <mergeCell ref="L12:Q12"/>
    <mergeCell ref="R12:W12"/>
    <mergeCell ref="X12:AC12"/>
    <mergeCell ref="AD12:AI12"/>
    <mergeCell ref="D14:E14"/>
    <mergeCell ref="B16:C18"/>
    <mergeCell ref="D12:E12"/>
    <mergeCell ref="B19:C19"/>
    <mergeCell ref="B20:C20"/>
    <mergeCell ref="AC1:AI1"/>
    <mergeCell ref="AC2:AI2"/>
    <mergeCell ref="D4:E4"/>
    <mergeCell ref="D5:E5"/>
    <mergeCell ref="B1:D2"/>
    <mergeCell ref="E2:M2"/>
    <mergeCell ref="D3:E3"/>
    <mergeCell ref="E1:AB1"/>
    <mergeCell ref="N2:AB2"/>
    <mergeCell ref="B5:B6"/>
    <mergeCell ref="D6:E6"/>
    <mergeCell ref="X3:Y3"/>
    <mergeCell ref="AH3:AI3"/>
    <mergeCell ref="R3:S3"/>
    <mergeCell ref="T3:U3"/>
    <mergeCell ref="V3:W3"/>
    <mergeCell ref="B23:K23"/>
    <mergeCell ref="D19:E19"/>
    <mergeCell ref="D20:E20"/>
    <mergeCell ref="D9:E9"/>
    <mergeCell ref="D10:E10"/>
    <mergeCell ref="D11:E11"/>
    <mergeCell ref="D13:E13"/>
    <mergeCell ref="B9:B11"/>
    <mergeCell ref="D15:E15"/>
    <mergeCell ref="D16:E16"/>
    <mergeCell ref="B13:B14"/>
    <mergeCell ref="B15:C15"/>
  </mergeCells>
  <conditionalFormatting sqref="M4">
    <cfRule type="containsText" dxfId="239" priority="245" operator="containsText" text="NO CUMPLE">
      <formula>NOT(ISERROR(SEARCH("NO CUMPLE",M4)))</formula>
    </cfRule>
    <cfRule type="containsText" dxfId="238" priority="246" operator="containsText" text="CUMPLE">
      <formula>NOT(ISERROR(SEARCH("CUMPLE",M4)))</formula>
    </cfRule>
  </conditionalFormatting>
  <conditionalFormatting sqref="O4">
    <cfRule type="containsText" dxfId="237" priority="243" operator="containsText" text="NO CUMPLE">
      <formula>NOT(ISERROR(SEARCH("NO CUMPLE",O4)))</formula>
    </cfRule>
    <cfRule type="containsText" dxfId="236" priority="244" operator="containsText" text="CUMPLE">
      <formula>NOT(ISERROR(SEARCH("CUMPLE",O4)))</formula>
    </cfRule>
  </conditionalFormatting>
  <conditionalFormatting sqref="Q4">
    <cfRule type="containsText" dxfId="235" priority="241" operator="containsText" text="NO CUMPLE">
      <formula>NOT(ISERROR(SEARCH("NO CUMPLE",Q4)))</formula>
    </cfRule>
    <cfRule type="containsText" dxfId="234" priority="242" operator="containsText" text="CUMPLE">
      <formula>NOT(ISERROR(SEARCH("CUMPLE",Q4)))</formula>
    </cfRule>
  </conditionalFormatting>
  <conditionalFormatting sqref="S4">
    <cfRule type="containsText" dxfId="233" priority="239" operator="containsText" text="NO CUMPLE">
      <formula>NOT(ISERROR(SEARCH("NO CUMPLE",S4)))</formula>
    </cfRule>
    <cfRule type="containsText" dxfId="232" priority="240" operator="containsText" text="CUMPLE">
      <formula>NOT(ISERROR(SEARCH("CUMPLE",S4)))</formula>
    </cfRule>
  </conditionalFormatting>
  <conditionalFormatting sqref="U4">
    <cfRule type="containsText" dxfId="231" priority="237" operator="containsText" text="NO CUMPLE">
      <formula>NOT(ISERROR(SEARCH("NO CUMPLE",U4)))</formula>
    </cfRule>
    <cfRule type="containsText" dxfId="230" priority="238" operator="containsText" text="CUMPLE">
      <formula>NOT(ISERROR(SEARCH("CUMPLE",U4)))</formula>
    </cfRule>
  </conditionalFormatting>
  <conditionalFormatting sqref="W4">
    <cfRule type="containsText" dxfId="229" priority="235" operator="containsText" text="NO CUMPLE">
      <formula>NOT(ISERROR(SEARCH("NO CUMPLE",W4)))</formula>
    </cfRule>
    <cfRule type="containsText" dxfId="228" priority="236" operator="containsText" text="CUMPLE">
      <formula>NOT(ISERROR(SEARCH("CUMPLE",W4)))</formula>
    </cfRule>
  </conditionalFormatting>
  <conditionalFormatting sqref="Y4">
    <cfRule type="containsText" dxfId="227" priority="233" operator="containsText" text="NO CUMPLE">
      <formula>NOT(ISERROR(SEARCH("NO CUMPLE",Y4)))</formula>
    </cfRule>
    <cfRule type="containsText" dxfId="226" priority="234" operator="containsText" text="CUMPLE">
      <formula>NOT(ISERROR(SEARCH("CUMPLE",Y4)))</formula>
    </cfRule>
  </conditionalFormatting>
  <conditionalFormatting sqref="AA4">
    <cfRule type="containsText" dxfId="225" priority="231" operator="containsText" text="NO CUMPLE">
      <formula>NOT(ISERROR(SEARCH("NO CUMPLE",AA4)))</formula>
    </cfRule>
    <cfRule type="containsText" dxfId="224" priority="232" operator="containsText" text="CUMPLE">
      <formula>NOT(ISERROR(SEARCH("CUMPLE",AA4)))</formula>
    </cfRule>
  </conditionalFormatting>
  <conditionalFormatting sqref="M6">
    <cfRule type="containsText" dxfId="223" priority="219" operator="containsText" text="NO CUMPLE">
      <formula>NOT(ISERROR(SEARCH("NO CUMPLE",M6)))</formula>
    </cfRule>
    <cfRule type="containsText" dxfId="222" priority="220" operator="containsText" text="CUMPLE">
      <formula>NOT(ISERROR(SEARCH("CUMPLE",M6)))</formula>
    </cfRule>
  </conditionalFormatting>
  <conditionalFormatting sqref="AC4">
    <cfRule type="containsText" dxfId="221" priority="229" operator="containsText" text="NO CUMPLE">
      <formula>NOT(ISERROR(SEARCH("NO CUMPLE",AC4)))</formula>
    </cfRule>
    <cfRule type="containsText" dxfId="220" priority="230" operator="containsText" text="CUMPLE">
      <formula>NOT(ISERROR(SEARCH("CUMPLE",AC4)))</formula>
    </cfRule>
  </conditionalFormatting>
  <conditionalFormatting sqref="AE4">
    <cfRule type="containsText" dxfId="219" priority="227" operator="containsText" text="NO CUMPLE">
      <formula>NOT(ISERROR(SEARCH("NO CUMPLE",AE4)))</formula>
    </cfRule>
    <cfRule type="containsText" dxfId="218" priority="228" operator="containsText" text="CUMPLE">
      <formula>NOT(ISERROR(SEARCH("CUMPLE",AE4)))</formula>
    </cfRule>
  </conditionalFormatting>
  <conditionalFormatting sqref="AG4">
    <cfRule type="containsText" dxfId="217" priority="225" operator="containsText" text="NO CUMPLE">
      <formula>NOT(ISERROR(SEARCH("NO CUMPLE",AG4)))</formula>
    </cfRule>
    <cfRule type="containsText" dxfId="216" priority="226" operator="containsText" text="CUMPLE">
      <formula>NOT(ISERROR(SEARCH("CUMPLE",AG4)))</formula>
    </cfRule>
  </conditionalFormatting>
  <conditionalFormatting sqref="AI4">
    <cfRule type="containsText" dxfId="215" priority="223" operator="containsText" text="NO CUMPLE">
      <formula>NOT(ISERROR(SEARCH("NO CUMPLE",AI4)))</formula>
    </cfRule>
    <cfRule type="containsText" dxfId="214" priority="224" operator="containsText" text="CUMPLE">
      <formula>NOT(ISERROR(SEARCH("CUMPLE",AI4)))</formula>
    </cfRule>
  </conditionalFormatting>
  <conditionalFormatting sqref="M5">
    <cfRule type="containsText" dxfId="213" priority="221" operator="containsText" text="NO CUMPLE">
      <formula>NOT(ISERROR(SEARCH("NO CUMPLE",M5)))</formula>
    </cfRule>
    <cfRule type="containsText" dxfId="212" priority="222" operator="containsText" text="CUMPLE">
      <formula>NOT(ISERROR(SEARCH("CUMPLE",M5)))</formula>
    </cfRule>
  </conditionalFormatting>
  <conditionalFormatting sqref="O6">
    <cfRule type="containsText" dxfId="211" priority="215" operator="containsText" text="NO CUMPLE">
      <formula>NOT(ISERROR(SEARCH("NO CUMPLE",O6)))</formula>
    </cfRule>
    <cfRule type="containsText" dxfId="210" priority="216" operator="containsText" text="CUMPLE">
      <formula>NOT(ISERROR(SEARCH("CUMPLE",O6)))</formula>
    </cfRule>
  </conditionalFormatting>
  <conditionalFormatting sqref="Q6">
    <cfRule type="containsText" dxfId="209" priority="213" operator="containsText" text="NO CUMPLE">
      <formula>NOT(ISERROR(SEARCH("NO CUMPLE",Q6)))</formula>
    </cfRule>
    <cfRule type="containsText" dxfId="208" priority="214" operator="containsText" text="CUMPLE">
      <formula>NOT(ISERROR(SEARCH("CUMPLE",Q6)))</formula>
    </cfRule>
  </conditionalFormatting>
  <conditionalFormatting sqref="S6">
    <cfRule type="containsText" dxfId="207" priority="211" operator="containsText" text="NO CUMPLE">
      <formula>NOT(ISERROR(SEARCH("NO CUMPLE",S6)))</formula>
    </cfRule>
    <cfRule type="containsText" dxfId="206" priority="212" operator="containsText" text="CUMPLE">
      <formula>NOT(ISERROR(SEARCH("CUMPLE",S6)))</formula>
    </cfRule>
  </conditionalFormatting>
  <conditionalFormatting sqref="U6">
    <cfRule type="containsText" dxfId="205" priority="209" operator="containsText" text="NO CUMPLE">
      <formula>NOT(ISERROR(SEARCH("NO CUMPLE",U6)))</formula>
    </cfRule>
    <cfRule type="containsText" dxfId="204" priority="210" operator="containsText" text="CUMPLE">
      <formula>NOT(ISERROR(SEARCH("CUMPLE",U6)))</formula>
    </cfRule>
  </conditionalFormatting>
  <conditionalFormatting sqref="W6">
    <cfRule type="containsText" dxfId="203" priority="207" operator="containsText" text="NO CUMPLE">
      <formula>NOT(ISERROR(SEARCH("NO CUMPLE",W6)))</formula>
    </cfRule>
    <cfRule type="containsText" dxfId="202" priority="208" operator="containsText" text="CUMPLE">
      <formula>NOT(ISERROR(SEARCH("CUMPLE",W6)))</formula>
    </cfRule>
  </conditionalFormatting>
  <conditionalFormatting sqref="Y6">
    <cfRule type="containsText" dxfId="201" priority="205" operator="containsText" text="NO CUMPLE">
      <formula>NOT(ISERROR(SEARCH("NO CUMPLE",Y6)))</formula>
    </cfRule>
    <cfRule type="containsText" dxfId="200" priority="206" operator="containsText" text="CUMPLE">
      <formula>NOT(ISERROR(SEARCH("CUMPLE",Y6)))</formula>
    </cfRule>
  </conditionalFormatting>
  <conditionalFormatting sqref="AA6">
    <cfRule type="containsText" dxfId="199" priority="203" operator="containsText" text="NO CUMPLE">
      <formula>NOT(ISERROR(SEARCH("NO CUMPLE",AA6)))</formula>
    </cfRule>
    <cfRule type="containsText" dxfId="198" priority="204" operator="containsText" text="CUMPLE">
      <formula>NOT(ISERROR(SEARCH("CUMPLE",AA6)))</formula>
    </cfRule>
  </conditionalFormatting>
  <conditionalFormatting sqref="AC6">
    <cfRule type="containsText" dxfId="197" priority="201" operator="containsText" text="NO CUMPLE">
      <formula>NOT(ISERROR(SEARCH("NO CUMPLE",AC6)))</formula>
    </cfRule>
    <cfRule type="containsText" dxfId="196" priority="202" operator="containsText" text="CUMPLE">
      <formula>NOT(ISERROR(SEARCH("CUMPLE",AC6)))</formula>
    </cfRule>
  </conditionalFormatting>
  <conditionalFormatting sqref="AE6">
    <cfRule type="containsText" dxfId="195" priority="199" operator="containsText" text="NO CUMPLE">
      <formula>NOT(ISERROR(SEARCH("NO CUMPLE",AE6)))</formula>
    </cfRule>
    <cfRule type="containsText" dxfId="194" priority="200" operator="containsText" text="CUMPLE">
      <formula>NOT(ISERROR(SEARCH("CUMPLE",AE6)))</formula>
    </cfRule>
  </conditionalFormatting>
  <conditionalFormatting sqref="AG6">
    <cfRule type="containsText" dxfId="193" priority="197" operator="containsText" text="NO CUMPLE">
      <formula>NOT(ISERROR(SEARCH("NO CUMPLE",AG6)))</formula>
    </cfRule>
    <cfRule type="containsText" dxfId="192" priority="198" operator="containsText" text="CUMPLE">
      <formula>NOT(ISERROR(SEARCH("CUMPLE",AG6)))</formula>
    </cfRule>
  </conditionalFormatting>
  <conditionalFormatting sqref="AI6">
    <cfRule type="containsText" dxfId="191" priority="195" operator="containsText" text="NO CUMPLE">
      <formula>NOT(ISERROR(SEARCH("NO CUMPLE",AI6)))</formula>
    </cfRule>
    <cfRule type="containsText" dxfId="190" priority="196" operator="containsText" text="CUMPLE">
      <formula>NOT(ISERROR(SEARCH("CUMPLE",AI6)))</formula>
    </cfRule>
  </conditionalFormatting>
  <conditionalFormatting sqref="AI7">
    <cfRule type="containsText" dxfId="189" priority="171" operator="containsText" text="NO CUMPLE">
      <formula>NOT(ISERROR(SEARCH("NO CUMPLE",AI7)))</formula>
    </cfRule>
    <cfRule type="containsText" dxfId="188" priority="172" operator="containsText" text="CUMPLE">
      <formula>NOT(ISERROR(SEARCH("CUMPLE",AI7)))</formula>
    </cfRule>
  </conditionalFormatting>
  <conditionalFormatting sqref="M7">
    <cfRule type="containsText" dxfId="187" priority="193" operator="containsText" text="NO CUMPLE">
      <formula>NOT(ISERROR(SEARCH("NO CUMPLE",M7)))</formula>
    </cfRule>
    <cfRule type="containsText" dxfId="186" priority="194" operator="containsText" text="CUMPLE">
      <formula>NOT(ISERROR(SEARCH("CUMPLE",M7)))</formula>
    </cfRule>
  </conditionalFormatting>
  <conditionalFormatting sqref="O7">
    <cfRule type="containsText" dxfId="185" priority="191" operator="containsText" text="NO CUMPLE">
      <formula>NOT(ISERROR(SEARCH("NO CUMPLE",O7)))</formula>
    </cfRule>
    <cfRule type="containsText" dxfId="184" priority="192" operator="containsText" text="CUMPLE">
      <formula>NOT(ISERROR(SEARCH("CUMPLE",O7)))</formula>
    </cfRule>
  </conditionalFormatting>
  <conditionalFormatting sqref="Q7">
    <cfRule type="containsText" dxfId="183" priority="189" operator="containsText" text="NO CUMPLE">
      <formula>NOT(ISERROR(SEARCH("NO CUMPLE",Q7)))</formula>
    </cfRule>
    <cfRule type="containsText" dxfId="182" priority="190" operator="containsText" text="CUMPLE">
      <formula>NOT(ISERROR(SEARCH("CUMPLE",Q7)))</formula>
    </cfRule>
  </conditionalFormatting>
  <conditionalFormatting sqref="S7">
    <cfRule type="containsText" dxfId="181" priority="187" operator="containsText" text="NO CUMPLE">
      <formula>NOT(ISERROR(SEARCH("NO CUMPLE",S7)))</formula>
    </cfRule>
    <cfRule type="containsText" dxfId="180" priority="188" operator="containsText" text="CUMPLE">
      <formula>NOT(ISERROR(SEARCH("CUMPLE",S7)))</formula>
    </cfRule>
  </conditionalFormatting>
  <conditionalFormatting sqref="U7">
    <cfRule type="containsText" dxfId="179" priority="185" operator="containsText" text="NO CUMPLE">
      <formula>NOT(ISERROR(SEARCH("NO CUMPLE",U7)))</formula>
    </cfRule>
    <cfRule type="containsText" dxfId="178" priority="186" operator="containsText" text="CUMPLE">
      <formula>NOT(ISERROR(SEARCH("CUMPLE",U7)))</formula>
    </cfRule>
  </conditionalFormatting>
  <conditionalFormatting sqref="W7">
    <cfRule type="containsText" dxfId="177" priority="183" operator="containsText" text="NO CUMPLE">
      <formula>NOT(ISERROR(SEARCH("NO CUMPLE",W7)))</formula>
    </cfRule>
    <cfRule type="containsText" dxfId="176" priority="184" operator="containsText" text="CUMPLE">
      <formula>NOT(ISERROR(SEARCH("CUMPLE",W7)))</formula>
    </cfRule>
  </conditionalFormatting>
  <conditionalFormatting sqref="Y7">
    <cfRule type="containsText" dxfId="175" priority="181" operator="containsText" text="NO CUMPLE">
      <formula>NOT(ISERROR(SEARCH("NO CUMPLE",Y7)))</formula>
    </cfRule>
    <cfRule type="containsText" dxfId="174" priority="182" operator="containsText" text="CUMPLE">
      <formula>NOT(ISERROR(SEARCH("CUMPLE",Y7)))</formula>
    </cfRule>
  </conditionalFormatting>
  <conditionalFormatting sqref="AA7">
    <cfRule type="containsText" dxfId="173" priority="179" operator="containsText" text="NO CUMPLE">
      <formula>NOT(ISERROR(SEARCH("NO CUMPLE",AA7)))</formula>
    </cfRule>
    <cfRule type="containsText" dxfId="172" priority="180" operator="containsText" text="CUMPLE">
      <formula>NOT(ISERROR(SEARCH("CUMPLE",AA7)))</formula>
    </cfRule>
  </conditionalFormatting>
  <conditionalFormatting sqref="AC7">
    <cfRule type="containsText" dxfId="171" priority="177" operator="containsText" text="NO CUMPLE">
      <formula>NOT(ISERROR(SEARCH("NO CUMPLE",AC7)))</formula>
    </cfRule>
    <cfRule type="containsText" dxfId="170" priority="178" operator="containsText" text="CUMPLE">
      <formula>NOT(ISERROR(SEARCH("CUMPLE",AC7)))</formula>
    </cfRule>
  </conditionalFormatting>
  <conditionalFormatting sqref="AE7">
    <cfRule type="containsText" dxfId="169" priority="175" operator="containsText" text="NO CUMPLE">
      <formula>NOT(ISERROR(SEARCH("NO CUMPLE",AE7)))</formula>
    </cfRule>
    <cfRule type="containsText" dxfId="168" priority="176" operator="containsText" text="CUMPLE">
      <formula>NOT(ISERROR(SEARCH("CUMPLE",AE7)))</formula>
    </cfRule>
  </conditionalFormatting>
  <conditionalFormatting sqref="AG7">
    <cfRule type="containsText" dxfId="167" priority="173" operator="containsText" text="NO CUMPLE">
      <formula>NOT(ISERROR(SEARCH("NO CUMPLE",AG7)))</formula>
    </cfRule>
    <cfRule type="containsText" dxfId="166" priority="174" operator="containsText" text="CUMPLE">
      <formula>NOT(ISERROR(SEARCH("CUMPLE",AG7)))</formula>
    </cfRule>
  </conditionalFormatting>
  <conditionalFormatting sqref="M8">
    <cfRule type="containsText" dxfId="165" priority="169" operator="containsText" text="NO CUMPLE">
      <formula>NOT(ISERROR(SEARCH("NO CUMPLE",M8)))</formula>
    </cfRule>
    <cfRule type="containsText" dxfId="164" priority="170" operator="containsText" text="CUMPLE">
      <formula>NOT(ISERROR(SEARCH("CUMPLE",M8)))</formula>
    </cfRule>
  </conditionalFormatting>
  <conditionalFormatting sqref="O8">
    <cfRule type="containsText" dxfId="163" priority="167" operator="containsText" text="NO CUMPLE">
      <formula>NOT(ISERROR(SEARCH("NO CUMPLE",O8)))</formula>
    </cfRule>
    <cfRule type="containsText" dxfId="162" priority="168" operator="containsText" text="CUMPLE">
      <formula>NOT(ISERROR(SEARCH("CUMPLE",O8)))</formula>
    </cfRule>
  </conditionalFormatting>
  <conditionalFormatting sqref="Q8">
    <cfRule type="containsText" dxfId="161" priority="165" operator="containsText" text="NO CUMPLE">
      <formula>NOT(ISERROR(SEARCH("NO CUMPLE",Q8)))</formula>
    </cfRule>
    <cfRule type="containsText" dxfId="160" priority="166" operator="containsText" text="CUMPLE">
      <formula>NOT(ISERROR(SEARCH("CUMPLE",Q8)))</formula>
    </cfRule>
  </conditionalFormatting>
  <conditionalFormatting sqref="S8">
    <cfRule type="containsText" dxfId="159" priority="163" operator="containsText" text="NO CUMPLE">
      <formula>NOT(ISERROR(SEARCH("NO CUMPLE",S8)))</formula>
    </cfRule>
    <cfRule type="containsText" dxfId="158" priority="164" operator="containsText" text="CUMPLE">
      <formula>NOT(ISERROR(SEARCH("CUMPLE",S8)))</formula>
    </cfRule>
  </conditionalFormatting>
  <conditionalFormatting sqref="U8">
    <cfRule type="containsText" dxfId="157" priority="161" operator="containsText" text="NO CUMPLE">
      <formula>NOT(ISERROR(SEARCH("NO CUMPLE",U8)))</formula>
    </cfRule>
    <cfRule type="containsText" dxfId="156" priority="162" operator="containsText" text="CUMPLE">
      <formula>NOT(ISERROR(SEARCH("CUMPLE",U8)))</formula>
    </cfRule>
  </conditionalFormatting>
  <conditionalFormatting sqref="W8">
    <cfRule type="containsText" dxfId="155" priority="159" operator="containsText" text="NO CUMPLE">
      <formula>NOT(ISERROR(SEARCH("NO CUMPLE",W8)))</formula>
    </cfRule>
    <cfRule type="containsText" dxfId="154" priority="160" operator="containsText" text="CUMPLE">
      <formula>NOT(ISERROR(SEARCH("CUMPLE",W8)))</formula>
    </cfRule>
  </conditionalFormatting>
  <conditionalFormatting sqref="Y8">
    <cfRule type="containsText" dxfId="153" priority="157" operator="containsText" text="NO CUMPLE">
      <formula>NOT(ISERROR(SEARCH("NO CUMPLE",Y8)))</formula>
    </cfRule>
    <cfRule type="containsText" dxfId="152" priority="158" operator="containsText" text="CUMPLE">
      <formula>NOT(ISERROR(SEARCH("CUMPLE",Y8)))</formula>
    </cfRule>
  </conditionalFormatting>
  <conditionalFormatting sqref="AA8">
    <cfRule type="containsText" dxfId="151" priority="155" operator="containsText" text="NO CUMPLE">
      <formula>NOT(ISERROR(SEARCH("NO CUMPLE",AA8)))</formula>
    </cfRule>
    <cfRule type="containsText" dxfId="150" priority="156" operator="containsText" text="CUMPLE">
      <formula>NOT(ISERROR(SEARCH("CUMPLE",AA8)))</formula>
    </cfRule>
  </conditionalFormatting>
  <conditionalFormatting sqref="AC8">
    <cfRule type="containsText" dxfId="149" priority="153" operator="containsText" text="NO CUMPLE">
      <formula>NOT(ISERROR(SEARCH("NO CUMPLE",AC8)))</formula>
    </cfRule>
    <cfRule type="containsText" dxfId="148" priority="154" operator="containsText" text="CUMPLE">
      <formula>NOT(ISERROR(SEARCH("CUMPLE",AC8)))</formula>
    </cfRule>
  </conditionalFormatting>
  <conditionalFormatting sqref="AE8">
    <cfRule type="containsText" dxfId="147" priority="151" operator="containsText" text="NO CUMPLE">
      <formula>NOT(ISERROR(SEARCH("NO CUMPLE",AE8)))</formula>
    </cfRule>
    <cfRule type="containsText" dxfId="146" priority="152" operator="containsText" text="CUMPLE">
      <formula>NOT(ISERROR(SEARCH("CUMPLE",AE8)))</formula>
    </cfRule>
  </conditionalFormatting>
  <conditionalFormatting sqref="AG8">
    <cfRule type="containsText" dxfId="145" priority="149" operator="containsText" text="NO CUMPLE">
      <formula>NOT(ISERROR(SEARCH("NO CUMPLE",AG8)))</formula>
    </cfRule>
    <cfRule type="containsText" dxfId="144" priority="150" operator="containsText" text="CUMPLE">
      <formula>NOT(ISERROR(SEARCH("CUMPLE",AG8)))</formula>
    </cfRule>
  </conditionalFormatting>
  <conditionalFormatting sqref="AI8">
    <cfRule type="containsText" dxfId="143" priority="147" operator="containsText" text="NO CUMPLE">
      <formula>NOT(ISERROR(SEARCH("NO CUMPLE",AI8)))</formula>
    </cfRule>
    <cfRule type="containsText" dxfId="142" priority="148" operator="containsText" text="CUMPLE">
      <formula>NOT(ISERROR(SEARCH("CUMPLE",AI8)))</formula>
    </cfRule>
  </conditionalFormatting>
  <conditionalFormatting sqref="M9">
    <cfRule type="containsText" dxfId="141" priority="145" operator="containsText" text="NO CUMPLE">
      <formula>NOT(ISERROR(SEARCH("NO CUMPLE",M9)))</formula>
    </cfRule>
    <cfRule type="containsText" dxfId="140" priority="146" operator="containsText" text="CUMPLE">
      <formula>NOT(ISERROR(SEARCH("CUMPLE",M9)))</formula>
    </cfRule>
  </conditionalFormatting>
  <conditionalFormatting sqref="O9">
    <cfRule type="containsText" dxfId="139" priority="143" operator="containsText" text="NO CUMPLE">
      <formula>NOT(ISERROR(SEARCH("NO CUMPLE",O9)))</formula>
    </cfRule>
    <cfRule type="containsText" dxfId="138" priority="144" operator="containsText" text="CUMPLE">
      <formula>NOT(ISERROR(SEARCH("CUMPLE",O9)))</formula>
    </cfRule>
  </conditionalFormatting>
  <conditionalFormatting sqref="Q9">
    <cfRule type="containsText" dxfId="137" priority="141" operator="containsText" text="NO CUMPLE">
      <formula>NOT(ISERROR(SEARCH("NO CUMPLE",Q9)))</formula>
    </cfRule>
    <cfRule type="containsText" dxfId="136" priority="142" operator="containsText" text="CUMPLE">
      <formula>NOT(ISERROR(SEARCH("CUMPLE",Q9)))</formula>
    </cfRule>
  </conditionalFormatting>
  <conditionalFormatting sqref="S9">
    <cfRule type="containsText" dxfId="135" priority="139" operator="containsText" text="NO CUMPLE">
      <formula>NOT(ISERROR(SEARCH("NO CUMPLE",S9)))</formula>
    </cfRule>
    <cfRule type="containsText" dxfId="134" priority="140" operator="containsText" text="CUMPLE">
      <formula>NOT(ISERROR(SEARCH("CUMPLE",S9)))</formula>
    </cfRule>
  </conditionalFormatting>
  <conditionalFormatting sqref="U9">
    <cfRule type="containsText" dxfId="133" priority="137" operator="containsText" text="NO CUMPLE">
      <formula>NOT(ISERROR(SEARCH("NO CUMPLE",U9)))</formula>
    </cfRule>
    <cfRule type="containsText" dxfId="132" priority="138" operator="containsText" text="CUMPLE">
      <formula>NOT(ISERROR(SEARCH("CUMPLE",U9)))</formula>
    </cfRule>
  </conditionalFormatting>
  <conditionalFormatting sqref="W9">
    <cfRule type="containsText" dxfId="131" priority="135" operator="containsText" text="NO CUMPLE">
      <formula>NOT(ISERROR(SEARCH("NO CUMPLE",W9)))</formula>
    </cfRule>
    <cfRule type="containsText" dxfId="130" priority="136" operator="containsText" text="CUMPLE">
      <formula>NOT(ISERROR(SEARCH("CUMPLE",W9)))</formula>
    </cfRule>
  </conditionalFormatting>
  <conditionalFormatting sqref="Y9">
    <cfRule type="containsText" dxfId="129" priority="133" operator="containsText" text="NO CUMPLE">
      <formula>NOT(ISERROR(SEARCH("NO CUMPLE",Y9)))</formula>
    </cfRule>
    <cfRule type="containsText" dxfId="128" priority="134" operator="containsText" text="CUMPLE">
      <formula>NOT(ISERROR(SEARCH("CUMPLE",Y9)))</formula>
    </cfRule>
  </conditionalFormatting>
  <conditionalFormatting sqref="AA9">
    <cfRule type="containsText" dxfId="127" priority="131" operator="containsText" text="NO CUMPLE">
      <formula>NOT(ISERROR(SEARCH("NO CUMPLE",AA9)))</formula>
    </cfRule>
    <cfRule type="containsText" dxfId="126" priority="132" operator="containsText" text="CUMPLE">
      <formula>NOT(ISERROR(SEARCH("CUMPLE",AA9)))</formula>
    </cfRule>
  </conditionalFormatting>
  <conditionalFormatting sqref="AC9">
    <cfRule type="containsText" dxfId="125" priority="129" operator="containsText" text="NO CUMPLE">
      <formula>NOT(ISERROR(SEARCH("NO CUMPLE",AC9)))</formula>
    </cfRule>
    <cfRule type="containsText" dxfId="124" priority="130" operator="containsText" text="CUMPLE">
      <formula>NOT(ISERROR(SEARCH("CUMPLE",AC9)))</formula>
    </cfRule>
  </conditionalFormatting>
  <conditionalFormatting sqref="AE9">
    <cfRule type="containsText" dxfId="123" priority="127" operator="containsText" text="NO CUMPLE">
      <formula>NOT(ISERROR(SEARCH("NO CUMPLE",AE9)))</formula>
    </cfRule>
    <cfRule type="containsText" dxfId="122" priority="128" operator="containsText" text="CUMPLE">
      <formula>NOT(ISERROR(SEARCH("CUMPLE",AE9)))</formula>
    </cfRule>
  </conditionalFormatting>
  <conditionalFormatting sqref="AG9">
    <cfRule type="containsText" dxfId="121" priority="125" operator="containsText" text="NO CUMPLE">
      <formula>NOT(ISERROR(SEARCH("NO CUMPLE",AG9)))</formula>
    </cfRule>
    <cfRule type="containsText" dxfId="120" priority="126" operator="containsText" text="CUMPLE">
      <formula>NOT(ISERROR(SEARCH("CUMPLE",AG9)))</formula>
    </cfRule>
  </conditionalFormatting>
  <conditionalFormatting sqref="AI9">
    <cfRule type="containsText" dxfId="119" priority="123" operator="containsText" text="NO CUMPLE">
      <formula>NOT(ISERROR(SEARCH("NO CUMPLE",AI9)))</formula>
    </cfRule>
    <cfRule type="containsText" dxfId="118" priority="124" operator="containsText" text="CUMPLE">
      <formula>NOT(ISERROR(SEARCH("CUMPLE",AI9)))</formula>
    </cfRule>
  </conditionalFormatting>
  <conditionalFormatting sqref="O5">
    <cfRule type="containsText" dxfId="117" priority="121" operator="containsText" text="NO CUMPLE">
      <formula>NOT(ISERROR(SEARCH("NO CUMPLE",O5)))</formula>
    </cfRule>
    <cfRule type="containsText" dxfId="116" priority="122" operator="containsText" text="CUMPLE">
      <formula>NOT(ISERROR(SEARCH("CUMPLE",O5)))</formula>
    </cfRule>
  </conditionalFormatting>
  <conditionalFormatting sqref="Q5">
    <cfRule type="containsText" dxfId="115" priority="119" operator="containsText" text="NO CUMPLE">
      <formula>NOT(ISERROR(SEARCH("NO CUMPLE",Q5)))</formula>
    </cfRule>
    <cfRule type="containsText" dxfId="114" priority="120" operator="containsText" text="CUMPLE">
      <formula>NOT(ISERROR(SEARCH("CUMPLE",Q5)))</formula>
    </cfRule>
  </conditionalFormatting>
  <conditionalFormatting sqref="S5">
    <cfRule type="containsText" dxfId="113" priority="117" operator="containsText" text="NO CUMPLE">
      <formula>NOT(ISERROR(SEARCH("NO CUMPLE",S5)))</formula>
    </cfRule>
    <cfRule type="containsText" dxfId="112" priority="118" operator="containsText" text="CUMPLE">
      <formula>NOT(ISERROR(SEARCH("CUMPLE",S5)))</formula>
    </cfRule>
  </conditionalFormatting>
  <conditionalFormatting sqref="AI15">
    <cfRule type="containsText" dxfId="111" priority="53" operator="containsText" text="NO CUMPLE">
      <formula>NOT(ISERROR(SEARCH("NO CUMPLE",AI15)))</formula>
    </cfRule>
    <cfRule type="containsText" dxfId="110" priority="54" operator="containsText" text="CUMPLE">
      <formula>NOT(ISERROR(SEARCH("CUMPLE",AI15)))</formula>
    </cfRule>
  </conditionalFormatting>
  <conditionalFormatting sqref="U5">
    <cfRule type="containsText" dxfId="109" priority="115" operator="containsText" text="NO CUMPLE">
      <formula>NOT(ISERROR(SEARCH("NO CUMPLE",U5)))</formula>
    </cfRule>
    <cfRule type="containsText" dxfId="108" priority="116" operator="containsText" text="CUMPLE">
      <formula>NOT(ISERROR(SEARCH("CUMPLE",U5)))</formula>
    </cfRule>
  </conditionalFormatting>
  <conditionalFormatting sqref="W5">
    <cfRule type="containsText" dxfId="107" priority="113" operator="containsText" text="NO CUMPLE">
      <formula>NOT(ISERROR(SEARCH("NO CUMPLE",W5)))</formula>
    </cfRule>
    <cfRule type="containsText" dxfId="106" priority="114" operator="containsText" text="CUMPLE">
      <formula>NOT(ISERROR(SEARCH("CUMPLE",W5)))</formula>
    </cfRule>
  </conditionalFormatting>
  <conditionalFormatting sqref="Y5">
    <cfRule type="containsText" dxfId="105" priority="111" operator="containsText" text="NO CUMPLE">
      <formula>NOT(ISERROR(SEARCH("NO CUMPLE",Y5)))</formula>
    </cfRule>
    <cfRule type="containsText" dxfId="104" priority="112" operator="containsText" text="CUMPLE">
      <formula>NOT(ISERROR(SEARCH("CUMPLE",Y5)))</formula>
    </cfRule>
  </conditionalFormatting>
  <conditionalFormatting sqref="AA5">
    <cfRule type="containsText" dxfId="103" priority="109" operator="containsText" text="NO CUMPLE">
      <formula>NOT(ISERROR(SEARCH("NO CUMPLE",AA5)))</formula>
    </cfRule>
    <cfRule type="containsText" dxfId="102" priority="110" operator="containsText" text="CUMPLE">
      <formula>NOT(ISERROR(SEARCH("CUMPLE",AA5)))</formula>
    </cfRule>
  </conditionalFormatting>
  <conditionalFormatting sqref="AC5">
    <cfRule type="containsText" dxfId="101" priority="107" operator="containsText" text="NO CUMPLE">
      <formula>NOT(ISERROR(SEARCH("NO CUMPLE",AC5)))</formula>
    </cfRule>
    <cfRule type="containsText" dxfId="100" priority="108" operator="containsText" text="CUMPLE">
      <formula>NOT(ISERROR(SEARCH("CUMPLE",AC5)))</formula>
    </cfRule>
  </conditionalFormatting>
  <conditionalFormatting sqref="AE5">
    <cfRule type="containsText" dxfId="99" priority="105" operator="containsText" text="NO CUMPLE">
      <formula>NOT(ISERROR(SEARCH("NO CUMPLE",AE5)))</formula>
    </cfRule>
    <cfRule type="containsText" dxfId="98" priority="106" operator="containsText" text="CUMPLE">
      <formula>NOT(ISERROR(SEARCH("CUMPLE",AE5)))</formula>
    </cfRule>
  </conditionalFormatting>
  <conditionalFormatting sqref="AG5">
    <cfRule type="containsText" dxfId="97" priority="103" operator="containsText" text="NO CUMPLE">
      <formula>NOT(ISERROR(SEARCH("NO CUMPLE",AG5)))</formula>
    </cfRule>
    <cfRule type="containsText" dxfId="96" priority="104" operator="containsText" text="CUMPLE">
      <formula>NOT(ISERROR(SEARCH("CUMPLE",AG5)))</formula>
    </cfRule>
  </conditionalFormatting>
  <conditionalFormatting sqref="AI5">
    <cfRule type="containsText" dxfId="95" priority="101" operator="containsText" text="NO CUMPLE">
      <formula>NOT(ISERROR(SEARCH("NO CUMPLE",AI5)))</formula>
    </cfRule>
    <cfRule type="containsText" dxfId="94" priority="102" operator="containsText" text="CUMPLE">
      <formula>NOT(ISERROR(SEARCH("CUMPLE",AI5)))</formula>
    </cfRule>
  </conditionalFormatting>
  <conditionalFormatting sqref="M11">
    <cfRule type="containsText" dxfId="93" priority="99" operator="containsText" text="NO CUMPLE">
      <formula>NOT(ISERROR(SEARCH("NO CUMPLE",M11)))</formula>
    </cfRule>
    <cfRule type="containsText" dxfId="92" priority="100" operator="containsText" text="CUMPLE">
      <formula>NOT(ISERROR(SEARCH("CUMPLE",M11)))</formula>
    </cfRule>
  </conditionalFormatting>
  <conditionalFormatting sqref="O11">
    <cfRule type="containsText" dxfId="91" priority="97" operator="containsText" text="NO CUMPLE">
      <formula>NOT(ISERROR(SEARCH("NO CUMPLE",O11)))</formula>
    </cfRule>
    <cfRule type="containsText" dxfId="90" priority="98" operator="containsText" text="CUMPLE">
      <formula>NOT(ISERROR(SEARCH("CUMPLE",O11)))</formula>
    </cfRule>
  </conditionalFormatting>
  <conditionalFormatting sqref="Q11">
    <cfRule type="containsText" dxfId="89" priority="95" operator="containsText" text="NO CUMPLE">
      <formula>NOT(ISERROR(SEARCH("NO CUMPLE",Q11)))</formula>
    </cfRule>
    <cfRule type="containsText" dxfId="88" priority="96" operator="containsText" text="CUMPLE">
      <formula>NOT(ISERROR(SEARCH("CUMPLE",Q11)))</formula>
    </cfRule>
  </conditionalFormatting>
  <conditionalFormatting sqref="S11">
    <cfRule type="containsText" dxfId="87" priority="93" operator="containsText" text="NO CUMPLE">
      <formula>NOT(ISERROR(SEARCH("NO CUMPLE",S11)))</formula>
    </cfRule>
    <cfRule type="containsText" dxfId="86" priority="94" operator="containsText" text="CUMPLE">
      <formula>NOT(ISERROR(SEARCH("CUMPLE",S11)))</formula>
    </cfRule>
  </conditionalFormatting>
  <conditionalFormatting sqref="U11">
    <cfRule type="containsText" dxfId="85" priority="91" operator="containsText" text="NO CUMPLE">
      <formula>NOT(ISERROR(SEARCH("NO CUMPLE",U11)))</formula>
    </cfRule>
    <cfRule type="containsText" dxfId="84" priority="92" operator="containsText" text="CUMPLE">
      <formula>NOT(ISERROR(SEARCH("CUMPLE",U11)))</formula>
    </cfRule>
  </conditionalFormatting>
  <conditionalFormatting sqref="W11">
    <cfRule type="containsText" dxfId="83" priority="89" operator="containsText" text="NO CUMPLE">
      <formula>NOT(ISERROR(SEARCH("NO CUMPLE",W11)))</formula>
    </cfRule>
    <cfRule type="containsText" dxfId="82" priority="90" operator="containsText" text="CUMPLE">
      <formula>NOT(ISERROR(SEARCH("CUMPLE",W11)))</formula>
    </cfRule>
  </conditionalFormatting>
  <conditionalFormatting sqref="Y11">
    <cfRule type="containsText" dxfId="81" priority="87" operator="containsText" text="NO CUMPLE">
      <formula>NOT(ISERROR(SEARCH("NO CUMPLE",Y11)))</formula>
    </cfRule>
    <cfRule type="containsText" dxfId="80" priority="88" operator="containsText" text="CUMPLE">
      <formula>NOT(ISERROR(SEARCH("CUMPLE",Y11)))</formula>
    </cfRule>
  </conditionalFormatting>
  <conditionalFormatting sqref="AA11">
    <cfRule type="containsText" dxfId="79" priority="85" operator="containsText" text="NO CUMPLE">
      <formula>NOT(ISERROR(SEARCH("NO CUMPLE",AA11)))</formula>
    </cfRule>
    <cfRule type="containsText" dxfId="78" priority="86" operator="containsText" text="CUMPLE">
      <formula>NOT(ISERROR(SEARCH("CUMPLE",AA11)))</formula>
    </cfRule>
  </conditionalFormatting>
  <conditionalFormatting sqref="AC11">
    <cfRule type="containsText" dxfId="77" priority="83" operator="containsText" text="NO CUMPLE">
      <formula>NOT(ISERROR(SEARCH("NO CUMPLE",AC11)))</formula>
    </cfRule>
    <cfRule type="containsText" dxfId="76" priority="84" operator="containsText" text="CUMPLE">
      <formula>NOT(ISERROR(SEARCH("CUMPLE",AC11)))</formula>
    </cfRule>
  </conditionalFormatting>
  <conditionalFormatting sqref="AE11">
    <cfRule type="containsText" dxfId="75" priority="81" operator="containsText" text="NO CUMPLE">
      <formula>NOT(ISERROR(SEARCH("NO CUMPLE",AE11)))</formula>
    </cfRule>
    <cfRule type="containsText" dxfId="74" priority="82" operator="containsText" text="CUMPLE">
      <formula>NOT(ISERROR(SEARCH("CUMPLE",AE11)))</formula>
    </cfRule>
  </conditionalFormatting>
  <conditionalFormatting sqref="AG11">
    <cfRule type="containsText" dxfId="73" priority="79" operator="containsText" text="NO CUMPLE">
      <formula>NOT(ISERROR(SEARCH("NO CUMPLE",AG11)))</formula>
    </cfRule>
    <cfRule type="containsText" dxfId="72" priority="80" operator="containsText" text="CUMPLE">
      <formula>NOT(ISERROR(SEARCH("CUMPLE",AG11)))</formula>
    </cfRule>
  </conditionalFormatting>
  <conditionalFormatting sqref="AI11">
    <cfRule type="containsText" dxfId="71" priority="77" operator="containsText" text="NO CUMPLE">
      <formula>NOT(ISERROR(SEARCH("NO CUMPLE",AI11)))</formula>
    </cfRule>
    <cfRule type="containsText" dxfId="70" priority="78" operator="containsText" text="CUMPLE">
      <formula>NOT(ISERROR(SEARCH("CUMPLE",AI11)))</formula>
    </cfRule>
  </conditionalFormatting>
  <conditionalFormatting sqref="M15">
    <cfRule type="containsText" dxfId="69" priority="75" operator="containsText" text="NO CUMPLE">
      <formula>NOT(ISERROR(SEARCH("NO CUMPLE",M15)))</formula>
    </cfRule>
    <cfRule type="containsText" dxfId="68" priority="76" operator="containsText" text="CUMPLE">
      <formula>NOT(ISERROR(SEARCH("CUMPLE",M15)))</formula>
    </cfRule>
  </conditionalFormatting>
  <conditionalFormatting sqref="O15">
    <cfRule type="containsText" dxfId="67" priority="73" operator="containsText" text="NO CUMPLE">
      <formula>NOT(ISERROR(SEARCH("NO CUMPLE",O15)))</formula>
    </cfRule>
    <cfRule type="containsText" dxfId="66" priority="74" operator="containsText" text="CUMPLE">
      <formula>NOT(ISERROR(SEARCH("CUMPLE",O15)))</formula>
    </cfRule>
  </conditionalFormatting>
  <conditionalFormatting sqref="Q15">
    <cfRule type="containsText" dxfId="65" priority="71" operator="containsText" text="NO CUMPLE">
      <formula>NOT(ISERROR(SEARCH("NO CUMPLE",Q15)))</formula>
    </cfRule>
    <cfRule type="containsText" dxfId="64" priority="72" operator="containsText" text="CUMPLE">
      <formula>NOT(ISERROR(SEARCH("CUMPLE",Q15)))</formula>
    </cfRule>
  </conditionalFormatting>
  <conditionalFormatting sqref="S15">
    <cfRule type="containsText" dxfId="63" priority="69" operator="containsText" text="NO CUMPLE">
      <formula>NOT(ISERROR(SEARCH("NO CUMPLE",S15)))</formula>
    </cfRule>
    <cfRule type="containsText" dxfId="62" priority="70" operator="containsText" text="CUMPLE">
      <formula>NOT(ISERROR(SEARCH("CUMPLE",S15)))</formula>
    </cfRule>
  </conditionalFormatting>
  <conditionalFormatting sqref="U15">
    <cfRule type="containsText" dxfId="61" priority="67" operator="containsText" text="NO CUMPLE">
      <formula>NOT(ISERROR(SEARCH("NO CUMPLE",U15)))</formula>
    </cfRule>
    <cfRule type="containsText" dxfId="60" priority="68" operator="containsText" text="CUMPLE">
      <formula>NOT(ISERROR(SEARCH("CUMPLE",U15)))</formula>
    </cfRule>
  </conditionalFormatting>
  <conditionalFormatting sqref="W15">
    <cfRule type="containsText" dxfId="59" priority="65" operator="containsText" text="NO CUMPLE">
      <formula>NOT(ISERROR(SEARCH("NO CUMPLE",W15)))</formula>
    </cfRule>
    <cfRule type="containsText" dxfId="58" priority="66" operator="containsText" text="CUMPLE">
      <formula>NOT(ISERROR(SEARCH("CUMPLE",W15)))</formula>
    </cfRule>
  </conditionalFormatting>
  <conditionalFormatting sqref="Y15">
    <cfRule type="containsText" dxfId="57" priority="63" operator="containsText" text="NO CUMPLE">
      <formula>NOT(ISERROR(SEARCH("NO CUMPLE",Y15)))</formula>
    </cfRule>
    <cfRule type="containsText" dxfId="56" priority="64" operator="containsText" text="CUMPLE">
      <formula>NOT(ISERROR(SEARCH("CUMPLE",Y15)))</formula>
    </cfRule>
  </conditionalFormatting>
  <conditionalFormatting sqref="AA15">
    <cfRule type="containsText" dxfId="55" priority="61" operator="containsText" text="NO CUMPLE">
      <formula>NOT(ISERROR(SEARCH("NO CUMPLE",AA15)))</formula>
    </cfRule>
    <cfRule type="containsText" dxfId="54" priority="62" operator="containsText" text="CUMPLE">
      <formula>NOT(ISERROR(SEARCH("CUMPLE",AA15)))</formula>
    </cfRule>
  </conditionalFormatting>
  <conditionalFormatting sqref="AC15">
    <cfRule type="containsText" dxfId="53" priority="59" operator="containsText" text="NO CUMPLE">
      <formula>NOT(ISERROR(SEARCH("NO CUMPLE",AC15)))</formula>
    </cfRule>
    <cfRule type="containsText" dxfId="52" priority="60" operator="containsText" text="CUMPLE">
      <formula>NOT(ISERROR(SEARCH("CUMPLE",AC15)))</formula>
    </cfRule>
  </conditionalFormatting>
  <conditionalFormatting sqref="AE15">
    <cfRule type="containsText" dxfId="51" priority="57" operator="containsText" text="NO CUMPLE">
      <formula>NOT(ISERROR(SEARCH("NO CUMPLE",AE15)))</formula>
    </cfRule>
    <cfRule type="containsText" dxfId="50" priority="58" operator="containsText" text="CUMPLE">
      <formula>NOT(ISERROR(SEARCH("CUMPLE",AE15)))</formula>
    </cfRule>
  </conditionalFormatting>
  <conditionalFormatting sqref="AG15">
    <cfRule type="containsText" dxfId="49" priority="55" operator="containsText" text="NO CUMPLE">
      <formula>NOT(ISERROR(SEARCH("NO CUMPLE",AG15)))</formula>
    </cfRule>
    <cfRule type="containsText" dxfId="48" priority="56" operator="containsText" text="CUMPLE">
      <formula>NOT(ISERROR(SEARCH("CUMPLE",AG15)))</formula>
    </cfRule>
  </conditionalFormatting>
  <conditionalFormatting sqref="M23">
    <cfRule type="containsText" dxfId="47" priority="49" operator="containsText" text="NO CUMPLE">
      <formula>NOT(ISERROR(SEARCH("NO CUMPLE",M23)))</formula>
    </cfRule>
    <cfRule type="containsText" dxfId="46" priority="50" operator="containsText" text="CUMPLE">
      <formula>NOT(ISERROR(SEARCH("CUMPLE",M23)))</formula>
    </cfRule>
  </conditionalFormatting>
  <conditionalFormatting sqref="O23">
    <cfRule type="containsText" dxfId="45" priority="47" operator="containsText" text="NO CUMPLE">
      <formula>NOT(ISERROR(SEARCH("NO CUMPLE",O23)))</formula>
    </cfRule>
    <cfRule type="containsText" dxfId="44" priority="48" operator="containsText" text="CUMPLE">
      <formula>NOT(ISERROR(SEARCH("CUMPLE",O23)))</formula>
    </cfRule>
  </conditionalFormatting>
  <conditionalFormatting sqref="Q23">
    <cfRule type="containsText" dxfId="43" priority="45" operator="containsText" text="NO CUMPLE">
      <formula>NOT(ISERROR(SEARCH("NO CUMPLE",Q23)))</formula>
    </cfRule>
    <cfRule type="containsText" dxfId="42" priority="46" operator="containsText" text="CUMPLE">
      <formula>NOT(ISERROR(SEARCH("CUMPLE",Q23)))</formula>
    </cfRule>
  </conditionalFormatting>
  <conditionalFormatting sqref="S23">
    <cfRule type="containsText" dxfId="41" priority="43" operator="containsText" text="NO CUMPLE">
      <formula>NOT(ISERROR(SEARCH("NO CUMPLE",S23)))</formula>
    </cfRule>
    <cfRule type="containsText" dxfId="40" priority="44" operator="containsText" text="CUMPLE">
      <formula>NOT(ISERROR(SEARCH("CUMPLE",S23)))</formula>
    </cfRule>
  </conditionalFormatting>
  <conditionalFormatting sqref="U23">
    <cfRule type="containsText" dxfId="39" priority="41" operator="containsText" text="NO CUMPLE">
      <formula>NOT(ISERROR(SEARCH("NO CUMPLE",U23)))</formula>
    </cfRule>
    <cfRule type="containsText" dxfId="38" priority="42" operator="containsText" text="CUMPLE">
      <formula>NOT(ISERROR(SEARCH("CUMPLE",U23)))</formula>
    </cfRule>
  </conditionalFormatting>
  <conditionalFormatting sqref="W23">
    <cfRule type="containsText" dxfId="37" priority="39" operator="containsText" text="NO CUMPLE">
      <formula>NOT(ISERROR(SEARCH("NO CUMPLE",W23)))</formula>
    </cfRule>
    <cfRule type="containsText" dxfId="36" priority="40" operator="containsText" text="CUMPLE">
      <formula>NOT(ISERROR(SEARCH("CUMPLE",W23)))</formula>
    </cfRule>
  </conditionalFormatting>
  <conditionalFormatting sqref="Y23">
    <cfRule type="containsText" dxfId="35" priority="37" operator="containsText" text="NO CUMPLE">
      <formula>NOT(ISERROR(SEARCH("NO CUMPLE",Y23)))</formula>
    </cfRule>
    <cfRule type="containsText" dxfId="34" priority="38" operator="containsText" text="CUMPLE">
      <formula>NOT(ISERROR(SEARCH("CUMPLE",Y23)))</formula>
    </cfRule>
  </conditionalFormatting>
  <conditionalFormatting sqref="AA23">
    <cfRule type="containsText" dxfId="33" priority="35" operator="containsText" text="NO CUMPLE">
      <formula>NOT(ISERROR(SEARCH("NO CUMPLE",AA23)))</formula>
    </cfRule>
    <cfRule type="containsText" dxfId="32" priority="36" operator="containsText" text="CUMPLE">
      <formula>NOT(ISERROR(SEARCH("CUMPLE",AA23)))</formula>
    </cfRule>
  </conditionalFormatting>
  <conditionalFormatting sqref="AE23">
    <cfRule type="containsText" dxfId="31" priority="31" operator="containsText" text="NO CUMPLE">
      <formula>NOT(ISERROR(SEARCH("NO CUMPLE",AE23)))</formula>
    </cfRule>
    <cfRule type="containsText" dxfId="30" priority="32" operator="containsText" text="CUMPLE">
      <formula>NOT(ISERROR(SEARCH("CUMPLE",AE23)))</formula>
    </cfRule>
  </conditionalFormatting>
  <conditionalFormatting sqref="AG23">
    <cfRule type="containsText" dxfId="29" priority="29" operator="containsText" text="NO CUMPLE">
      <formula>NOT(ISERROR(SEARCH("NO CUMPLE",AG23)))</formula>
    </cfRule>
    <cfRule type="containsText" dxfId="28" priority="30" operator="containsText" text="CUMPLE">
      <formula>NOT(ISERROR(SEARCH("CUMPLE",AG23)))</formula>
    </cfRule>
  </conditionalFormatting>
  <conditionalFormatting sqref="AI23">
    <cfRule type="containsText" dxfId="27" priority="27" operator="containsText" text="NO CUMPLE">
      <formula>NOT(ISERROR(SEARCH("NO CUMPLE",AI23)))</formula>
    </cfRule>
    <cfRule type="containsText" dxfId="26" priority="28" operator="containsText" text="CUMPLE">
      <formula>NOT(ISERROR(SEARCH("CUMPLE",AI23)))</formula>
    </cfRule>
  </conditionalFormatting>
  <conditionalFormatting sqref="M10">
    <cfRule type="containsText" dxfId="25" priority="25" operator="containsText" text="NO CUMPLE">
      <formula>NOT(ISERROR(SEARCH("NO CUMPLE",M10)))</formula>
    </cfRule>
    <cfRule type="containsText" dxfId="24" priority="26" operator="containsText" text="CUMPLE">
      <formula>NOT(ISERROR(SEARCH("CUMPLE",M10)))</formula>
    </cfRule>
  </conditionalFormatting>
  <conditionalFormatting sqref="O10">
    <cfRule type="containsText" dxfId="23" priority="23" operator="containsText" text="NO CUMPLE">
      <formula>NOT(ISERROR(SEARCH("NO CUMPLE",O10)))</formula>
    </cfRule>
    <cfRule type="containsText" dxfId="22" priority="24" operator="containsText" text="CUMPLE">
      <formula>NOT(ISERROR(SEARCH("CUMPLE",O10)))</formula>
    </cfRule>
  </conditionalFormatting>
  <conditionalFormatting sqref="Q10">
    <cfRule type="containsText" dxfId="21" priority="21" operator="containsText" text="NO CUMPLE">
      <formula>NOT(ISERROR(SEARCH("NO CUMPLE",Q10)))</formula>
    </cfRule>
    <cfRule type="containsText" dxfId="20" priority="22" operator="containsText" text="CUMPLE">
      <formula>NOT(ISERROR(SEARCH("CUMPLE",Q10)))</formula>
    </cfRule>
  </conditionalFormatting>
  <conditionalFormatting sqref="S10">
    <cfRule type="containsText" dxfId="19" priority="19" operator="containsText" text="NO CUMPLE">
      <formula>NOT(ISERROR(SEARCH("NO CUMPLE",S10)))</formula>
    </cfRule>
    <cfRule type="containsText" dxfId="18" priority="20" operator="containsText" text="CUMPLE">
      <formula>NOT(ISERROR(SEARCH("CUMPLE",S10)))</formula>
    </cfRule>
  </conditionalFormatting>
  <conditionalFormatting sqref="U10">
    <cfRule type="containsText" dxfId="17" priority="17" operator="containsText" text="NO CUMPLE">
      <formula>NOT(ISERROR(SEARCH("NO CUMPLE",U10)))</formula>
    </cfRule>
    <cfRule type="containsText" dxfId="16" priority="18" operator="containsText" text="CUMPLE">
      <formula>NOT(ISERROR(SEARCH("CUMPLE",U10)))</formula>
    </cfRule>
  </conditionalFormatting>
  <conditionalFormatting sqref="W10">
    <cfRule type="containsText" dxfId="15" priority="15" operator="containsText" text="NO CUMPLE">
      <formula>NOT(ISERROR(SEARCH("NO CUMPLE",W10)))</formula>
    </cfRule>
    <cfRule type="containsText" dxfId="14" priority="16" operator="containsText" text="CUMPLE">
      <formula>NOT(ISERROR(SEARCH("CUMPLE",W10)))</formula>
    </cfRule>
  </conditionalFormatting>
  <conditionalFormatting sqref="Y10">
    <cfRule type="containsText" dxfId="13" priority="13" operator="containsText" text="NO CUMPLE">
      <formula>NOT(ISERROR(SEARCH("NO CUMPLE",Y10)))</formula>
    </cfRule>
    <cfRule type="containsText" dxfId="12" priority="14" operator="containsText" text="CUMPLE">
      <formula>NOT(ISERROR(SEARCH("CUMPLE",Y10)))</formula>
    </cfRule>
  </conditionalFormatting>
  <conditionalFormatting sqref="AA10">
    <cfRule type="containsText" dxfId="11" priority="11" operator="containsText" text="NO CUMPLE">
      <formula>NOT(ISERROR(SEARCH("NO CUMPLE",AA10)))</formula>
    </cfRule>
    <cfRule type="containsText" dxfId="10" priority="12" operator="containsText" text="CUMPLE">
      <formula>NOT(ISERROR(SEARCH("CUMPLE",AA10)))</formula>
    </cfRule>
  </conditionalFormatting>
  <conditionalFormatting sqref="AC10">
    <cfRule type="containsText" dxfId="9" priority="9" operator="containsText" text="NO CUMPLE">
      <formula>NOT(ISERROR(SEARCH("NO CUMPLE",AC10)))</formula>
    </cfRule>
    <cfRule type="containsText" dxfId="8" priority="10" operator="containsText" text="CUMPLE">
      <formula>NOT(ISERROR(SEARCH("CUMPLE",AC10)))</formula>
    </cfRule>
  </conditionalFormatting>
  <conditionalFormatting sqref="AE10">
    <cfRule type="containsText" dxfId="7" priority="7" operator="containsText" text="NO CUMPLE">
      <formula>NOT(ISERROR(SEARCH("NO CUMPLE",AE10)))</formula>
    </cfRule>
    <cfRule type="containsText" dxfId="6" priority="8" operator="containsText" text="CUMPLE">
      <formula>NOT(ISERROR(SEARCH("CUMPLE",AE10)))</formula>
    </cfRule>
  </conditionalFormatting>
  <conditionalFormatting sqref="AG10">
    <cfRule type="containsText" dxfId="5" priority="5" operator="containsText" text="NO CUMPLE">
      <formula>NOT(ISERROR(SEARCH("NO CUMPLE",AG10)))</formula>
    </cfRule>
    <cfRule type="containsText" dxfId="4" priority="6" operator="containsText" text="CUMPLE">
      <formula>NOT(ISERROR(SEARCH("CUMPLE",AG10)))</formula>
    </cfRule>
  </conditionalFormatting>
  <conditionalFormatting sqref="AI10">
    <cfRule type="containsText" dxfId="3" priority="3" operator="containsText" text="NO CUMPLE">
      <formula>NOT(ISERROR(SEARCH("NO CUMPLE",AI10)))</formula>
    </cfRule>
    <cfRule type="containsText" dxfId="2" priority="4" operator="containsText" text="CUMPLE">
      <formula>NOT(ISERROR(SEARCH("CUMPLE",AI10)))</formula>
    </cfRule>
  </conditionalFormatting>
  <conditionalFormatting sqref="AC23">
    <cfRule type="containsText" dxfId="1" priority="1" operator="containsText" text="NO CUMPLE">
      <formula>NOT(ISERROR(SEARCH("NO CUMPLE",AC23)))</formula>
    </cfRule>
    <cfRule type="containsText" dxfId="0" priority="2" operator="containsText" text="CUMPLE">
      <formula>NOT(ISERROR(SEARCH("CUMPLE",AC23)))</formula>
    </cfRule>
  </conditionalFormatting>
  <pageMargins left="0.7" right="0.7" top="0.75" bottom="0.75" header="0.3" footer="0.3"/>
  <pageSetup scale="25" orientation="portrait" r:id="rId1"/>
  <colBreaks count="1" manualBreakCount="1">
    <brk id="36" max="1048575" man="1"/>
  </colBreaks>
  <ignoredErrors>
    <ignoredError sqref="M23 O2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TON  MOV </vt:lpstr>
      <vt:lpstr>RESPEL </vt:lpstr>
      <vt:lpstr>RESIDUOS</vt:lpstr>
      <vt:lpstr>AGUA </vt:lpstr>
      <vt:lpstr>Vol_VERT</vt:lpstr>
      <vt:lpstr>EE</vt:lpstr>
      <vt:lpstr>GN</vt:lpstr>
      <vt:lpstr>ACPM_G _2018 </vt:lpstr>
      <vt:lpstr>EDA</vt:lpstr>
      <vt:lpstr>PROGRAMAS AMB Y PMA</vt:lpstr>
      <vt:lpstr>'AGUA '!Área_de_impresión</vt:lpstr>
      <vt:lpstr>RESIDUOS!Área_de_impresión</vt:lpstr>
      <vt:lpstr>'RESPEL '!Área_de_impresión</vt:lpstr>
      <vt:lpstr>Vol_VERT!Área_de_impresión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CABRERA</dc:creator>
  <cp:lastModifiedBy>CARLOS REYES OSPINO</cp:lastModifiedBy>
  <cp:lastPrinted>2016-05-05T22:26:41Z</cp:lastPrinted>
  <dcterms:created xsi:type="dcterms:W3CDTF">2015-01-27T21:15:20Z</dcterms:created>
  <dcterms:modified xsi:type="dcterms:W3CDTF">2021-07-16T19:46:36Z</dcterms:modified>
</cp:coreProperties>
</file>