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quinto\Documents\Documents\TERLICA\18. INDICADORES AMBIENTALES\INDICADORES 2020\"/>
    </mc:Choice>
  </mc:AlternateContent>
  <bookViews>
    <workbookView xWindow="-120" yWindow="-120" windowWidth="20730" windowHeight="11160" tabRatio="929" firstSheet="3" activeTab="16"/>
  </bookViews>
  <sheets>
    <sheet name="TON  MOV " sheetId="57" r:id="rId1"/>
    <sheet name="RESPEL " sheetId="9" r:id="rId2"/>
    <sheet name="G_RESPEL 1 " sheetId="44" r:id="rId3"/>
    <sheet name="G_RESPEL_2" sheetId="45" r:id="rId4"/>
    <sheet name="RESIDUOS" sheetId="50" r:id="rId5"/>
    <sheet name="Hoja3" sheetId="59" state="hidden" r:id="rId6"/>
    <sheet name="G_RESIDUOS " sheetId="46" r:id="rId7"/>
    <sheet name="AGUA " sheetId="51" r:id="rId8"/>
    <sheet name="G_AGUA " sheetId="52" r:id="rId9"/>
    <sheet name="Vol_VERT" sheetId="54" r:id="rId10"/>
    <sheet name="G_VERT" sheetId="55" r:id="rId11"/>
    <sheet name="EE" sheetId="27" r:id="rId12"/>
    <sheet name="G_EE " sheetId="47" r:id="rId13"/>
    <sheet name="GN" sheetId="48" r:id="rId14"/>
    <sheet name="G_GN " sheetId="49" r:id="rId15"/>
    <sheet name="ACPM_G _2018 " sheetId="53" state="hidden" r:id="rId16"/>
    <sheet name="EDA" sheetId="18" r:id="rId17"/>
    <sheet name="PROGRAMAS AMB Y PMA" sheetId="58" r:id="rId18"/>
  </sheets>
  <definedNames>
    <definedName name="_xlnm.Print_Area" localSheetId="7">'AGUA '!$A$1:$M$16</definedName>
    <definedName name="_xlnm.Print_Area" localSheetId="4">RESIDUOS!$A$1:$P$17</definedName>
    <definedName name="_xlnm.Print_Area" localSheetId="1">'RESPEL '!$A$1:$O$43</definedName>
    <definedName name="_xlnm.Print_Area" localSheetId="9">Vol_VERT!$A$1:$G$17</definedName>
  </definedNames>
  <calcPr calcId="162913"/>
</workbook>
</file>

<file path=xl/calcChain.xml><?xml version="1.0" encoding="utf-8"?>
<calcChain xmlns="http://schemas.openxmlformats.org/spreadsheetml/2006/main">
  <c r="J15" i="51" l="1"/>
  <c r="D16" i="51"/>
  <c r="H16" i="51"/>
  <c r="E16" i="51"/>
  <c r="B16" i="51"/>
  <c r="H15" i="51"/>
  <c r="B15" i="51"/>
  <c r="E6" i="51"/>
  <c r="E7" i="51"/>
  <c r="E8" i="51"/>
  <c r="E9" i="51"/>
  <c r="E10" i="51"/>
  <c r="E11" i="51"/>
  <c r="E12" i="51"/>
  <c r="E14" i="51"/>
  <c r="J15" i="50"/>
  <c r="AB4" i="18" l="1"/>
  <c r="H14" i="51" l="1"/>
  <c r="B14" i="51"/>
  <c r="J13" i="50"/>
  <c r="J14" i="50"/>
  <c r="D13" i="51" l="1"/>
  <c r="H12" i="51" l="1"/>
  <c r="B12" i="51"/>
  <c r="V15" i="18" l="1"/>
  <c r="X4" i="18" l="1"/>
  <c r="H11" i="51" l="1"/>
  <c r="B11" i="51"/>
  <c r="T15" i="18" l="1"/>
  <c r="R4" i="18"/>
  <c r="T4" i="18" l="1"/>
  <c r="H10" i="51" l="1"/>
  <c r="B10" i="51"/>
  <c r="J9" i="51"/>
  <c r="H9" i="51"/>
  <c r="B9" i="51"/>
  <c r="G5" i="54" l="1"/>
  <c r="E3" i="59"/>
  <c r="F3" i="59"/>
  <c r="G3" i="59"/>
  <c r="K8" i="50"/>
  <c r="P4" i="18"/>
  <c r="N4" i="18"/>
  <c r="H8" i="51" l="1"/>
  <c r="J8" i="51" s="1"/>
  <c r="G8" i="51"/>
  <c r="B8" i="51"/>
  <c r="H7" i="51"/>
  <c r="J7" i="51" s="1"/>
  <c r="G7" i="51"/>
  <c r="B7" i="51"/>
  <c r="D7" i="51" s="1"/>
  <c r="G6" i="51"/>
  <c r="K6" i="51" s="1"/>
  <c r="H6" i="51"/>
  <c r="J6" i="51" s="1"/>
  <c r="J16" i="51"/>
  <c r="J10" i="51"/>
  <c r="J11" i="51"/>
  <c r="J12" i="51"/>
  <c r="J13" i="51"/>
  <c r="J14" i="51"/>
  <c r="J5" i="51"/>
  <c r="G9" i="51"/>
  <c r="G10" i="51"/>
  <c r="G11" i="51"/>
  <c r="G12" i="51"/>
  <c r="G13" i="51"/>
  <c r="G14" i="51"/>
  <c r="G15" i="51"/>
  <c r="G16" i="51"/>
  <c r="G5" i="51"/>
  <c r="K5" i="51" s="1"/>
  <c r="D6" i="51"/>
  <c r="D8" i="51"/>
  <c r="D9" i="51"/>
  <c r="D10" i="51"/>
  <c r="D11" i="51"/>
  <c r="D12" i="51"/>
  <c r="D14" i="51"/>
  <c r="D15" i="51"/>
  <c r="B6" i="51"/>
  <c r="D5" i="51"/>
  <c r="K8" i="51" l="1"/>
  <c r="F37" i="9"/>
  <c r="F43" i="9" s="1"/>
  <c r="D5" i="48" l="1"/>
  <c r="D6" i="48"/>
  <c r="D7" i="48"/>
  <c r="D8" i="48"/>
  <c r="D9" i="48"/>
  <c r="D10" i="48"/>
  <c r="D11" i="48"/>
  <c r="D12" i="48"/>
  <c r="D13" i="48"/>
  <c r="D14" i="48"/>
  <c r="D15" i="48"/>
  <c r="D16" i="48"/>
  <c r="AF15" i="18" l="1"/>
  <c r="AD15" i="18"/>
  <c r="X23" i="18"/>
  <c r="Y23" i="18" s="1"/>
  <c r="V23" i="18"/>
  <c r="W23" i="18" s="1"/>
  <c r="K16" i="50" l="1"/>
  <c r="K15" i="50"/>
  <c r="AH4" i="18"/>
  <c r="C17" i="50" l="1"/>
  <c r="D17" i="50"/>
  <c r="E17" i="50"/>
  <c r="F17" i="50"/>
  <c r="G17" i="50"/>
  <c r="H17" i="50"/>
  <c r="I17" i="50"/>
  <c r="B17" i="50"/>
  <c r="J16" i="50"/>
  <c r="J17" i="50" l="1"/>
  <c r="O17" i="50" s="1"/>
  <c r="Z4" i="18"/>
  <c r="P15" i="18" l="1"/>
  <c r="P23" i="18" s="1"/>
  <c r="F8" i="54" l="1"/>
  <c r="D37" i="9" l="1"/>
  <c r="D43" i="9" s="1"/>
  <c r="D17" i="51"/>
  <c r="F5" i="54" l="1"/>
  <c r="C4" i="57" l="1"/>
  <c r="I4" i="59" l="1"/>
  <c r="J4" i="59" s="1"/>
  <c r="M4" i="59" l="1"/>
  <c r="K4" i="59"/>
  <c r="L4" i="59" s="1"/>
  <c r="D6" i="27" l="1"/>
  <c r="D7" i="27"/>
  <c r="D8" i="27"/>
  <c r="D9" i="27"/>
  <c r="D10" i="27"/>
  <c r="D11" i="27"/>
  <c r="D12" i="27"/>
  <c r="D13" i="27"/>
  <c r="D14" i="27"/>
  <c r="D15" i="27"/>
  <c r="D16" i="27"/>
  <c r="D5" i="27"/>
  <c r="AF4" i="18" l="1"/>
  <c r="AD4" i="18"/>
  <c r="L4" i="18"/>
  <c r="M37" i="9" l="1"/>
  <c r="J37" i="9"/>
  <c r="I13" i="59" l="1"/>
  <c r="J13" i="59" s="1"/>
  <c r="M43" i="9"/>
  <c r="I10" i="59"/>
  <c r="J10" i="59" s="1"/>
  <c r="M10" i="59" s="1"/>
  <c r="J43" i="9"/>
  <c r="M13" i="59"/>
  <c r="K13" i="59"/>
  <c r="L13" i="59" s="1"/>
  <c r="U11" i="58"/>
  <c r="D41" i="9"/>
  <c r="O40" i="9"/>
  <c r="M41" i="9"/>
  <c r="N43" i="9"/>
  <c r="F9" i="54"/>
  <c r="F10" i="54"/>
  <c r="F11" i="54"/>
  <c r="F12" i="54"/>
  <c r="F13" i="54"/>
  <c r="F14" i="54"/>
  <c r="F15" i="54"/>
  <c r="F16" i="54"/>
  <c r="C17" i="54"/>
  <c r="K10" i="59" l="1"/>
  <c r="L10" i="59" s="1"/>
  <c r="U16" i="58"/>
  <c r="I14" i="59"/>
  <c r="J14" i="59" s="1"/>
  <c r="N41" i="9"/>
  <c r="V4" i="18"/>
  <c r="K14" i="59" l="1"/>
  <c r="L14" i="59" s="1"/>
  <c r="M14" i="59"/>
  <c r="T16" i="58"/>
  <c r="AD23" i="18"/>
  <c r="AE15" i="18"/>
  <c r="AF23" i="18"/>
  <c r="AG15" i="18" l="1"/>
  <c r="S11" i="58"/>
  <c r="R11" i="58"/>
  <c r="Q11" i="58"/>
  <c r="P11" i="58"/>
  <c r="O11" i="58"/>
  <c r="AB15" i="18" l="1"/>
  <c r="AC15" i="18" s="1"/>
  <c r="H37" i="9" l="1"/>
  <c r="H43" i="9" s="1"/>
  <c r="I8" i="59" l="1"/>
  <c r="J8" i="59" s="1"/>
  <c r="M8" i="59" s="1"/>
  <c r="V11" i="18"/>
  <c r="H41" i="9"/>
  <c r="Q16" i="58"/>
  <c r="J41" i="9"/>
  <c r="O16" i="58"/>
  <c r="K8" i="59" l="1"/>
  <c r="L8" i="59" s="1"/>
  <c r="R15" i="18"/>
  <c r="S15" i="18" s="1"/>
  <c r="Q15" i="18"/>
  <c r="F7" i="54"/>
  <c r="L15" i="18" l="1"/>
  <c r="M15" i="18" s="1"/>
  <c r="E4" i="57" l="1"/>
  <c r="E8" i="48" l="1"/>
  <c r="G8" i="48" s="1"/>
  <c r="F6" i="54"/>
  <c r="D4" i="57" l="1"/>
  <c r="E7" i="48" s="1"/>
  <c r="G7" i="48" s="1"/>
  <c r="F4" i="57"/>
  <c r="G4" i="57"/>
  <c r="H4" i="57"/>
  <c r="I4" i="57"/>
  <c r="J4" i="57"/>
  <c r="K4" i="57"/>
  <c r="L4" i="57"/>
  <c r="M4" i="57"/>
  <c r="P16" i="50" s="1"/>
  <c r="B4" i="57"/>
  <c r="D5" i="54" s="1"/>
  <c r="E14" i="48" l="1"/>
  <c r="G14" i="48" s="1"/>
  <c r="E13" i="27"/>
  <c r="G13" i="27" s="1"/>
  <c r="E10" i="27"/>
  <c r="G10" i="27" s="1"/>
  <c r="H10" i="27" s="1"/>
  <c r="E10" i="48"/>
  <c r="G10" i="48" s="1"/>
  <c r="H10" i="48" s="1"/>
  <c r="D16" i="53"/>
  <c r="E16" i="48"/>
  <c r="G16" i="48" s="1"/>
  <c r="H16" i="48" s="1"/>
  <c r="D12" i="53"/>
  <c r="E12" i="53" s="1"/>
  <c r="E12" i="48"/>
  <c r="G12" i="48" s="1"/>
  <c r="H12" i="48" s="1"/>
  <c r="E13" i="48"/>
  <c r="G13" i="48" s="1"/>
  <c r="E15" i="48"/>
  <c r="G15" i="48" s="1"/>
  <c r="E11" i="48"/>
  <c r="G11" i="48" s="1"/>
  <c r="H11" i="48" s="1"/>
  <c r="D5" i="53"/>
  <c r="F5" i="53" s="1"/>
  <c r="E5" i="48"/>
  <c r="G5" i="48" s="1"/>
  <c r="E9" i="27"/>
  <c r="G9" i="27" s="1"/>
  <c r="H9" i="27" s="1"/>
  <c r="E9" i="48"/>
  <c r="G9" i="48" s="1"/>
  <c r="H9" i="48" s="1"/>
  <c r="D38" i="9"/>
  <c r="D42" i="9" s="1"/>
  <c r="E6" i="48"/>
  <c r="G6" i="48" s="1"/>
  <c r="C38" i="9"/>
  <c r="E5" i="27"/>
  <c r="D13" i="53"/>
  <c r="E13" i="53" s="1"/>
  <c r="L38" i="9"/>
  <c r="H38" i="9"/>
  <c r="D10" i="54"/>
  <c r="E14" i="27"/>
  <c r="G14" i="27" s="1"/>
  <c r="K38" i="9"/>
  <c r="D11" i="54"/>
  <c r="D15" i="54"/>
  <c r="T11" i="58" s="1"/>
  <c r="E11" i="27"/>
  <c r="E15" i="27"/>
  <c r="G15" i="27" s="1"/>
  <c r="D10" i="53"/>
  <c r="E10" i="53" s="1"/>
  <c r="D14" i="53"/>
  <c r="E14" i="53" s="1"/>
  <c r="D14" i="54"/>
  <c r="N38" i="9"/>
  <c r="N39" i="9" s="1"/>
  <c r="J38" i="9"/>
  <c r="D12" i="54"/>
  <c r="D16" i="54"/>
  <c r="E12" i="27"/>
  <c r="E16" i="27"/>
  <c r="G16" i="27" s="1"/>
  <c r="D11" i="53"/>
  <c r="E11" i="53" s="1"/>
  <c r="D15" i="53"/>
  <c r="E15" i="53" s="1"/>
  <c r="M38" i="9"/>
  <c r="I38" i="9"/>
  <c r="D13" i="54"/>
  <c r="G38" i="9"/>
  <c r="D9" i="53"/>
  <c r="E9" i="53" s="1"/>
  <c r="D9" i="54"/>
  <c r="F38" i="9"/>
  <c r="D8" i="53"/>
  <c r="F8" i="53" s="1"/>
  <c r="E8" i="27"/>
  <c r="D8" i="54"/>
  <c r="E38" i="9"/>
  <c r="E7" i="27"/>
  <c r="G7" i="27" s="1"/>
  <c r="H7" i="27" s="1"/>
  <c r="D7" i="54"/>
  <c r="D7" i="53"/>
  <c r="E7" i="53" s="1"/>
  <c r="D6" i="53"/>
  <c r="F6" i="53" s="1"/>
  <c r="D6" i="54"/>
  <c r="E6" i="27"/>
  <c r="F12" i="53"/>
  <c r="E16" i="53"/>
  <c r="F16" i="53"/>
  <c r="H7" i="48"/>
  <c r="H8" i="48"/>
  <c r="H5" i="48"/>
  <c r="E5" i="53" l="1"/>
  <c r="G8" i="27"/>
  <c r="H8" i="27" s="1"/>
  <c r="G12" i="27"/>
  <c r="Z5" i="18" s="1"/>
  <c r="G11" i="27"/>
  <c r="H11" i="27" s="1"/>
  <c r="G5" i="27"/>
  <c r="H5" i="27" s="1"/>
  <c r="H6" i="48"/>
  <c r="I6" i="48"/>
  <c r="J6" i="48" s="1"/>
  <c r="G6" i="27"/>
  <c r="H6" i="27" s="1"/>
  <c r="H15" i="48"/>
  <c r="T10" i="58"/>
  <c r="F14" i="53"/>
  <c r="F13" i="53"/>
  <c r="F11" i="53"/>
  <c r="F7" i="53"/>
  <c r="E6" i="53"/>
  <c r="H15" i="27"/>
  <c r="T9" i="58"/>
  <c r="H16" i="27"/>
  <c r="U9" i="58"/>
  <c r="H13" i="48"/>
  <c r="R10" i="58"/>
  <c r="H13" i="27"/>
  <c r="R9" i="58"/>
  <c r="H14" i="27"/>
  <c r="S9" i="58"/>
  <c r="H14" i="48"/>
  <c r="S10" i="58"/>
  <c r="F15" i="53"/>
  <c r="F9" i="53"/>
  <c r="F10" i="53"/>
  <c r="E8" i="53"/>
  <c r="L23" i="18"/>
  <c r="M23" i="18" s="1"/>
  <c r="AH15" i="18"/>
  <c r="AI15" i="18" s="1"/>
  <c r="AG23" i="18"/>
  <c r="Z15" i="18"/>
  <c r="X15" i="18"/>
  <c r="W15" i="18"/>
  <c r="U15" i="18"/>
  <c r="N15" i="18"/>
  <c r="C37" i="9"/>
  <c r="AH5" i="18"/>
  <c r="AF5" i="18"/>
  <c r="AD5" i="18"/>
  <c r="AB5" i="18"/>
  <c r="J5" i="50"/>
  <c r="I3" i="59" l="1"/>
  <c r="J3" i="59" s="1"/>
  <c r="M3" i="59" s="1"/>
  <c r="C43" i="9"/>
  <c r="X5" i="18"/>
  <c r="P9" i="58" s="1"/>
  <c r="H12" i="27"/>
  <c r="Z23" i="18"/>
  <c r="AA23" i="18" s="1"/>
  <c r="AA15" i="18"/>
  <c r="L9" i="18"/>
  <c r="J14" i="58" s="1"/>
  <c r="P5" i="50"/>
  <c r="C3" i="59"/>
  <c r="N23" i="18"/>
  <c r="O23" i="18" s="1"/>
  <c r="O15" i="18"/>
  <c r="Y15" i="18"/>
  <c r="L11" i="18"/>
  <c r="J16" i="58" s="1"/>
  <c r="AE23" i="18"/>
  <c r="T23" i="18"/>
  <c r="U23" i="18" s="1"/>
  <c r="AH23" i="18"/>
  <c r="AI23" i="18" s="1"/>
  <c r="O5" i="50"/>
  <c r="M9" i="18" s="1"/>
  <c r="AH8" i="18"/>
  <c r="AF8" i="18"/>
  <c r="AD8" i="18"/>
  <c r="AB8" i="18"/>
  <c r="Z8" i="18"/>
  <c r="X8" i="18"/>
  <c r="V8" i="18"/>
  <c r="T8" i="18"/>
  <c r="N11" i="58" s="1"/>
  <c r="R8" i="18"/>
  <c r="M11" i="58" s="1"/>
  <c r="N8" i="18"/>
  <c r="K11" i="58" s="1"/>
  <c r="P8" i="18"/>
  <c r="L11" i="58" s="1"/>
  <c r="L8" i="18"/>
  <c r="J11" i="58" s="1"/>
  <c r="J6" i="50"/>
  <c r="J7" i="50"/>
  <c r="P7" i="50" s="1"/>
  <c r="J8" i="50"/>
  <c r="P8" i="50" s="1"/>
  <c r="J9" i="50"/>
  <c r="P9" i="50" s="1"/>
  <c r="J10" i="50"/>
  <c r="P10" i="50" s="1"/>
  <c r="J11" i="50"/>
  <c r="J12" i="50"/>
  <c r="P12" i="50" s="1"/>
  <c r="K3" i="59" l="1"/>
  <c r="L3" i="59" s="1"/>
  <c r="C9" i="59"/>
  <c r="E9" i="59" s="1"/>
  <c r="F9" i="59" s="1"/>
  <c r="P11" i="50"/>
  <c r="C11" i="59"/>
  <c r="E11" i="59" s="1"/>
  <c r="F11" i="59" s="1"/>
  <c r="P13" i="50"/>
  <c r="C13" i="59"/>
  <c r="E13" i="59" s="1"/>
  <c r="F13" i="59" s="1"/>
  <c r="P15" i="50"/>
  <c r="C12" i="59"/>
  <c r="E12" i="59" s="1"/>
  <c r="F12" i="59" s="1"/>
  <c r="P14" i="50"/>
  <c r="C8" i="59"/>
  <c r="E8" i="59"/>
  <c r="F8" i="59" s="1"/>
  <c r="D8" i="59"/>
  <c r="G8" i="59" s="1"/>
  <c r="N9" i="18"/>
  <c r="K14" i="58" s="1"/>
  <c r="P6" i="50"/>
  <c r="C4" i="59"/>
  <c r="D3" i="59"/>
  <c r="T9" i="18"/>
  <c r="N14" i="58" s="1"/>
  <c r="C7" i="59"/>
  <c r="AH9" i="18"/>
  <c r="C14" i="59"/>
  <c r="Z9" i="18"/>
  <c r="Q14" i="58" s="1"/>
  <c r="C10" i="59"/>
  <c r="R9" i="18"/>
  <c r="M14" i="58" s="1"/>
  <c r="C6" i="59"/>
  <c r="D6" i="59" s="1"/>
  <c r="G6" i="59" s="1"/>
  <c r="P9" i="18"/>
  <c r="L14" i="58" s="1"/>
  <c r="C5" i="59"/>
  <c r="AF9" i="18"/>
  <c r="T14" i="58"/>
  <c r="O6" i="50"/>
  <c r="O9" i="18" s="1"/>
  <c r="O16" i="50"/>
  <c r="AI9" i="18" s="1"/>
  <c r="O15" i="50"/>
  <c r="AG9" i="18" s="1"/>
  <c r="AB9" i="18"/>
  <c r="R14" i="58"/>
  <c r="X9" i="18"/>
  <c r="P14" i="58" s="1"/>
  <c r="O11" i="50"/>
  <c r="Y9" i="18" s="1"/>
  <c r="AD9" i="18"/>
  <c r="S14" i="58"/>
  <c r="V9" i="18"/>
  <c r="O14" i="58"/>
  <c r="O14" i="50"/>
  <c r="AE9" i="18" s="1"/>
  <c r="O13" i="50"/>
  <c r="AC9" i="18" s="1"/>
  <c r="O12" i="50"/>
  <c r="AA9" i="18" s="1"/>
  <c r="O10" i="50"/>
  <c r="W9" i="18" s="1"/>
  <c r="O9" i="50"/>
  <c r="U9" i="18" s="1"/>
  <c r="O8" i="50"/>
  <c r="S9" i="18" s="1"/>
  <c r="O7" i="50"/>
  <c r="Q9" i="18" s="1"/>
  <c r="E6" i="54"/>
  <c r="O8" i="18" s="1"/>
  <c r="E7" i="54"/>
  <c r="Q8" i="18" s="1"/>
  <c r="E8" i="54"/>
  <c r="S8" i="18" s="1"/>
  <c r="E9" i="54"/>
  <c r="U8" i="18" s="1"/>
  <c r="E10" i="54"/>
  <c r="W8" i="18" s="1"/>
  <c r="E11" i="54"/>
  <c r="Y8" i="18" s="1"/>
  <c r="E12" i="54"/>
  <c r="AA8" i="18" s="1"/>
  <c r="E13" i="54"/>
  <c r="AC8" i="18" s="1"/>
  <c r="E14" i="54"/>
  <c r="AE8" i="18" s="1"/>
  <c r="E15" i="54"/>
  <c r="AG8" i="18" s="1"/>
  <c r="E16" i="54"/>
  <c r="AI8" i="18" s="1"/>
  <c r="E5" i="54"/>
  <c r="M8" i="18" s="1"/>
  <c r="B17" i="54"/>
  <c r="F17" i="54" s="1"/>
  <c r="G16" i="54"/>
  <c r="G15" i="54"/>
  <c r="G14" i="54"/>
  <c r="G13" i="54"/>
  <c r="G12" i="54"/>
  <c r="G11" i="54"/>
  <c r="G10" i="54"/>
  <c r="G9" i="54"/>
  <c r="G8" i="54"/>
  <c r="G7" i="54"/>
  <c r="G6" i="54"/>
  <c r="D13" i="59" l="1"/>
  <c r="G13" i="59" s="1"/>
  <c r="D12" i="59"/>
  <c r="G12" i="59" s="1"/>
  <c r="D9" i="59"/>
  <c r="G9" i="59" s="1"/>
  <c r="D11" i="59"/>
  <c r="G11" i="59" s="1"/>
  <c r="E6" i="59"/>
  <c r="F6" i="59" s="1"/>
  <c r="E14" i="59"/>
  <c r="F14" i="59" s="1"/>
  <c r="D14" i="59"/>
  <c r="G14" i="59" s="1"/>
  <c r="E7" i="59"/>
  <c r="F7" i="59" s="1"/>
  <c r="D7" i="59"/>
  <c r="G7" i="59" s="1"/>
  <c r="E4" i="59"/>
  <c r="F4" i="59" s="1"/>
  <c r="D4" i="59"/>
  <c r="G4" i="59" s="1"/>
  <c r="E10" i="59"/>
  <c r="F10" i="59" s="1"/>
  <c r="D10" i="59"/>
  <c r="G10" i="59" s="1"/>
  <c r="E5" i="59"/>
  <c r="F5" i="59" s="1"/>
  <c r="D5" i="59"/>
  <c r="G5" i="59" s="1"/>
  <c r="G17" i="54"/>
  <c r="AH6" i="18" l="1"/>
  <c r="AF6" i="18"/>
  <c r="AD6" i="18"/>
  <c r="AB6" i="18"/>
  <c r="Z6" i="18"/>
  <c r="X6" i="18"/>
  <c r="P10" i="58" s="1"/>
  <c r="V6" i="18"/>
  <c r="O10" i="58" s="1"/>
  <c r="T6" i="18"/>
  <c r="N10" i="58" s="1"/>
  <c r="R6" i="18"/>
  <c r="M10" i="58" s="1"/>
  <c r="P6" i="18"/>
  <c r="L10" i="58" s="1"/>
  <c r="N6" i="18"/>
  <c r="K10" i="58" s="1"/>
  <c r="Q9" i="58" l="1"/>
  <c r="Q10" i="58"/>
  <c r="L6" i="18"/>
  <c r="J10" i="58" s="1"/>
  <c r="AI4" i="18"/>
  <c r="O4" i="18"/>
  <c r="V5" i="18"/>
  <c r="O9" i="58" s="1"/>
  <c r="T5" i="18"/>
  <c r="N9" i="58" s="1"/>
  <c r="R5" i="18"/>
  <c r="M9" i="58" s="1"/>
  <c r="P5" i="18"/>
  <c r="L9" i="58" s="1"/>
  <c r="N5" i="18"/>
  <c r="K9" i="58" s="1"/>
  <c r="L5" i="18"/>
  <c r="J9" i="58" s="1"/>
  <c r="D17" i="53"/>
  <c r="B17" i="53"/>
  <c r="C17" i="53"/>
  <c r="F17" i="53"/>
  <c r="E17" i="53"/>
  <c r="M5" i="18" l="1"/>
  <c r="M11" i="18"/>
  <c r="K10" i="51"/>
  <c r="L10" i="51" s="1"/>
  <c r="M10" i="51" s="1"/>
  <c r="K15" i="51"/>
  <c r="L15" i="51" s="1"/>
  <c r="M15" i="51" s="1"/>
  <c r="L5" i="51"/>
  <c r="C18" i="59" s="1"/>
  <c r="K7" i="51"/>
  <c r="L7" i="51" s="1"/>
  <c r="C20" i="59" s="1"/>
  <c r="E20" i="59" s="1"/>
  <c r="L6" i="50"/>
  <c r="N6" i="50" s="1"/>
  <c r="L7" i="50"/>
  <c r="N7" i="50" s="1"/>
  <c r="L8" i="50"/>
  <c r="N8" i="50" s="1"/>
  <c r="L9" i="50"/>
  <c r="N9" i="50" s="1"/>
  <c r="L10" i="50"/>
  <c r="N10" i="50" s="1"/>
  <c r="L11" i="50"/>
  <c r="N11" i="50" s="1"/>
  <c r="L12" i="50"/>
  <c r="N12" i="50" s="1"/>
  <c r="L13" i="50"/>
  <c r="N13" i="50" s="1"/>
  <c r="L14" i="50"/>
  <c r="N14" i="50" s="1"/>
  <c r="L15" i="50"/>
  <c r="N15" i="50" s="1"/>
  <c r="L16" i="50"/>
  <c r="N16" i="50" s="1"/>
  <c r="L5" i="50"/>
  <c r="N5" i="50" s="1"/>
  <c r="K6" i="50"/>
  <c r="N10" i="18" s="1"/>
  <c r="K15" i="58" s="1"/>
  <c r="K7" i="50"/>
  <c r="K9" i="50"/>
  <c r="K10" i="50"/>
  <c r="K11" i="50"/>
  <c r="P15" i="58" s="1"/>
  <c r="K12" i="50"/>
  <c r="Q15" i="58" s="1"/>
  <c r="K13" i="50"/>
  <c r="R15" i="58" s="1"/>
  <c r="K14" i="50"/>
  <c r="T15" i="58"/>
  <c r="K5" i="50"/>
  <c r="O6" i="18"/>
  <c r="Q6" i="18"/>
  <c r="S6" i="18"/>
  <c r="U6" i="18"/>
  <c r="W6" i="18"/>
  <c r="Y6" i="18"/>
  <c r="AA6" i="18"/>
  <c r="AC6" i="18"/>
  <c r="AE6" i="18"/>
  <c r="AG6" i="18"/>
  <c r="AI6" i="18"/>
  <c r="M6" i="18"/>
  <c r="F17" i="48"/>
  <c r="E17" i="48"/>
  <c r="C17" i="48"/>
  <c r="B17" i="48"/>
  <c r="I16" i="48"/>
  <c r="J16" i="48" s="1"/>
  <c r="I15" i="48"/>
  <c r="J15" i="48" s="1"/>
  <c r="I14" i="48"/>
  <c r="J14" i="48" s="1"/>
  <c r="I12" i="48"/>
  <c r="J12" i="48" s="1"/>
  <c r="I11" i="48"/>
  <c r="J11" i="48" s="1"/>
  <c r="I10" i="48"/>
  <c r="J10" i="48" s="1"/>
  <c r="I8" i="48"/>
  <c r="J8" i="48" s="1"/>
  <c r="I7" i="48"/>
  <c r="J7" i="48" s="1"/>
  <c r="F17" i="27"/>
  <c r="E17" i="27"/>
  <c r="C17" i="27"/>
  <c r="B17" i="27"/>
  <c r="O5" i="18"/>
  <c r="Q5" i="18"/>
  <c r="S5" i="18"/>
  <c r="U5" i="18"/>
  <c r="W5" i="18"/>
  <c r="Y5" i="18"/>
  <c r="AA5" i="18"/>
  <c r="AC5" i="18"/>
  <c r="AE5" i="18"/>
  <c r="AG5" i="18"/>
  <c r="AI5" i="18"/>
  <c r="I5" i="27"/>
  <c r="J5" i="27" s="1"/>
  <c r="D17" i="48" l="1"/>
  <c r="D18" i="59"/>
  <c r="G18" i="59" s="1"/>
  <c r="E18" i="59"/>
  <c r="F18" i="59" s="1"/>
  <c r="D20" i="59"/>
  <c r="G20" i="59" s="1"/>
  <c r="F20" i="59"/>
  <c r="M6" i="50"/>
  <c r="O10" i="18" s="1"/>
  <c r="M16" i="50"/>
  <c r="AI10" i="18" s="1"/>
  <c r="AH10" i="18"/>
  <c r="K13" i="51"/>
  <c r="L13" i="51" s="1"/>
  <c r="C26" i="59" s="1"/>
  <c r="M15" i="50"/>
  <c r="AG10" i="18" s="1"/>
  <c r="AF10" i="18"/>
  <c r="M7" i="51"/>
  <c r="P7" i="18"/>
  <c r="L8" i="58" s="1"/>
  <c r="D17" i="27"/>
  <c r="AD10" i="18"/>
  <c r="S15" i="58"/>
  <c r="V10" i="18"/>
  <c r="O15" i="58"/>
  <c r="K11" i="51"/>
  <c r="K16" i="51"/>
  <c r="M14" i="50"/>
  <c r="AE10" i="18" s="1"/>
  <c r="K12" i="51"/>
  <c r="K14" i="51"/>
  <c r="M13" i="50"/>
  <c r="AC10" i="18" s="1"/>
  <c r="AB10" i="18"/>
  <c r="M12" i="50"/>
  <c r="AA10" i="18" s="1"/>
  <c r="Z10" i="18"/>
  <c r="M11" i="50"/>
  <c r="Y10" i="18" s="1"/>
  <c r="X10" i="18"/>
  <c r="M10" i="50"/>
  <c r="W10" i="18" s="1"/>
  <c r="M9" i="50"/>
  <c r="U10" i="18" s="1"/>
  <c r="T10" i="18"/>
  <c r="N15" i="58" s="1"/>
  <c r="C23" i="59"/>
  <c r="K9" i="51"/>
  <c r="L9" i="51" s="1"/>
  <c r="M9" i="51" s="1"/>
  <c r="M8" i="50"/>
  <c r="S10" i="18" s="1"/>
  <c r="R10" i="18"/>
  <c r="M15" i="58" s="1"/>
  <c r="M7" i="50"/>
  <c r="Q10" i="18" s="1"/>
  <c r="P10" i="18"/>
  <c r="L15" i="58" s="1"/>
  <c r="L8" i="51"/>
  <c r="M8" i="51" s="1"/>
  <c r="G17" i="27"/>
  <c r="H17" i="27" s="1"/>
  <c r="L7" i="18"/>
  <c r="J8" i="58" s="1"/>
  <c r="G17" i="51"/>
  <c r="M5" i="50"/>
  <c r="M10" i="18" s="1"/>
  <c r="L10" i="18"/>
  <c r="J15" i="58" s="1"/>
  <c r="M4" i="18"/>
  <c r="J17" i="51"/>
  <c r="G17" i="48"/>
  <c r="L17" i="50"/>
  <c r="N17" i="50" s="1"/>
  <c r="K17" i="50"/>
  <c r="M17" i="50" s="1"/>
  <c r="I5" i="48"/>
  <c r="J5" i="48" s="1"/>
  <c r="I9" i="48"/>
  <c r="J9" i="48" s="1"/>
  <c r="I13" i="48"/>
  <c r="J13" i="48" s="1"/>
  <c r="I17" i="48" l="1"/>
  <c r="J17" i="48" s="1"/>
  <c r="L16" i="51"/>
  <c r="M16" i="51" s="1"/>
  <c r="AI7" i="18" s="1"/>
  <c r="L14" i="51"/>
  <c r="M14" i="51" s="1"/>
  <c r="AE7" i="18" s="1"/>
  <c r="L12" i="51"/>
  <c r="L11" i="51"/>
  <c r="M11" i="51" s="1"/>
  <c r="Y7" i="18" s="1"/>
  <c r="C21" i="59"/>
  <c r="T7" i="18"/>
  <c r="N8" i="58" s="1"/>
  <c r="C22" i="59"/>
  <c r="C28" i="59"/>
  <c r="E23" i="59"/>
  <c r="F23" i="59" s="1"/>
  <c r="D23" i="59"/>
  <c r="G23" i="59" s="1"/>
  <c r="L6" i="51"/>
  <c r="W7" i="18"/>
  <c r="O8" i="58"/>
  <c r="AF7" i="18"/>
  <c r="T8" i="58" s="1"/>
  <c r="V7" i="18"/>
  <c r="H17" i="48"/>
  <c r="I17" i="27"/>
  <c r="J17" i="27" s="1"/>
  <c r="K17" i="51"/>
  <c r="M5" i="51"/>
  <c r="M7" i="18" s="1"/>
  <c r="AG7" i="18"/>
  <c r="Q7" i="18"/>
  <c r="R7" i="18"/>
  <c r="M8" i="58" s="1"/>
  <c r="S7" i="18"/>
  <c r="I6" i="27"/>
  <c r="J6" i="27" s="1"/>
  <c r="I7" i="27"/>
  <c r="J7" i="27" s="1"/>
  <c r="I8" i="27"/>
  <c r="J8" i="27" s="1"/>
  <c r="I9" i="27"/>
  <c r="J9" i="27" s="1"/>
  <c r="I10" i="27"/>
  <c r="J10" i="27" s="1"/>
  <c r="I11" i="27"/>
  <c r="J11" i="27" s="1"/>
  <c r="I12" i="27"/>
  <c r="J12" i="27" s="1"/>
  <c r="I13" i="27"/>
  <c r="J13" i="27" s="1"/>
  <c r="I14" i="27"/>
  <c r="J14" i="27" s="1"/>
  <c r="I15" i="27"/>
  <c r="J15" i="27" s="1"/>
  <c r="I16" i="27"/>
  <c r="J16" i="27" s="1"/>
  <c r="AH7" i="18" l="1"/>
  <c r="U8" i="58"/>
  <c r="E21" i="59"/>
  <c r="F21" i="59" s="1"/>
  <c r="D21" i="59"/>
  <c r="G21" i="59" s="1"/>
  <c r="M13" i="51"/>
  <c r="AC7" i="18" s="1"/>
  <c r="AD7" i="18"/>
  <c r="S8" i="58"/>
  <c r="M12" i="51"/>
  <c r="AA7" i="18" s="1"/>
  <c r="Z7" i="18"/>
  <c r="C29" i="59"/>
  <c r="C27" i="59"/>
  <c r="AB7" i="18"/>
  <c r="R8" i="58"/>
  <c r="Q8" i="58"/>
  <c r="P8" i="58"/>
  <c r="X7" i="18"/>
  <c r="C25" i="59"/>
  <c r="C24" i="59"/>
  <c r="E22" i="59"/>
  <c r="F22" i="59" s="1"/>
  <c r="D22" i="59"/>
  <c r="G22" i="59" s="1"/>
  <c r="D28" i="59"/>
  <c r="G28" i="59" s="1"/>
  <c r="E28" i="59"/>
  <c r="F28" i="59" s="1"/>
  <c r="N7" i="18"/>
  <c r="K8" i="58" s="1"/>
  <c r="C19" i="59"/>
  <c r="E42" i="9"/>
  <c r="F42" i="9"/>
  <c r="G42" i="9"/>
  <c r="H42" i="9"/>
  <c r="I42" i="9"/>
  <c r="J42" i="9"/>
  <c r="K42" i="9"/>
  <c r="L42" i="9"/>
  <c r="M42" i="9"/>
  <c r="N42" i="9"/>
  <c r="C42" i="9"/>
  <c r="O38" i="9"/>
  <c r="E37" i="9"/>
  <c r="G37" i="9"/>
  <c r="I37" i="9"/>
  <c r="K43" i="9"/>
  <c r="L37" i="9"/>
  <c r="C39" i="9"/>
  <c r="I12" i="59" l="1"/>
  <c r="J12" i="59" s="1"/>
  <c r="M12" i="59" s="1"/>
  <c r="L43" i="9"/>
  <c r="I5" i="59"/>
  <c r="J5" i="59" s="1"/>
  <c r="E43" i="9"/>
  <c r="Q11" i="18" s="1"/>
  <c r="I9" i="59"/>
  <c r="J9" i="59" s="1"/>
  <c r="I43" i="9"/>
  <c r="I7" i="59"/>
  <c r="J7" i="59" s="1"/>
  <c r="G43" i="9"/>
  <c r="U11" i="18" s="1"/>
  <c r="D29" i="59"/>
  <c r="G29" i="59" s="1"/>
  <c r="E29" i="59"/>
  <c r="F29" i="59" s="1"/>
  <c r="D27" i="59"/>
  <c r="G27" i="59" s="1"/>
  <c r="E27" i="59"/>
  <c r="F27" i="59" s="1"/>
  <c r="D26" i="59"/>
  <c r="G26" i="59" s="1"/>
  <c r="E26" i="59"/>
  <c r="F26" i="59" s="1"/>
  <c r="D25" i="59"/>
  <c r="G25" i="59" s="1"/>
  <c r="E25" i="59"/>
  <c r="F25" i="59" s="1"/>
  <c r="D24" i="59"/>
  <c r="G24" i="59" s="1"/>
  <c r="E24" i="59"/>
  <c r="F24" i="59" s="1"/>
  <c r="M7" i="59"/>
  <c r="D19" i="59"/>
  <c r="G19" i="59" s="1"/>
  <c r="E19" i="59"/>
  <c r="F19" i="59" s="1"/>
  <c r="K12" i="59"/>
  <c r="L12" i="59" s="1"/>
  <c r="F41" i="9"/>
  <c r="I6" i="59"/>
  <c r="R16" i="58"/>
  <c r="I11" i="59"/>
  <c r="J11" i="59" s="1"/>
  <c r="M5" i="59"/>
  <c r="K5" i="59"/>
  <c r="L5" i="59" s="1"/>
  <c r="K9" i="59"/>
  <c r="L9" i="59" s="1"/>
  <c r="M9" i="59"/>
  <c r="S16" i="58"/>
  <c r="L41" i="9"/>
  <c r="O37" i="9"/>
  <c r="O41" i="9" s="1"/>
  <c r="O42" i="9"/>
  <c r="D17" i="54"/>
  <c r="AB11" i="18"/>
  <c r="AC11" i="18"/>
  <c r="M39" i="9"/>
  <c r="AF11" i="18"/>
  <c r="AG11" i="18"/>
  <c r="X11" i="18"/>
  <c r="Y11" i="18"/>
  <c r="P11" i="18"/>
  <c r="L16" i="58" s="1"/>
  <c r="AD11" i="18"/>
  <c r="AE11" i="18"/>
  <c r="AH11" i="18"/>
  <c r="AI11" i="18"/>
  <c r="Z11" i="18"/>
  <c r="AA11" i="18"/>
  <c r="G39" i="9"/>
  <c r="T11" i="18"/>
  <c r="N16" i="58" s="1"/>
  <c r="W11" i="18"/>
  <c r="F39" i="9"/>
  <c r="R11" i="18"/>
  <c r="M16" i="58" s="1"/>
  <c r="S11" i="18"/>
  <c r="N11" i="18"/>
  <c r="K16" i="58" s="1"/>
  <c r="O11" i="18"/>
  <c r="U7" i="18"/>
  <c r="L17" i="51"/>
  <c r="M17" i="51" s="1"/>
  <c r="P17" i="50"/>
  <c r="D39" i="9"/>
  <c r="I39" i="9"/>
  <c r="H39" i="9"/>
  <c r="E39" i="9"/>
  <c r="L39" i="9"/>
  <c r="K39" i="9"/>
  <c r="J39" i="9"/>
  <c r="J6" i="59" l="1"/>
  <c r="K6" i="59"/>
  <c r="L6" i="59" s="1"/>
  <c r="K7" i="59"/>
  <c r="L7" i="59" s="1"/>
  <c r="M6" i="59"/>
  <c r="K11" i="59"/>
  <c r="L11" i="59" s="1"/>
  <c r="M11" i="59"/>
  <c r="O39" i="9"/>
  <c r="M6" i="51"/>
  <c r="O7" i="18" s="1"/>
  <c r="AG4" i="18" l="1"/>
  <c r="AE4" i="18"/>
  <c r="AC4" i="18" l="1"/>
  <c r="AB23" i="18"/>
  <c r="AC23" i="18" s="1"/>
  <c r="W4" i="18" l="1"/>
  <c r="Y4" i="18" l="1"/>
  <c r="AA4" i="18"/>
  <c r="R23" i="18" l="1"/>
  <c r="S23" i="18" s="1"/>
  <c r="Q4" i="18" l="1"/>
  <c r="Q23" i="18"/>
  <c r="U4" i="18"/>
  <c r="S4" i="18"/>
</calcChain>
</file>

<file path=xl/comments1.xml><?xml version="1.0" encoding="utf-8"?>
<comments xmlns="http://schemas.openxmlformats.org/spreadsheetml/2006/main">
  <authors>
    <author>KAREN CABRERA</author>
    <author>STULY QUINTO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Nivel de cumplimiento de indicadores internos de comportamiento ambiental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no incluye residuos metálicos o líquidos de aceite vegetal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Nivel de cumplimiento de indicadores internos de gestión ambiental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Para el mes de Enero no se programó capacitaciones 
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Para el mes de Febrero no se programó capacitaciones 
</t>
        </r>
      </text>
    </comment>
    <comment ref="P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Emergencia COVID19
</t>
        </r>
      </text>
    </comment>
    <comment ref="V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No se programó formación para este mes 
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cancelaron  formaciones debido a COVID19</t>
        </r>
      </text>
    </comment>
  </commentList>
</comments>
</file>

<file path=xl/comments2.xml><?xml version="1.0" encoding="utf-8"?>
<comments xmlns="http://schemas.openxmlformats.org/spreadsheetml/2006/main">
  <authors>
    <author>KAREN CABRERA</author>
    <author>STULY QUINTO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resultado dic 2015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KAREN CABRERA:</t>
        </r>
        <r>
          <rPr>
            <sz val="9"/>
            <color indexed="81"/>
            <rFont val="Tahoma"/>
            <family val="2"/>
          </rPr>
          <t xml:space="preserve">
6 m2 jardin interno
9 m2 jardin externo-zona conductores
2016 adiciona la siembra en via de acceso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realizan 15 al mes 
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Definir Número de mantenimientos a realizar
</t>
        </r>
      </text>
    </comment>
    <comment ref="D33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Definir Número de mantenimientos a realizar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STULY QUINTO:</t>
        </r>
        <r>
          <rPr>
            <sz val="9"/>
            <color indexed="81"/>
            <rFont val="Tahoma"/>
            <family val="2"/>
          </rPr>
          <t xml:space="preserve">
Se ralizan dos limpiezas al año 
</t>
        </r>
      </text>
    </comment>
  </commentList>
</comments>
</file>

<file path=xl/sharedStrings.xml><?xml version="1.0" encoding="utf-8"?>
<sst xmlns="http://schemas.openxmlformats.org/spreadsheetml/2006/main" count="739" uniqueCount="379">
  <si>
    <t>Meta</t>
  </si>
  <si>
    <t>Nombre Indicador</t>
  </si>
  <si>
    <t>Unidad</t>
  </si>
  <si>
    <t>Frecuencia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</si>
  <si>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</si>
  <si>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</si>
  <si>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</si>
  <si>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</si>
  <si>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</si>
  <si>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</si>
  <si>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</si>
  <si>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</si>
  <si>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</si>
  <si>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</si>
  <si>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</si>
  <si>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</t>
  </si>
  <si>
    <t>Mensual</t>
  </si>
  <si>
    <t>Consumo total de agua</t>
  </si>
  <si>
    <t>Generación de Vertimientos</t>
  </si>
  <si>
    <t>Eficiencia</t>
  </si>
  <si>
    <t>Eficacia</t>
  </si>
  <si>
    <t>Tipo Indicador</t>
  </si>
  <si>
    <t>Responsable</t>
  </si>
  <si>
    <t>Ene</t>
  </si>
  <si>
    <t xml:space="preserve">Mensual 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</si>
  <si>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</si>
  <si>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</si>
  <si>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</si>
  <si>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</si>
  <si>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</si>
  <si>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</si>
  <si>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</si>
  <si>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</si>
  <si>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</si>
  <si>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</si>
  <si>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</si>
  <si>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Aspecto</t>
  </si>
  <si>
    <t>1. ICA</t>
  </si>
  <si>
    <t>Fórmula</t>
  </si>
  <si>
    <t>Comportamiento Ambiental</t>
  </si>
  <si>
    <t>Consumo de Energia Eléctrica</t>
  </si>
  <si>
    <t>kg</t>
  </si>
  <si>
    <t>m3</t>
  </si>
  <si>
    <t>2. IGA</t>
  </si>
  <si>
    <t>Gestión Ambiental</t>
  </si>
  <si>
    <t>Peso</t>
  </si>
  <si>
    <t>Número de reclamaciones y quejas ambientales</t>
  </si>
  <si>
    <t>Número de reclamaciones y quejas de tipo ambiental recibidas</t>
  </si>
  <si>
    <t>Absoluto</t>
  </si>
  <si>
    <t>≤ 300</t>
  </si>
  <si>
    <t>Kg</t>
  </si>
  <si>
    <t>(Capacitaciones realizadas/ capacitaciones programadas)*100</t>
  </si>
  <si>
    <t>Capacitaciones ambientales</t>
  </si>
  <si>
    <t>Página
1 de 1</t>
  </si>
  <si>
    <t>TABULACIÓN DATOS GENERACIÓN DE RESIDUOS</t>
  </si>
  <si>
    <t>ene</t>
  </si>
  <si>
    <t>≤ 25,8</t>
  </si>
  <si>
    <t>Consumo de Gas natural</t>
  </si>
  <si>
    <t>Generación de residuos peligrosos</t>
  </si>
  <si>
    <t>Generación de residuos no peligrosos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</si>
  <si>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</si>
  <si>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</si>
  <si>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</si>
  <si>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</si>
  <si>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</si>
  <si>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</si>
  <si>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</si>
  <si>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</si>
  <si>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</si>
  <si>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</si>
  <si>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</si>
  <si>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</si>
  <si>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</si>
  <si>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</si>
  <si>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</si>
  <si>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</si>
  <si>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</si>
  <si>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</si>
  <si>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</si>
  <si>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</si>
  <si>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</si>
  <si>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</si>
  <si>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</si>
  <si>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</si>
  <si>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Accidentes ambientales</t>
  </si>
  <si>
    <t>No. accidentes ambientales presentados en el período</t>
  </si>
  <si>
    <t>Sanciones ambientales</t>
  </si>
  <si>
    <t>No. sanciones ambientales monetarias</t>
  </si>
  <si>
    <t>No. sanciones ambientales no monetarias</t>
  </si>
  <si>
    <t xml:space="preserve">2.1 LEGISLATIVOS, QUEJAS </t>
  </si>
  <si>
    <t>2.2 CAPACITACIONES AMBIENTALES</t>
  </si>
  <si>
    <t>2.3 CONTINGENCIAS</t>
  </si>
  <si>
    <t>Res. Reciclables + Res. ordinarios</t>
  </si>
  <si>
    <t>≤ 290</t>
  </si>
  <si>
    <t xml:space="preserve">Programa </t>
  </si>
  <si>
    <t>Cumplimiento</t>
  </si>
  <si>
    <t>µg/m³</t>
  </si>
  <si>
    <t>Semestral</t>
  </si>
  <si>
    <t>Trimestral</t>
  </si>
  <si>
    <t>Cumplimiento de inspecciones</t>
  </si>
  <si>
    <t>Prom,emisiones de ruido en los puntos monitoreados</t>
  </si>
  <si>
    <t>&lt;75</t>
  </si>
  <si>
    <t xml:space="preserve"> - </t>
  </si>
  <si>
    <t>m3/Ton mov</t>
  </si>
  <si>
    <t>&lt;45</t>
  </si>
  <si>
    <t>&lt;95</t>
  </si>
  <si>
    <t>GENERACIÓN DE RUIDO</t>
  </si>
  <si>
    <t>GENERACIÓN DE RESIDUOS</t>
  </si>
  <si>
    <t>GENERACIÓN DE AGUAS RESIDUALES (INDUSTRIALES)</t>
  </si>
  <si>
    <t>CONSUMO DE MATERIAS PRIMAS Y RECURSOS (AGUA)</t>
  </si>
  <si>
    <t>GENERACIÓN DE EMISIONES</t>
  </si>
  <si>
    <t>Generación de ruido</t>
  </si>
  <si>
    <t>Cumplimiento parámetro PM10</t>
  </si>
  <si>
    <t>Cumplimiento parámetro PST</t>
  </si>
  <si>
    <t>db</t>
  </si>
  <si>
    <t>Prom,concentracion anual de particulas PST</t>
  </si>
  <si>
    <t>Prom,concentracion anual de particulas PM10</t>
  </si>
  <si>
    <t>Energía eléctrica consumida/ Ton mov</t>
  </si>
  <si>
    <t>Kwh/Ton mov</t>
  </si>
  <si>
    <t>Cumplimiento parámetro NOx-caldera</t>
  </si>
  <si>
    <t>&lt;300</t>
  </si>
  <si>
    <t>cada 3 años</t>
  </si>
  <si>
    <t>Residuos peligrosos generados</t>
  </si>
  <si>
    <t>Vertimientos generados</t>
  </si>
  <si>
    <t>CONSUMO DE MATERIAS PRIMAS Y RECURSOS (ENERGÍA)</t>
  </si>
  <si>
    <t>MES</t>
  </si>
  <si>
    <t>Plan de Manejo ambiental</t>
  </si>
  <si>
    <t>Jardines mantenidos en buen estado</t>
  </si>
  <si>
    <t>m2</t>
  </si>
  <si>
    <t>Prom M2 de Jardines mantenidos en buen estado</t>
  </si>
  <si>
    <t>(Cantidad Residuos reciclables/ Total residuos  gen oficinas)*100</t>
  </si>
  <si>
    <t>≥86%</t>
  </si>
  <si>
    <t>≤ 0,02</t>
  </si>
  <si>
    <t>Programa de emisiones atmosféricas</t>
  </si>
  <si>
    <t>Indice de reciclaje (oficinas)</t>
  </si>
  <si>
    <t>EDA</t>
  </si>
  <si>
    <t>Programa asociado</t>
  </si>
  <si>
    <t>Uso racional y eficiente d ela energía</t>
  </si>
  <si>
    <t>Uso eficiente y ahorro del agua</t>
  </si>
  <si>
    <t>Manejo de residuos líquidos industriales y domésticos</t>
  </si>
  <si>
    <t>Manejo integral de residuos</t>
  </si>
  <si>
    <t>Control de ruido</t>
  </si>
  <si>
    <t>Control de emisiones atmosféricas</t>
  </si>
  <si>
    <t xml:space="preserve">Baterias plomo acido </t>
  </si>
  <si>
    <t xml:space="preserve">Baterias UPS </t>
  </si>
  <si>
    <t xml:space="preserve">Bolsas de Cemento </t>
  </si>
  <si>
    <t xml:space="preserve">Cartuchos y toner de tinta </t>
  </si>
  <si>
    <t>Colillas de soldaduras</t>
  </si>
  <si>
    <t xml:space="preserve">Discos de pulidoras </t>
  </si>
  <si>
    <t xml:space="preserve">Envases de plaguicidas </t>
  </si>
  <si>
    <t>EPP contaminado</t>
  </si>
  <si>
    <t xml:space="preserve">Filtros de aire </t>
  </si>
  <si>
    <t xml:space="preserve">Filtros de aceite </t>
  </si>
  <si>
    <t xml:space="preserve">Aceite usado </t>
  </si>
  <si>
    <t xml:space="preserve">Carton contamiado </t>
  </si>
  <si>
    <t>Plastico contaminado</t>
  </si>
  <si>
    <t xml:space="preserve">Metal contaminado </t>
  </si>
  <si>
    <t xml:space="preserve">Residuos de pintura </t>
  </si>
  <si>
    <t xml:space="preserve">Tarros de aerosol </t>
  </si>
  <si>
    <t>Tarros de pintura</t>
  </si>
  <si>
    <t xml:space="preserve">Lodos contaminados </t>
  </si>
  <si>
    <t xml:space="preserve">Manguera contaminada </t>
  </si>
  <si>
    <t>RESIDUOS PELIGROSOS</t>
  </si>
  <si>
    <t xml:space="preserve">MES </t>
  </si>
  <si>
    <t>Balasto</t>
  </si>
  <si>
    <t xml:space="preserve">Chatarra </t>
  </si>
  <si>
    <t xml:space="preserve">Escombros </t>
  </si>
  <si>
    <t xml:space="preserve">Muebles de oficina </t>
  </si>
  <si>
    <t>RESIDUOS ESPECIALES</t>
  </si>
  <si>
    <t>Tipo de Residuo
Unidad</t>
  </si>
  <si>
    <t>RAEE´s (Chatarra electronica)</t>
  </si>
  <si>
    <t xml:space="preserve">Lamparas </t>
  </si>
  <si>
    <t xml:space="preserve">Bombillas </t>
  </si>
  <si>
    <t xml:space="preserve">Pilas alcalinas </t>
  </si>
  <si>
    <t>RESIDUOS POSCONSUMO</t>
  </si>
  <si>
    <t xml:space="preserve">TOTAL </t>
  </si>
  <si>
    <t xml:space="preserve">ANALISIS </t>
  </si>
  <si>
    <t xml:space="preserve">PLANTA </t>
  </si>
  <si>
    <t xml:space="preserve">TONELADAS MOVILIZADAS </t>
  </si>
  <si>
    <t xml:space="preserve">RELACIÓN Kg/Ton Mov </t>
  </si>
  <si>
    <t xml:space="preserve">COSTOS DE DISPOSICIÓN </t>
  </si>
  <si>
    <t>RELACIÓN  ($/Ton Mov)</t>
  </si>
  <si>
    <t xml:space="preserve">RELACIÓN ($/Kg Respel) </t>
  </si>
  <si>
    <t xml:space="preserve">GENERACIÓN DE RESIDUOS PELIGROSOS MENSUAL 
TERLICA S.A.S </t>
  </si>
  <si>
    <t xml:space="preserve">ANALISIS DE GENERACIÓN DE RESIDUOS </t>
  </si>
  <si>
    <t>Ton MOV</t>
  </si>
  <si>
    <t>kWh</t>
  </si>
  <si>
    <t>kWh/Ton Mov</t>
  </si>
  <si>
    <t>CONSUMO 2018</t>
  </si>
  <si>
    <t>Ton Mov</t>
  </si>
  <si>
    <t xml:space="preserve">TENDENCIA </t>
  </si>
  <si>
    <t xml:space="preserve">REDUCCIÓN O INCREMENTO </t>
  </si>
  <si>
    <t xml:space="preserve">CONSUMO DE ENERGIA ELECTRICA TERLICA S.A.S </t>
  </si>
  <si>
    <t xml:space="preserve">CONSUMO DE ENERGÍA ELECTRICA </t>
  </si>
  <si>
    <t xml:space="preserve">CONSUMO DE GAS NATURAL  </t>
  </si>
  <si>
    <t xml:space="preserve">CONSUMO DE GAS NATURAL -  TERLICA S.A.S </t>
  </si>
  <si>
    <t xml:space="preserve">OFICINAS </t>
  </si>
  <si>
    <t xml:space="preserve">ordinarios </t>
  </si>
  <si>
    <t xml:space="preserve">Carton y papel </t>
  </si>
  <si>
    <t>Plásticos</t>
  </si>
  <si>
    <t xml:space="preserve">Limpiezas Operaciones </t>
  </si>
  <si>
    <t xml:space="preserve">Marranos </t>
  </si>
  <si>
    <t xml:space="preserve">INDICE DE RECICLAJE </t>
  </si>
  <si>
    <t xml:space="preserve">Oficinas </t>
  </si>
  <si>
    <t xml:space="preserve">Planta </t>
  </si>
  <si>
    <t xml:space="preserve">Total </t>
  </si>
  <si>
    <t xml:space="preserve">Oficina </t>
  </si>
  <si>
    <t xml:space="preserve">Todas las instalaciones </t>
  </si>
  <si>
    <t>TENDENCIA</t>
  </si>
  <si>
    <t xml:space="preserve">MEDIDOR 1 
Alberca </t>
  </si>
  <si>
    <t xml:space="preserve">MEDIDOR 2
Oficinas </t>
  </si>
  <si>
    <t>MEDIDOR 3
Caldera</t>
  </si>
  <si>
    <t>Consumo 
Mes (m3)</t>
  </si>
  <si>
    <t xml:space="preserve">CONSUMO TOTAL
(m3) </t>
  </si>
  <si>
    <t xml:space="preserve">Lectura inicial </t>
  </si>
  <si>
    <t xml:space="preserve">Lectura 
Final </t>
  </si>
  <si>
    <t xml:space="preserve">Lectura Inicial </t>
  </si>
  <si>
    <t>m3/Ton Mov</t>
  </si>
  <si>
    <t xml:space="preserve">CUMPLIMIENTO 
DE META
≤ 0,02 m3/Ton Mov
</t>
  </si>
  <si>
    <t xml:space="preserve">Lectura
final </t>
  </si>
  <si>
    <t>REGISTRO DE CONSUMO DE AGUA TERLICA S.A.S 
DEPARTAMENTO DE SOSTENIBILIDAD</t>
  </si>
  <si>
    <t xml:space="preserve">CONSUMO DE AGUA 
TERLICA S.A.S </t>
  </si>
  <si>
    <r>
      <t xml:space="preserve">CUMPLIMIENTO DE META 
INDICE DE RECICLAJE
</t>
    </r>
    <r>
      <rPr>
        <b/>
        <sz val="11"/>
        <color theme="0"/>
        <rFont val="Calibri"/>
        <family val="2"/>
      </rPr>
      <t>≥</t>
    </r>
    <r>
      <rPr>
        <b/>
        <sz val="11"/>
        <color theme="0"/>
        <rFont val="Arial Narrow"/>
        <family val="2"/>
      </rPr>
      <t>15 %</t>
    </r>
  </si>
  <si>
    <t xml:space="preserve">CUMPLIMIENTO DE META GENERACIÓN
≤ 290 </t>
  </si>
  <si>
    <t>ACPM
(Gal)
2018</t>
  </si>
  <si>
    <t>Gasolina 
(Gal)
2018</t>
  </si>
  <si>
    <t>Ton Mov 
2018</t>
  </si>
  <si>
    <t>Gal ACPM/Ton Mov</t>
  </si>
  <si>
    <t xml:space="preserve">Gal Gaso/Ton Mov </t>
  </si>
  <si>
    <t xml:space="preserve">CONSUMO DE COMBUSTIBLES </t>
  </si>
  <si>
    <t>total m3 de Gas consumido/ Ton mov</t>
  </si>
  <si>
    <t xml:space="preserve">total consumo agua/ Ton Movilizadas </t>
  </si>
  <si>
    <t>CUMPLIMIENTO DE META
≤ 25,8</t>
  </si>
  <si>
    <t>GENERACIÓN DE AGUAS RESIDUALES NO DOMESTICAS</t>
  </si>
  <si>
    <t xml:space="preserve">Meta </t>
  </si>
  <si>
    <t>VOL
TOTAL</t>
  </si>
  <si>
    <t>Toner</t>
  </si>
  <si>
    <t>IMPO</t>
  </si>
  <si>
    <t>EXPO</t>
  </si>
  <si>
    <t xml:space="preserve">TOTAL MOV </t>
  </si>
  <si>
    <t xml:space="preserve">DEPARTAMENTO DE SOSTENIBILIDAD 
ÁREA DE GESTIÓN AMBIENTAL </t>
  </si>
  <si>
    <t>DEPARTAMENTO DE SOSTENIBILIDAD
ÁREA DE GESTIÓN AMBIENTAL</t>
  </si>
  <si>
    <t xml:space="preserve">DEPARTAMENTO DE SOSTENIBILIDAD
ÁREA DE GESTIÓN AMBIENTAL </t>
  </si>
  <si>
    <t>Residuos contaminados con HC</t>
  </si>
  <si>
    <t xml:space="preserve">Thinner u otros solventes </t>
  </si>
  <si>
    <t>CODIGO: 
R05-PRGI-013</t>
  </si>
  <si>
    <t>MATRIZ DE INDICADORES AMBIENTALES - BALANCE AMBIENTAL</t>
  </si>
  <si>
    <t>≤ 2,0</t>
  </si>
  <si>
    <t>≤ 1,8</t>
  </si>
  <si>
    <t>CÓDIGO: 
R04-PRGI-013</t>
  </si>
  <si>
    <t>GENERACIÓN DE RESIDUOS PELIGROSOS, ESPECIALES Y DE POSCONSUMO</t>
  </si>
  <si>
    <t>Fecha: 11/05/2018</t>
  </si>
  <si>
    <t>Versión: 01</t>
  </si>
  <si>
    <t>Fecha:  11/05/2018</t>
  </si>
  <si>
    <t>Versión: 02</t>
  </si>
  <si>
    <t>FECHA: 11/05/2018</t>
  </si>
  <si>
    <t>VERSIÓN: 01</t>
  </si>
  <si>
    <t>CÓDIGO:
R02-PGD-001</t>
  </si>
  <si>
    <t xml:space="preserve">Coord. Ambiental </t>
  </si>
  <si>
    <t xml:space="preserve">Anual </t>
  </si>
  <si>
    <t>Resultado medición NOx</t>
  </si>
  <si>
    <t xml:space="preserve">Semestral </t>
  </si>
  <si>
    <t xml:space="preserve">Programa de ahorro y uso eficiente del agua </t>
  </si>
  <si>
    <t xml:space="preserve">Consumo total del agua </t>
  </si>
  <si>
    <t xml:space="preserve">(Total consumo del agua/Ton movilizadas) *100 </t>
  </si>
  <si>
    <t xml:space="preserve">m3/Ton mov </t>
  </si>
  <si>
    <t>Prom. concentración
diaria de partículas
(PM10)</t>
  </si>
  <si>
    <t>Prom. concentración
diaria de partículas
(PST)</t>
  </si>
  <si>
    <t>Cumplimiento páramentro PM10</t>
  </si>
  <si>
    <t>Cumplimiento
parámetro PST</t>
  </si>
  <si>
    <t xml:space="preserve">Programa  de uso racional y eficiente de la energía </t>
  </si>
  <si>
    <t>Consumo energía eléctrica</t>
  </si>
  <si>
    <t>Consumo gas natural</t>
  </si>
  <si>
    <t>(consumo E.E (Kw/mes)/ Ton movilizadas)</t>
  </si>
  <si>
    <t>consumo G.N (Kw/mes)/ Ton movilizadas)</t>
  </si>
  <si>
    <t>Kw/ Ton Mov</t>
  </si>
  <si>
    <t>m3/ Ton Mov</t>
  </si>
  <si>
    <t xml:space="preserve">Manejo de residuos liquidos industriales y domesticos </t>
  </si>
  <si>
    <t xml:space="preserve">Total vertimiento generado </t>
  </si>
  <si>
    <t>Total vertimiento
generado</t>
  </si>
  <si>
    <t>≤ 25,9</t>
  </si>
  <si>
    <t>(Parámetros evaluados
que cumplen con la
legislación/ total de
parámetros
evaluados)*100</t>
  </si>
  <si>
    <t xml:space="preserve">Cumplimiento de caracterización </t>
  </si>
  <si>
    <t>Concentración de
Grasas y aceites</t>
  </si>
  <si>
    <t>Concentración de
grasas y aceites en
punto de vertimiento</t>
  </si>
  <si>
    <t xml:space="preserve">Trimestral </t>
  </si>
  <si>
    <t>Total residuos generados
(no peligrosos)</t>
  </si>
  <si>
    <t>Generación total
de residuos</t>
  </si>
  <si>
    <t>Índice de Reciclaje
(oficina)</t>
  </si>
  <si>
    <t>(Cantidad Residuos
reciclables/ Total
residuos generados- no
peligrosos)*100</t>
  </si>
  <si>
    <t xml:space="preserve">Total Respel Generados </t>
  </si>
  <si>
    <t>Generación total
Residuos
peligrosos</t>
  </si>
  <si>
    <t xml:space="preserve">Programa de Manejo integrado de resisuos sólidos </t>
  </si>
  <si>
    <t>Inspección de Kit de derrame
(No.insp realizadas en el periodo)/No. insp. Prog.)*100</t>
  </si>
  <si>
    <t>Inspección en oficinas
(No.insp realizadas en el periodo)/No. insp. Prog.)*100</t>
  </si>
  <si>
    <t xml:space="preserve">Coordinador H&amp;S/ Coord. Ambiental </t>
  </si>
  <si>
    <t xml:space="preserve">SEGUIMIENTO AL CUMPLIMIENTO DE  INDICADORES DE PROGRAMAS AMBIENTALES Y PLAN DE MANEJO AMBIENTAL  </t>
  </si>
  <si>
    <t>Inspección de Canales Escorrentías
(No.insp realizadas en el periodo)/No. insp. Prog.)*100</t>
  </si>
  <si>
    <t xml:space="preserve">1. PROGRAMAS AMBIENTALES </t>
  </si>
  <si>
    <t xml:space="preserve">2. PLAN DE MANEJO AMBIENTAL </t>
  </si>
  <si>
    <t>Programa de Inspecciones</t>
  </si>
  <si>
    <t xml:space="preserve">Programa de control de ruido </t>
  </si>
  <si>
    <t>Cumplimiento
nivel de emisión
de ruido</t>
  </si>
  <si>
    <t>prom. emisión de
ruido en los puntos
monitoreados</t>
  </si>
  <si>
    <t>dB</t>
  </si>
  <si>
    <t xml:space="preserve">Eficiencia </t>
  </si>
  <si>
    <t xml:space="preserve">Manejo de suelos/Manejo de escorrentia 
</t>
  </si>
  <si>
    <t xml:space="preserve">Inspecciones a canales de escorrentías </t>
  </si>
  <si>
    <t>(No de inspecciones realizadas/ No de inspecciones programadas)*100</t>
  </si>
  <si>
    <t xml:space="preserve">Mantenimiento de canales de escorrentía </t>
  </si>
  <si>
    <t>(No mantenimiento realizados/No Mantenimientos programados)*100</t>
  </si>
  <si>
    <t xml:space="preserve">Manejo del recurso hidrico </t>
  </si>
  <si>
    <t xml:space="preserve">Mantenimiento STARnD </t>
  </si>
  <si>
    <t xml:space="preserve">Monitoreo de vertimiento de calidad de agua y sedimentos marinos </t>
  </si>
  <si>
    <t xml:space="preserve">Quincenal </t>
  </si>
  <si>
    <t>Revisiones de estado de vehículos y documentación Requerida</t>
  </si>
  <si>
    <t>(No de monitoreos realizados/No de monitoreos   programados)*100</t>
  </si>
  <si>
    <t xml:space="preserve">Programa del control de emisiones atnmosfericas
Proyecto control de emisiones de partículas en vías externas  </t>
  </si>
  <si>
    <t>Monitoreo de la calidad del aire</t>
  </si>
  <si>
    <t xml:space="preserve">Programa del control de emisiones atnmosfericas
Proyecto control de emisiones por fuentes móviles   </t>
  </si>
  <si>
    <t xml:space="preserve">Mantenimiento de equipo pesado y liviano propio </t>
  </si>
  <si>
    <t xml:space="preserve">Verificación de certificado de emisiones gaseosas vehículos propios de la operación del terminal </t>
  </si>
  <si>
    <t>(No de certificados verificados/No de  vehiculos propios)*100</t>
  </si>
  <si>
    <t xml:space="preserve">Programa de control de ruido-Control de maquinaria, equipo y vehicular </t>
  </si>
  <si>
    <t>Mantenimiento control del Ruido</t>
  </si>
  <si>
    <t>Coord. Ambiental / Jefe de Mantenimiento</t>
  </si>
  <si>
    <t xml:space="preserve">Coord. Ambiental/ Jefe de mantenimiento/Director de operaciones </t>
  </si>
  <si>
    <t xml:space="preserve">Monitoreo de Riuido </t>
  </si>
  <si>
    <t xml:space="preserve">Programa paisajistico en la operación de la Terminal - Limpieza y recuperación de resisuos desde plyas y fondos Marinos </t>
  </si>
  <si>
    <t xml:space="preserve">Realización de Jornadas de limpieza  </t>
  </si>
  <si>
    <t>(No de jornadas de limpieza realizada/No de limpiezas programadas)*100</t>
  </si>
  <si>
    <t xml:space="preserve">Cantidad de residuos recuperados </t>
  </si>
  <si>
    <t xml:space="preserve">Cantidad de residuos recolectados </t>
  </si>
  <si>
    <t>___</t>
  </si>
  <si>
    <t xml:space="preserve">Composisicón de residuos </t>
  </si>
  <si>
    <t>(Cantidad de residuos por tipo recolectados / Total de residuos)*100</t>
  </si>
  <si>
    <t xml:space="preserve">Disposición final adecuada </t>
  </si>
  <si>
    <t>(Cantidad de residuos dispuestos / Total de residuos)*100</t>
  </si>
  <si>
    <t xml:space="preserve">Programa de educación ambiental </t>
  </si>
  <si>
    <t xml:space="preserve">Capacitaciones Ambientales </t>
  </si>
  <si>
    <t>Cobertura de Capacitaciones ambientales PMA</t>
  </si>
  <si>
    <t>(No de Capacitaciones  ejecutadas/No de capacitaciones programadas)*100</t>
  </si>
  <si>
    <t>(No de trabajadores Capacitacitados/No de total de Trabajadores)*100</t>
  </si>
  <si>
    <t>CUMPLIMIENTO DE META
≤ 1,8</t>
  </si>
  <si>
    <t>Lodos no Contaminados (gal)</t>
  </si>
  <si>
    <t xml:space="preserve">Vidrio Contaminado </t>
  </si>
  <si>
    <t>CUMPLIMIENTO DE META
≤ 2</t>
  </si>
  <si>
    <t>(No de inspecciones  realizadas/No de inspecciones  programados)*100</t>
  </si>
  <si>
    <t>mg/l</t>
  </si>
  <si>
    <t>Ordinario</t>
  </si>
  <si>
    <t>NA</t>
  </si>
  <si>
    <t>CONSUMO 2019</t>
  </si>
  <si>
    <t>m3 GN/Ton Mov
2019</t>
  </si>
  <si>
    <t>GN (m3)
2019</t>
  </si>
  <si>
    <t xml:space="preserve">feb </t>
  </si>
  <si>
    <t>Diferencia</t>
  </si>
  <si>
    <t xml:space="preserve">META </t>
  </si>
  <si>
    <t xml:space="preserve">Comparativo Meta </t>
  </si>
  <si>
    <t>Comparativo 2018</t>
  </si>
  <si>
    <t xml:space="preserve">Producción total de Residuos </t>
  </si>
  <si>
    <t xml:space="preserve">RESIDUOS PELIGROSOS </t>
  </si>
  <si>
    <t>Comparativo Meta</t>
  </si>
  <si>
    <t>AGUA</t>
  </si>
  <si>
    <t>≤ 500</t>
  </si>
  <si>
    <t xml:space="preserve">CUMPLIMIENTO DE METAS
≤ 500 </t>
  </si>
  <si>
    <t>No se realizó la medición</t>
  </si>
  <si>
    <t>Relación
Kg Residuos/Ton Mov
2020</t>
  </si>
  <si>
    <t>Volumen de Vertimiento (m3)
2019</t>
  </si>
  <si>
    <t>Volumen de Vertimiento (m3)
 2020</t>
  </si>
  <si>
    <t>m3 ARnD/Ton Mov
2020</t>
  </si>
  <si>
    <t xml:space="preserve">GENERACIÓN DE VERTIMIENTO 
TERLICA S.A.S </t>
  </si>
  <si>
    <t>CONSUMO 2020</t>
  </si>
  <si>
    <t>Ton MOV
20119</t>
  </si>
  <si>
    <t>Ton Mov
2020</t>
  </si>
  <si>
    <t>GN (m3)
2020</t>
  </si>
  <si>
    <t>m3 GN/Ton Mov
2020</t>
  </si>
  <si>
    <t>No aplica para el año 2020</t>
  </si>
  <si>
    <t xml:space="preserve">No se realizó la Jornada </t>
  </si>
  <si>
    <t xml:space="preserve">No se realizó la medición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</si>
</sst>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"/>
    <numFmt numFmtId="167" formatCode="0.000"/>
    <numFmt numFmtId="168" formatCode="0.0%"/>
    <numFmt numFmtId="169" formatCode="###.0&quot;%&quot;"/>
    <numFmt numFmtId="170" formatCode="0.0000"/>
    <numFmt numFmtId="171" formatCode="###.00&quot;%&quot;"/>
    <numFmt numFmtId="172" formatCode="0.000000"/>
    <numFmt numFmtId="173" formatCode="#,##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 Narrow"/>
      <family val="2"/>
    </font>
    <font>
      <sz val="9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9"/>
      <color rgb="FFC00000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b/>
      <sz val="18"/>
      <color theme="0"/>
      <name val="Arial Narrow"/>
      <family val="2"/>
    </font>
    <font>
      <b/>
      <sz val="22"/>
      <color theme="0"/>
      <name val="Arial Narrow"/>
      <family val="2"/>
    </font>
    <font>
      <b/>
      <sz val="28"/>
      <color theme="0"/>
      <name val="Arial Narrow"/>
      <family val="2"/>
    </font>
    <font>
      <b/>
      <sz val="36"/>
      <color theme="0"/>
      <name val="Arial Narrow"/>
      <family val="2"/>
    </font>
    <font>
      <b/>
      <sz val="14"/>
      <color theme="1"/>
      <name val="Arial Narrow"/>
      <family val="2"/>
    </font>
    <font>
      <b/>
      <sz val="11"/>
      <color theme="0"/>
      <name val="Calibri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1">
    <xf numFmtId="0" fontId="0" fillId="0" borderId="0" xfId="0"/>
    <xf numFmtId="9" fontId="5" fillId="0" borderId="2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" fontId="5" fillId="0" borderId="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1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" fontId="5" fillId="0" borderId="15" xfId="1" applyNumberFormat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9" fontId="14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8" fontId="14" fillId="0" borderId="2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/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6" fontId="14" fillId="0" borderId="4" xfId="1" applyNumberFormat="1" applyFont="1" applyBorder="1" applyAlignment="1">
      <alignment horizontal="center" vertical="center" wrapText="1"/>
    </xf>
    <xf numFmtId="3" fontId="14" fillId="0" borderId="4" xfId="1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3" fontId="0" fillId="0" borderId="0" xfId="0" applyNumberFormat="1"/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65" fontId="14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165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2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4" fontId="14" fillId="0" borderId="2" xfId="0" applyNumberFormat="1" applyFont="1" applyBorder="1" applyAlignment="1">
      <alignment horizontal="center" vertical="center" wrapText="1"/>
    </xf>
    <xf numFmtId="164" fontId="14" fillId="0" borderId="2" xfId="2" applyFont="1" applyBorder="1" applyAlignment="1">
      <alignment horizontal="center" vertical="center" wrapText="1"/>
    </xf>
    <xf numFmtId="9" fontId="5" fillId="0" borderId="2" xfId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9" fontId="14" fillId="0" borderId="11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0" borderId="39" xfId="0" applyFont="1" applyBorder="1"/>
    <xf numFmtId="0" fontId="13" fillId="0" borderId="43" xfId="0" applyFont="1" applyBorder="1"/>
    <xf numFmtId="0" fontId="13" fillId="0" borderId="38" xfId="0" applyFont="1" applyBorder="1"/>
    <xf numFmtId="0" fontId="13" fillId="0" borderId="0" xfId="0" applyFont="1"/>
    <xf numFmtId="0" fontId="16" fillId="0" borderId="0" xfId="0" applyFont="1"/>
    <xf numFmtId="0" fontId="23" fillId="0" borderId="0" xfId="0" applyFont="1"/>
    <xf numFmtId="0" fontId="16" fillId="0" borderId="2" xfId="0" applyFont="1" applyBorder="1"/>
    <xf numFmtId="0" fontId="16" fillId="0" borderId="29" xfId="0" applyFont="1" applyBorder="1"/>
    <xf numFmtId="0" fontId="16" fillId="0" borderId="29" xfId="0" applyFont="1" applyBorder="1" applyAlignment="1">
      <alignment wrapText="1"/>
    </xf>
    <xf numFmtId="0" fontId="16" fillId="0" borderId="35" xfId="0" applyFont="1" applyBorder="1"/>
    <xf numFmtId="0" fontId="16" fillId="0" borderId="1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/>
    </xf>
    <xf numFmtId="3" fontId="16" fillId="0" borderId="2" xfId="0" applyNumberFormat="1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3" fontId="13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169" fontId="13" fillId="0" borderId="8" xfId="0" applyNumberFormat="1" applyFont="1" applyBorder="1" applyAlignment="1">
      <alignment horizontal="center"/>
    </xf>
    <xf numFmtId="0" fontId="15" fillId="0" borderId="55" xfId="0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169" fontId="13" fillId="0" borderId="9" xfId="0" applyNumberFormat="1" applyFont="1" applyBorder="1" applyAlignment="1">
      <alignment horizontal="center"/>
    </xf>
    <xf numFmtId="0" fontId="13" fillId="5" borderId="2" xfId="0" applyFont="1" applyFill="1" applyBorder="1" applyAlignment="1">
      <alignment horizontal="center" vertical="center" wrapText="1"/>
    </xf>
    <xf numFmtId="9" fontId="11" fillId="0" borderId="2" xfId="0" applyNumberFormat="1" applyFont="1" applyBorder="1" applyAlignment="1">
      <alignment horizontal="center"/>
    </xf>
    <xf numFmtId="0" fontId="13" fillId="8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1" fontId="13" fillId="0" borderId="5" xfId="0" applyNumberFormat="1" applyFont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0" fontId="13" fillId="0" borderId="5" xfId="0" applyFont="1" applyBorder="1"/>
    <xf numFmtId="0" fontId="16" fillId="0" borderId="10" xfId="0" applyFont="1" applyBorder="1"/>
    <xf numFmtId="0" fontId="16" fillId="0" borderId="8" xfId="0" applyFont="1" applyBorder="1"/>
    <xf numFmtId="0" fontId="16" fillId="0" borderId="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10" borderId="1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wrapText="1"/>
    </xf>
    <xf numFmtId="0" fontId="17" fillId="10" borderId="8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top" wrapText="1"/>
    </xf>
    <xf numFmtId="0" fontId="22" fillId="10" borderId="5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/>
    </xf>
    <xf numFmtId="0" fontId="17" fillId="10" borderId="2" xfId="0" applyFont="1" applyFill="1" applyBorder="1"/>
    <xf numFmtId="0" fontId="17" fillId="10" borderId="5" xfId="0" applyFont="1" applyFill="1" applyBorder="1" applyAlignment="1">
      <alignment horizontal="center" vertical="center" wrapText="1"/>
    </xf>
    <xf numFmtId="0" fontId="16" fillId="3" borderId="2" xfId="0" applyFont="1" applyFill="1" applyBorder="1"/>
    <xf numFmtId="0" fontId="16" fillId="3" borderId="8" xfId="0" applyFont="1" applyFill="1" applyBorder="1"/>
    <xf numFmtId="0" fontId="17" fillId="10" borderId="11" xfId="0" applyFont="1" applyFill="1" applyBorder="1" applyAlignment="1">
      <alignment vertical="center"/>
    </xf>
    <xf numFmtId="0" fontId="17" fillId="10" borderId="29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 wrapText="1"/>
    </xf>
    <xf numFmtId="1" fontId="5" fillId="0" borderId="60" xfId="1" applyNumberFormat="1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4" xfId="1" applyFont="1" applyBorder="1" applyAlignment="1">
      <alignment horizontal="center" vertical="center" wrapText="1"/>
    </xf>
    <xf numFmtId="9" fontId="14" fillId="0" borderId="22" xfId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9" fontId="5" fillId="4" borderId="31" xfId="1" applyFont="1" applyFill="1" applyBorder="1" applyAlignment="1">
      <alignment horizontal="center" vertical="center" wrapText="1"/>
    </xf>
    <xf numFmtId="0" fontId="31" fillId="3" borderId="62" xfId="0" applyFont="1" applyFill="1" applyBorder="1" applyAlignment="1">
      <alignment horizontal="center" vertical="center" wrapText="1"/>
    </xf>
    <xf numFmtId="0" fontId="31" fillId="3" borderId="63" xfId="0" applyFont="1" applyFill="1" applyBorder="1" applyAlignment="1">
      <alignment horizontal="center" vertical="center" wrapText="1"/>
    </xf>
    <xf numFmtId="0" fontId="31" fillId="3" borderId="22" xfId="0" applyFont="1" applyFill="1" applyBorder="1" applyAlignment="1">
      <alignment horizontal="center" vertical="center" wrapText="1"/>
    </xf>
    <xf numFmtId="0" fontId="32" fillId="3" borderId="2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9" fontId="14" fillId="3" borderId="22" xfId="1" applyFont="1" applyFill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4" fillId="11" borderId="2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170" fontId="13" fillId="0" borderId="2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 wrapText="1"/>
    </xf>
    <xf numFmtId="42" fontId="16" fillId="0" borderId="2" xfId="4" applyFont="1" applyBorder="1"/>
    <xf numFmtId="2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" fontId="34" fillId="11" borderId="2" xfId="0" applyNumberFormat="1" applyFont="1" applyFill="1" applyBorder="1" applyAlignment="1">
      <alignment horizontal="center"/>
    </xf>
    <xf numFmtId="3" fontId="34" fillId="11" borderId="2" xfId="0" applyNumberFormat="1" applyFont="1" applyFill="1" applyBorder="1" applyAlignment="1">
      <alignment horizontal="center"/>
    </xf>
    <xf numFmtId="2" fontId="11" fillId="0" borderId="2" xfId="5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/>
    </xf>
    <xf numFmtId="9" fontId="11" fillId="0" borderId="4" xfId="1" applyFont="1" applyBorder="1" applyAlignment="1">
      <alignment horizontal="center" vertical="center"/>
    </xf>
    <xf numFmtId="9" fontId="11" fillId="0" borderId="73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 wrapText="1"/>
    </xf>
    <xf numFmtId="0" fontId="37" fillId="10" borderId="6" xfId="0" applyFont="1" applyFill="1" applyBorder="1" applyAlignment="1">
      <alignment horizontal="center" vertical="center" wrapText="1"/>
    </xf>
    <xf numFmtId="0" fontId="37" fillId="10" borderId="7" xfId="0" applyFont="1" applyFill="1" applyBorder="1" applyAlignment="1">
      <alignment horizontal="center" vertical="center" wrapText="1"/>
    </xf>
    <xf numFmtId="0" fontId="38" fillId="10" borderId="54" xfId="0" applyFont="1" applyFill="1" applyBorder="1" applyAlignment="1">
      <alignment horizontal="center" vertical="center" wrapText="1"/>
    </xf>
    <xf numFmtId="0" fontId="38" fillId="10" borderId="6" xfId="0" applyFont="1" applyFill="1" applyBorder="1" applyAlignment="1">
      <alignment horizontal="center" vertical="center" wrapText="1"/>
    </xf>
    <xf numFmtId="0" fontId="39" fillId="0" borderId="0" xfId="0" applyFont="1"/>
    <xf numFmtId="0" fontId="11" fillId="0" borderId="0" xfId="0" applyFont="1" applyAlignment="1">
      <alignment horizontal="center" vertical="center"/>
    </xf>
    <xf numFmtId="0" fontId="37" fillId="10" borderId="66" xfId="0" applyFont="1" applyFill="1" applyBorder="1" applyAlignment="1">
      <alignment horizontal="center" vertical="center" wrapText="1"/>
    </xf>
    <xf numFmtId="0" fontId="37" fillId="10" borderId="76" xfId="0" applyFont="1" applyFill="1" applyBorder="1" applyAlignment="1">
      <alignment horizontal="center" vertical="center" wrapText="1"/>
    </xf>
    <xf numFmtId="0" fontId="36" fillId="10" borderId="76" xfId="0" applyFont="1" applyFill="1" applyBorder="1" applyAlignment="1">
      <alignment horizontal="center" vertical="center" wrapText="1"/>
    </xf>
    <xf numFmtId="0" fontId="36" fillId="10" borderId="77" xfId="0" applyFont="1" applyFill="1" applyBorder="1" applyAlignment="1">
      <alignment horizontal="center" vertical="center" wrapText="1"/>
    </xf>
    <xf numFmtId="1" fontId="11" fillId="0" borderId="2" xfId="1" applyNumberFormat="1" applyFont="1" applyBorder="1" applyAlignment="1">
      <alignment horizontal="center" vertical="center"/>
    </xf>
    <xf numFmtId="0" fontId="4" fillId="3" borderId="78" xfId="0" applyFont="1" applyFill="1" applyBorder="1" applyAlignment="1">
      <alignment horizontal="center" vertical="center" wrapText="1"/>
    </xf>
    <xf numFmtId="0" fontId="8" fillId="3" borderId="79" xfId="0" applyFont="1" applyFill="1" applyBorder="1" applyAlignment="1">
      <alignment horizontal="center" vertical="center" wrapText="1"/>
    </xf>
    <xf numFmtId="0" fontId="4" fillId="3" borderId="80" xfId="0" applyFont="1" applyFill="1" applyBorder="1" applyAlignment="1">
      <alignment horizontal="center" vertical="center" wrapText="1"/>
    </xf>
    <xf numFmtId="0" fontId="5" fillId="3" borderId="80" xfId="0" applyFont="1" applyFill="1" applyBorder="1" applyAlignment="1">
      <alignment horizontal="center" vertical="center" wrapText="1"/>
    </xf>
    <xf numFmtId="9" fontId="5" fillId="3" borderId="80" xfId="1" applyFont="1" applyFill="1" applyBorder="1" applyAlignment="1">
      <alignment horizontal="center" vertical="center" wrapText="1"/>
    </xf>
    <xf numFmtId="9" fontId="14" fillId="3" borderId="80" xfId="1" applyFont="1" applyFill="1" applyBorder="1" applyAlignment="1">
      <alignment horizontal="center" vertical="center" wrapText="1"/>
    </xf>
    <xf numFmtId="9" fontId="14" fillId="3" borderId="81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1" fontId="13" fillId="0" borderId="82" xfId="0" applyNumberFormat="1" applyFont="1" applyBorder="1" applyAlignment="1">
      <alignment horizontal="center"/>
    </xf>
    <xf numFmtId="170" fontId="16" fillId="0" borderId="2" xfId="0" applyNumberFormat="1" applyFont="1" applyBorder="1"/>
    <xf numFmtId="167" fontId="16" fillId="0" borderId="2" xfId="0" applyNumberFormat="1" applyFont="1" applyBorder="1"/>
    <xf numFmtId="2" fontId="16" fillId="0" borderId="2" xfId="0" applyNumberFormat="1" applyFont="1" applyBorder="1"/>
    <xf numFmtId="0" fontId="41" fillId="0" borderId="0" xfId="0" applyFont="1"/>
    <xf numFmtId="0" fontId="40" fillId="0" borderId="0" xfId="0" applyFont="1"/>
    <xf numFmtId="0" fontId="41" fillId="0" borderId="0" xfId="0" applyFont="1" applyAlignment="1">
      <alignment horizontal="center" vertical="center"/>
    </xf>
    <xf numFmtId="167" fontId="14" fillId="0" borderId="4" xfId="0" applyNumberFormat="1" applyFont="1" applyBorder="1" applyAlignment="1">
      <alignment horizontal="center" vertical="center" wrapText="1"/>
    </xf>
    <xf numFmtId="170" fontId="13" fillId="0" borderId="5" xfId="0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 vertical="center" wrapText="1"/>
    </xf>
    <xf numFmtId="164" fontId="14" fillId="0" borderId="11" xfId="0" applyNumberFormat="1" applyFont="1" applyBorder="1" applyAlignment="1">
      <alignment vertical="center" wrapText="1"/>
    </xf>
    <xf numFmtId="42" fontId="16" fillId="0" borderId="8" xfId="4" applyFont="1" applyBorder="1"/>
    <xf numFmtId="167" fontId="16" fillId="0" borderId="8" xfId="0" applyNumberFormat="1" applyFont="1" applyBorder="1"/>
    <xf numFmtId="42" fontId="16" fillId="0" borderId="8" xfId="0" applyNumberFormat="1" applyFont="1" applyBorder="1"/>
    <xf numFmtId="1" fontId="16" fillId="0" borderId="2" xfId="0" applyNumberFormat="1" applyFont="1" applyBorder="1"/>
    <xf numFmtId="42" fontId="16" fillId="0" borderId="2" xfId="4" applyFont="1" applyBorder="1" applyAlignment="1">
      <alignment horizontal="center"/>
    </xf>
    <xf numFmtId="2" fontId="11" fillId="0" borderId="8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" fontId="11" fillId="0" borderId="8" xfId="1" applyNumberFormat="1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9" fontId="13" fillId="0" borderId="10" xfId="0" applyNumberFormat="1" applyFont="1" applyBorder="1" applyAlignment="1">
      <alignment horizontal="center"/>
    </xf>
    <xf numFmtId="0" fontId="17" fillId="10" borderId="9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169" fontId="13" fillId="0" borderId="2" xfId="0" applyNumberFormat="1" applyFont="1" applyBorder="1" applyAlignment="1">
      <alignment horizontal="center"/>
    </xf>
    <xf numFmtId="171" fontId="1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/>
    <xf numFmtId="169" fontId="13" fillId="0" borderId="0" xfId="0" applyNumberFormat="1" applyFont="1" applyAlignment="1">
      <alignment horizontal="center"/>
    </xf>
    <xf numFmtId="0" fontId="34" fillId="0" borderId="0" xfId="0" applyFont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0" fontId="16" fillId="0" borderId="2" xfId="0" applyNumberFormat="1" applyFont="1" applyBorder="1" applyAlignment="1">
      <alignment horizontal="center" wrapText="1"/>
    </xf>
    <xf numFmtId="170" fontId="0" fillId="0" borderId="2" xfId="0" applyNumberFormat="1" applyBorder="1"/>
    <xf numFmtId="172" fontId="0" fillId="0" borderId="2" xfId="0" applyNumberFormat="1" applyBorder="1"/>
    <xf numFmtId="173" fontId="13" fillId="0" borderId="2" xfId="0" applyNumberFormat="1" applyFont="1" applyBorder="1" applyAlignment="1">
      <alignment horizontal="center"/>
    </xf>
    <xf numFmtId="167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6" fillId="0" borderId="2" xfId="0" applyNumberFormat="1" applyFont="1" applyBorder="1" applyAlignment="1">
      <alignment horizontal="right" wrapText="1"/>
    </xf>
    <xf numFmtId="0" fontId="13" fillId="0" borderId="2" xfId="0" applyFont="1" applyBorder="1" applyAlignment="1">
      <alignment horizontal="right"/>
    </xf>
    <xf numFmtId="0" fontId="13" fillId="0" borderId="0" xfId="0" applyFont="1" applyAlignment="1">
      <alignment horizontal="right"/>
    </xf>
    <xf numFmtId="1" fontId="16" fillId="0" borderId="2" xfId="0" applyNumberFormat="1" applyFont="1" applyBorder="1" applyAlignment="1">
      <alignment horizontal="center" wrapText="1"/>
    </xf>
    <xf numFmtId="0" fontId="16" fillId="0" borderId="1" xfId="0" quotePrefix="1" applyFont="1" applyBorder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2" fillId="10" borderId="10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15" fillId="0" borderId="67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2" fillId="10" borderId="43" xfId="0" applyFont="1" applyFill="1" applyBorder="1" applyAlignment="1">
      <alignment horizontal="center" vertical="center" textRotation="90" wrapText="1"/>
    </xf>
    <xf numFmtId="0" fontId="22" fillId="10" borderId="32" xfId="0" applyFont="1" applyFill="1" applyBorder="1" applyAlignment="1">
      <alignment horizontal="center" vertical="center" textRotation="90" wrapText="1"/>
    </xf>
    <xf numFmtId="0" fontId="22" fillId="10" borderId="23" xfId="0" applyFont="1" applyFill="1" applyBorder="1" applyAlignment="1">
      <alignment horizontal="center" vertical="center" textRotation="90" wrapText="1"/>
    </xf>
    <xf numFmtId="0" fontId="22" fillId="10" borderId="45" xfId="0" applyFont="1" applyFill="1" applyBorder="1" applyAlignment="1">
      <alignment vertical="center" textRotation="90" wrapText="1"/>
    </xf>
    <xf numFmtId="0" fontId="22" fillId="10" borderId="46" xfId="0" applyFont="1" applyFill="1" applyBorder="1" applyAlignment="1">
      <alignment vertical="center" textRotation="90" wrapText="1"/>
    </xf>
    <xf numFmtId="0" fontId="22" fillId="10" borderId="56" xfId="0" applyFont="1" applyFill="1" applyBorder="1" applyAlignment="1">
      <alignment horizontal="center" vertical="center" textRotation="90" wrapText="1"/>
    </xf>
    <xf numFmtId="0" fontId="22" fillId="10" borderId="57" xfId="0" applyFont="1" applyFill="1" applyBorder="1" applyAlignment="1">
      <alignment horizontal="center" vertical="center" textRotation="90" wrapText="1"/>
    </xf>
    <xf numFmtId="0" fontId="22" fillId="10" borderId="58" xfId="0" applyFont="1" applyFill="1" applyBorder="1" applyAlignment="1">
      <alignment horizontal="center" vertical="center" textRotation="90" wrapText="1"/>
    </xf>
    <xf numFmtId="0" fontId="22" fillId="10" borderId="6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55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/>
    </xf>
    <xf numFmtId="0" fontId="25" fillId="10" borderId="59" xfId="0" applyFont="1" applyFill="1" applyBorder="1" applyAlignment="1">
      <alignment horizontal="center" vertical="center" textRotation="90" wrapText="1"/>
    </xf>
    <xf numFmtId="0" fontId="25" fillId="10" borderId="57" xfId="0" applyFont="1" applyFill="1" applyBorder="1" applyAlignment="1">
      <alignment horizontal="center" vertical="center" textRotation="90" wrapText="1"/>
    </xf>
    <xf numFmtId="0" fontId="25" fillId="10" borderId="58" xfId="0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4" xfId="0" applyBorder="1" applyAlignment="1">
      <alignment horizontal="center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25" fillId="10" borderId="47" xfId="0" applyFont="1" applyFill="1" applyBorder="1" applyAlignment="1">
      <alignment horizontal="center" vertical="center" wrapText="1"/>
    </xf>
    <xf numFmtId="0" fontId="25" fillId="10" borderId="47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0" fontId="34" fillId="0" borderId="84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28" fillId="6" borderId="12" xfId="0" applyFont="1" applyFill="1" applyBorder="1" applyAlignment="1">
      <alignment horizontal="center" vertical="center" wrapText="1"/>
    </xf>
    <xf numFmtId="0" fontId="28" fillId="6" borderId="13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2" fillId="10" borderId="20" xfId="0" applyFont="1" applyFill="1" applyBorder="1" applyAlignment="1">
      <alignment horizontal="center" vertical="center"/>
    </xf>
    <xf numFmtId="0" fontId="22" fillId="10" borderId="61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wrapText="1"/>
    </xf>
    <xf numFmtId="0" fontId="17" fillId="10" borderId="35" xfId="0" applyFont="1" applyFill="1" applyBorder="1" applyAlignment="1">
      <alignment horizontal="center" wrapText="1"/>
    </xf>
    <xf numFmtId="0" fontId="17" fillId="10" borderId="25" xfId="0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6" fillId="10" borderId="12" xfId="0" applyFont="1" applyFill="1" applyBorder="1" applyAlignment="1">
      <alignment horizontal="center" vertical="center" wrapText="1"/>
    </xf>
    <xf numFmtId="0" fontId="26" fillId="10" borderId="13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17" fillId="10" borderId="61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61" xfId="0" applyFont="1" applyBorder="1" applyAlignment="1">
      <alignment horizontal="center"/>
    </xf>
    <xf numFmtId="0" fontId="29" fillId="0" borderId="71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7" fillId="10" borderId="11" xfId="0" applyFont="1" applyFill="1" applyBorder="1" applyAlignment="1">
      <alignment horizontal="center"/>
    </xf>
    <xf numFmtId="0" fontId="17" fillId="10" borderId="29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27" fillId="10" borderId="12" xfId="0" applyFont="1" applyFill="1" applyBorder="1" applyAlignment="1">
      <alignment horizontal="center" vertical="center"/>
    </xf>
    <xf numFmtId="0" fontId="27" fillId="10" borderId="13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17" fillId="10" borderId="54" xfId="0" applyFont="1" applyFill="1" applyBorder="1" applyAlignment="1">
      <alignment horizontal="center" vertical="center"/>
    </xf>
    <xf numFmtId="0" fontId="17" fillId="10" borderId="55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7" fillId="10" borderId="67" xfId="0" applyFont="1" applyFill="1" applyBorder="1" applyAlignment="1">
      <alignment horizontal="center" vertical="center"/>
    </xf>
    <xf numFmtId="0" fontId="17" fillId="10" borderId="68" xfId="0" applyFont="1" applyFill="1" applyBorder="1" applyAlignment="1">
      <alignment horizontal="center" vertical="center"/>
    </xf>
    <xf numFmtId="0" fontId="17" fillId="10" borderId="83" xfId="0" applyFont="1" applyFill="1" applyBorder="1" applyAlignment="1">
      <alignment horizontal="center" vertical="center"/>
    </xf>
    <xf numFmtId="0" fontId="17" fillId="10" borderId="76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/>
    </xf>
    <xf numFmtId="0" fontId="17" fillId="10" borderId="29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1" fillId="3" borderId="64" xfId="0" applyFont="1" applyFill="1" applyBorder="1" applyAlignment="1">
      <alignment horizontal="center" vertical="center" wrapText="1"/>
    </xf>
    <xf numFmtId="0" fontId="31" fillId="3" borderId="65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0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166" fontId="14" fillId="0" borderId="11" xfId="1" applyNumberFormat="1" applyFont="1" applyBorder="1" applyAlignment="1">
      <alignment horizontal="center" vertical="center" wrapText="1"/>
    </xf>
    <xf numFmtId="166" fontId="14" fillId="0" borderId="29" xfId="1" applyNumberFormat="1" applyFont="1" applyBorder="1" applyAlignment="1">
      <alignment horizontal="center" vertical="center" wrapText="1"/>
    </xf>
    <xf numFmtId="166" fontId="14" fillId="0" borderId="16" xfId="1" applyNumberFormat="1" applyFont="1" applyBorder="1" applyAlignment="1">
      <alignment horizontal="center" vertical="center" wrapText="1"/>
    </xf>
    <xf numFmtId="166" fontId="5" fillId="0" borderId="11" xfId="1" applyNumberFormat="1" applyFont="1" applyBorder="1" applyAlignment="1">
      <alignment horizontal="center" vertical="center" wrapText="1"/>
    </xf>
    <xf numFmtId="166" fontId="5" fillId="0" borderId="29" xfId="1" applyNumberFormat="1" applyFont="1" applyBorder="1" applyAlignment="1">
      <alignment horizontal="center" vertical="center" wrapText="1"/>
    </xf>
    <xf numFmtId="166" fontId="5" fillId="0" borderId="30" xfId="1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66" fontId="14" fillId="0" borderId="4" xfId="1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29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166" fontId="14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" fontId="11" fillId="0" borderId="60" xfId="1" applyNumberFormat="1" applyFont="1" applyBorder="1" applyAlignment="1">
      <alignment horizontal="center" vertical="center"/>
    </xf>
    <xf numFmtId="1" fontId="11" fillId="0" borderId="74" xfId="1" applyNumberFormat="1" applyFont="1" applyBorder="1" applyAlignment="1">
      <alignment horizontal="center" vertical="center"/>
    </xf>
    <xf numFmtId="1" fontId="11" fillId="0" borderId="75" xfId="1" applyNumberFormat="1" applyFont="1" applyBorder="1" applyAlignment="1">
      <alignment horizontal="center" vertical="center"/>
    </xf>
    <xf numFmtId="1" fontId="11" fillId="0" borderId="44" xfId="1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vertical="center" wrapText="1"/>
    </xf>
  </cellXfs>
  <cellStyles count="6">
    <cellStyle name="Millares" xfId="2" builtinId="3"/>
    <cellStyle name="Millares 2" xfId="3"/>
    <cellStyle name="Moneda" xfId="5" builtinId="4"/>
    <cellStyle name="Moneda [0]" xfId="4" builtinId="7"/>
    <cellStyle name="Normal" xfId="0" builtinId="0"/>
    <cellStyle name="Porcentaje" xfId="1" builtinId="5"/>
  </cellStyles>
  <dxfs count="264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A1A1A1"/>
      <color rgb="FFFFFF7D"/>
      <color rgb="FFFFFF99"/>
      <color rgb="FF99CCFF"/>
      <color rgb="FFFF71A0"/>
      <color rgb="FFFF5D93"/>
      <color rgb="FFFFFF66"/>
      <color rgb="FFFFE389"/>
      <color rgb="FFFF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ENERO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'!$C$5:$C$26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98E-8699-F31A372F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ABRIL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'!$F$5:$F$26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1-489F-A456-44C3AB5E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ABRIL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'!$F$27:$F$31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9-4A62-9050-650D6F09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ABRIL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'!$F$32:$F$36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E-4D04-828B-5858D423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MAYO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'!$G$5:$G$26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B-49D4-882F-42366BCA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MAYO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'!$G$27:$G$31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A79-8E0A-90757985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MAYO  2020  </a:t>
            </a:r>
          </a:p>
        </c:rich>
      </c:tx>
      <c:layout>
        <c:manualLayout>
          <c:xMode val="edge"/>
          <c:yMode val="edge"/>
          <c:x val="0.18260371959942776"/>
          <c:y val="3.1963458827361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'!$G$32:$G$36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F-4920-B62F-E19EBC50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JUNIO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'!$H$5:$H$26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2ED-BDF6-0B558E6C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JUNIO 2020  </a:t>
            </a:r>
          </a:p>
        </c:rich>
      </c:tx>
      <c:layout>
        <c:manualLayout>
          <c:xMode val="edge"/>
          <c:yMode val="edge"/>
          <c:x val="0.21344057314724074"/>
          <c:y val="2.73972504234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'!$H$27:$H$31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B0D-BDE3-D6A6F317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JUNIO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'!$H$32:$H$36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6-4988-8401-B9BA8BB6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JULIO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'!$I$5:$I$26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708-86A5-8894ADFD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ENERO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F-4259-BCCE-AC3EDBE5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JULIO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'!$I$27:$I$31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0-45EC-B20B-0A04ECAC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JULIO 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'!$I$32:$I$36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F12-AA4B-30F80510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AGOSTO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'!$J$5:$J$26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8-473C-93EB-13CE90F3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AGOSTO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'!$J$27:$J$31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9-4E2B-9415-8182EE11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AGOSTO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'!$J$32:$J$36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ACC-833D-46989854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SEPTIEMBRE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'!$K$5:$K$26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153-863C-BE9CF1A7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SEPTIEMBRE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BB2-9286-98FE0433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SEPTIEMBRE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'!$K$32:$K$36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6-43E6-BFB1-F3B7D5CB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OCTUBRE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'!$L$5:$L$26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4323-AE2F-9D181223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OCTUBRE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'!$L$27:$L$31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43EF-9351-9C84D733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ENERO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'!$C$32:$C$36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D-4EAC-890B-D32CE4D1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OCTUBRE 2020  </a:t>
            </a:r>
          </a:p>
        </c:rich>
      </c:tx>
      <c:layout>
        <c:manualLayout>
          <c:xMode val="edge"/>
          <c:yMode val="edge"/>
          <c:x val="0.18260371959942776"/>
          <c:y val="2.73972504234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  <a:sp3d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9A9-495A-BE09-51C07744D57C}"/>
              </c:ext>
            </c:extLst>
          </c:dPt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'!$L$32:$L$36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4897-9D02-9D09029B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NOVIEMBRE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'!$M$5:$M$26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2048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B-4411-AAB1-4E38AF34A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NOVIEMBRE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'!$M$27:$M$31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2-4BF1-BE8A-C3DF1BB4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NOVIEMBRE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'!$M$32:$M$36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1-42C9-856D-9F09D66A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DICIEMBRE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'!$N$5:$N$26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3210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BF7-A95C-622D9C86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DICIEMBRE 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'!$N$27:$N$31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8CF-87F5-125FCBA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DICIEMBRE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'!$N$32:$N$36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A-4291-8F06-525BD0BF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Año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'!$O$5:$O$26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602B-40D9-96FC-398D59AE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GENERADOS</a:t>
            </a:r>
          </a:p>
          <a:p>
            <a:pPr>
              <a:defRPr/>
            </a:pPr>
            <a:r>
              <a:rPr lang="en-US"/>
              <a:t>Año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'!$O$27:$O$31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39-462E-A3E4-17E738B2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GENERADOS</a:t>
            </a:r>
          </a:p>
          <a:p>
            <a:pPr>
              <a:defRPr/>
            </a:pPr>
            <a:r>
              <a:rPr lang="en-US"/>
              <a:t>Año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'!$O$32:$O$36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2B7-40DC-9342-FF159B0A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FEBRERO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'!$D$5:$D$26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0-4F8E-95B4-345DBC3A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Año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Residuos Peligrosos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'RESPEL '!$C$4:$N$4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'RESPEL '!$C$37:$N$37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B-4A64-9702-FC5457A9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5142480"/>
        <c:axId val="465141496"/>
      </c:barChart>
      <c:lineChart>
        <c:grouping val="standard"/>
        <c:varyColors val="0"/>
        <c:ser>
          <c:idx val="1"/>
          <c:order val="1"/>
          <c:tx>
            <c:v>Límite Máximo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G_RESPEL_2!$B$33:$B$44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4868-BF46-C7C5B786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42480"/>
        <c:axId val="465141496"/>
      </c:line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INDICE DE GENERACIÓN EN FUNCIÓN DE LA PRODUCTIVIDAD (Kg/Ton Mov)</a:t>
            </a:r>
          </a:p>
          <a:p>
            <a:pPr>
              <a:defRPr/>
            </a:pPr>
            <a:r>
              <a:rPr lang="en-US"/>
              <a:t>Año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'!$B$39</c:f>
              <c:strCache>
                <c:ptCount val="1"/>
                <c:pt idx="0">
                  <c:v>RELACIÓN Kg/Ton Mov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'!$C$4:$N$4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'RESPEL '!$C$39:$N$39</c:f>
              <c:numCache>
                <c:formatCode>0.00</c:formatCode>
                <c:ptCount val="12"/>
                <c:pt idx="0" formatCode="0.00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0.000">
                  <c:v>9.521523443751E-3</c:v>
                </c:pt>
                <c:pt idx="4" formatCode="General">
                  <c:v>0</c:v>
                </c:pt>
                <c:pt idx="5" formatCode="0.000">
                  <c:v>0</c:v>
                </c:pt>
                <c:pt idx="6" formatCode="General">
                  <c:v>0</c:v>
                </c:pt>
                <c:pt idx="7" formatCode="0.0000">
                  <c:v>1.4644985355014644E-3</c:v>
                </c:pt>
                <c:pt idx="8" formatCode="General">
                  <c:v>0</c:v>
                </c:pt>
                <c:pt idx="9" formatCode="0.000">
                  <c:v>0</c:v>
                </c:pt>
                <c:pt idx="10" formatCode="0.000">
                  <c:v>8.2528180354267313E-3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A4-403E-996D-8C595076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INDICE EN FUNCIÓN DE COSTO Vs PRODUCTIVIDAD ($/Ton Mov)</a:t>
            </a:r>
          </a:p>
          <a:p>
            <a:pPr>
              <a:defRPr/>
            </a:pPr>
            <a:r>
              <a:rPr lang="en-US"/>
              <a:t>Año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'!$B$42</c:f>
              <c:strCache>
                <c:ptCount val="1"/>
                <c:pt idx="0">
                  <c:v>RELACIÓN  ($/Ton Mov)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'!$C$4:$N$4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'RESPEL '!$C$42:$N$42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19.417731524173362</c:v>
                </c:pt>
                <c:pt idx="2" formatCode="General">
                  <c:v>0</c:v>
                </c:pt>
                <c:pt idx="3">
                  <c:v>3.9606337013922226</c:v>
                </c:pt>
                <c:pt idx="4" formatCode="General">
                  <c:v>0</c:v>
                </c:pt>
                <c:pt idx="5">
                  <c:v>48.805620608899297</c:v>
                </c:pt>
                <c:pt idx="6" formatCode="General">
                  <c:v>0</c:v>
                </c:pt>
                <c:pt idx="7">
                  <c:v>48.232451267548733</c:v>
                </c:pt>
                <c:pt idx="8" formatCode="General">
                  <c:v>0</c:v>
                </c:pt>
                <c:pt idx="9">
                  <c:v>10.133252267315195</c:v>
                </c:pt>
                <c:pt idx="10">
                  <c:v>363.34943639291464</c:v>
                </c:pt>
                <c:pt idx="11" formatCode="General">
                  <c:v>46.323721096330686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5-4C04-8F28-06F6F5B7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ENERO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RESIDUOS!$B$3:$D$3</c:f>
              <c:strCache>
                <c:ptCount val="3"/>
                <c:pt idx="0">
                  <c:v>OFICINAS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69C-4C45-8B41-71B235A4B25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69C-4C45-8B41-71B235A4B25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69C-4C45-8B41-71B235A4B250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RESIDUOS!$B$5:$D$5</c:f>
              <c:numCache>
                <c:formatCode>General</c:formatCode>
                <c:ptCount val="3"/>
                <c:pt idx="0" formatCode="0.00">
                  <c:v>4.7</c:v>
                </c:pt>
                <c:pt idx="1">
                  <c:v>1.35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C-4C45-8B41-71B235A4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FEBRERO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860-481A-AD09-FA2501A330B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A860-481A-AD09-FA2501A330B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A860-481A-AD09-FA2501A330B9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RESIDUOS!$B$6:$D$6</c:f>
              <c:numCache>
                <c:formatCode>0.00</c:formatCode>
                <c:ptCount val="3"/>
                <c:pt idx="0">
                  <c:v>4.5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C-49C4-8F9B-C0EAC61D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MARZO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RESIDUOS!$A$7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7BDB-4291-ABC9-34CA1623B43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DB-4291-ABC9-34CA1623B437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DB-4291-ABC9-34CA1623B437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RESIDUOS!$B$7:$D$7</c:f>
              <c:numCache>
                <c:formatCode>General</c:formatCode>
                <c:ptCount val="3"/>
                <c:pt idx="0" formatCode="0.00">
                  <c:v>7.35</c:v>
                </c:pt>
                <c:pt idx="1">
                  <c:v>2</c:v>
                </c:pt>
                <c:pt idx="2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4-4EEE-A453-4D48C693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ENERO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RESIDUOS!$E$3:$I$3</c:f>
              <c:strCache>
                <c:ptCount val="5"/>
                <c:pt idx="0">
                  <c:v>PLANTA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6CD-4418-9B62-4B0F3662A85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6CD-4418-9B62-4B0F3662A85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6CD-4418-9B62-4B0F3662A85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6CD-4418-9B62-4B0F3662A855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6CD-4418-9B62-4B0F3662A855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RESIDUOS!$E$5:$I$5</c:f>
              <c:numCache>
                <c:formatCode>General</c:formatCode>
                <c:ptCount val="5"/>
                <c:pt idx="0">
                  <c:v>105.3</c:v>
                </c:pt>
                <c:pt idx="1">
                  <c:v>24.8</c:v>
                </c:pt>
                <c:pt idx="2" formatCode="0.00">
                  <c:v>25.2</c:v>
                </c:pt>
                <c:pt idx="3">
                  <c:v>4.5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418-9B62-4B0F3662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RELACIÓN DE RESIDUOS  
(Kg/Ton Mov)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RESIDUOS!$P$3</c:f>
              <c:strCache>
                <c:ptCount val="1"/>
                <c:pt idx="0">
                  <c:v>Relación
Kg Residuos/Ton Mov
2020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RESIDUOS!$A$5:$A$16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RESIDUOS!$P$5:$P$16</c:f>
              <c:numCache>
                <c:formatCode>0.00</c:formatCode>
                <c:ptCount val="12"/>
                <c:pt idx="0">
                  <c:v>4.2967161447742984E-3</c:v>
                </c:pt>
                <c:pt idx="1">
                  <c:v>9.0666578843367155E-3</c:v>
                </c:pt>
                <c:pt idx="2">
                  <c:v>1.3542836871045941E-2</c:v>
                </c:pt>
                <c:pt idx="3" formatCode="#,##0.000">
                  <c:v>4.9697951672267558E-3</c:v>
                </c:pt>
                <c:pt idx="4" formatCode="0.000">
                  <c:v>1.132293702389024E-2</c:v>
                </c:pt>
                <c:pt idx="5">
                  <c:v>9.3221441582097327E-3</c:v>
                </c:pt>
                <c:pt idx="6">
                  <c:v>5.8857808857808846E-3</c:v>
                </c:pt>
                <c:pt idx="7">
                  <c:v>1.421068578931421E-2</c:v>
                </c:pt>
                <c:pt idx="8">
                  <c:v>1.255484442297629E-2</c:v>
                </c:pt>
                <c:pt idx="9">
                  <c:v>1.1891371535694381E-2</c:v>
                </c:pt>
                <c:pt idx="10" formatCode="0.000">
                  <c:v>3.7238325281803542E-2</c:v>
                </c:pt>
                <c:pt idx="11" formatCode="0.000">
                  <c:v>1.7418087670743685E-2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9-436F-A00F-D9DFE202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008016"/>
        <c:axId val="679007688"/>
        <c:axId val="0"/>
      </c:bar3DChart>
      <c:catAx>
        <c:axId val="6790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79007688"/>
        <c:crosses val="autoZero"/>
        <c:auto val="1"/>
        <c:lblAlgn val="ctr"/>
        <c:lblOffset val="100"/>
        <c:noMultiLvlLbl val="0"/>
      </c:catAx>
      <c:valAx>
        <c:axId val="679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790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FEBRERO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24D-450D-8500-3BF4399FA18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24D-450D-8500-3BF4399FA1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24D-450D-8500-3BF4399FA18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24D-450D-8500-3BF4399FA18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24D-450D-8500-3BF4399FA181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RESIDUOS!$E$6:$I$6</c:f>
              <c:numCache>
                <c:formatCode>0.00</c:formatCode>
                <c:ptCount val="5"/>
                <c:pt idx="0">
                  <c:v>176.5</c:v>
                </c:pt>
                <c:pt idx="1">
                  <c:v>62.5</c:v>
                </c:pt>
                <c:pt idx="2">
                  <c:v>18.8</c:v>
                </c:pt>
                <c:pt idx="3">
                  <c:v>10.199999999999999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D-450D-8500-3BF4399F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MARZO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RESIDUOS!$A$7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99F-40B6-8386-A8BD1F3A3D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9F-40B6-8386-A8BD1F3A3D5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99F-40B6-8386-A8BD1F3A3D5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99F-40B6-8386-A8BD1F3A3D5D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99F-40B6-8386-A8BD1F3A3D5D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RESIDUOS!$E$7:$I$7</c:f>
              <c:numCache>
                <c:formatCode>0.00</c:formatCode>
                <c:ptCount val="5"/>
                <c:pt idx="0" formatCode="General">
                  <c:v>124.8</c:v>
                </c:pt>
                <c:pt idx="1">
                  <c:v>58.7</c:v>
                </c:pt>
                <c:pt idx="2">
                  <c:v>22.5</c:v>
                </c:pt>
                <c:pt idx="3">
                  <c:v>9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F-40B6-8386-A8BD1F3A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FEBRERO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'!$D$27:$D$31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7-422F-BC77-E1E061D9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ABRIL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RESIDUOS!$A$8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36-4C63-A339-89FA299EC26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A36-4C63-A339-89FA299EC265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A36-4C63-A339-89FA299EC265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RESIDUOS!$B$8:$D$8</c:f>
              <c:numCache>
                <c:formatCode>0.00</c:formatCode>
                <c:ptCount val="3"/>
                <c:pt idx="0" formatCode="General">
                  <c:v>10.050000000000001</c:v>
                </c:pt>
                <c:pt idx="1">
                  <c:v>3.5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36-4C63-A339-89FA299E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MAYO 2020  </a:t>
            </a:r>
          </a:p>
        </c:rich>
      </c:tx>
      <c:layout>
        <c:manualLayout>
          <c:xMode val="edge"/>
          <c:yMode val="edge"/>
          <c:x val="0.23266078493577261"/>
          <c:y val="2.991451984840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BB-4B67-9EA0-55F323E2842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6BB-4B67-9EA0-55F323E2842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6BB-4B67-9EA0-55F323E28429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RESIDUOS!$B$9:$D$9</c:f>
              <c:numCache>
                <c:formatCode>General</c:formatCode>
                <c:ptCount val="3"/>
                <c:pt idx="0">
                  <c:v>12.5</c:v>
                </c:pt>
                <c:pt idx="1">
                  <c:v>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B-4B67-9EA0-55F323E2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JUNIO 2020</a:t>
            </a:r>
          </a:p>
        </c:rich>
      </c:tx>
      <c:layout>
        <c:manualLayout>
          <c:xMode val="edge"/>
          <c:yMode val="edge"/>
          <c:x val="0.22416078694364613"/>
          <c:y val="3.722626239531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EF-4009-AEF8-EAE88136228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0EF-4009-AEF8-EAE88136228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0EF-4009-AEF8-EAE88136228E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RESIDUOS!$B$10:$D$10</c:f>
              <c:numCache>
                <c:formatCode>General</c:formatCode>
                <c:ptCount val="3"/>
                <c:pt idx="0">
                  <c:v>11.2</c:v>
                </c:pt>
                <c:pt idx="1">
                  <c:v>4.5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F-4009-AEF8-EAE88136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ABRIL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RESIDUOS!$A$8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9B8-4AD1-8973-FB9E248B7C7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9B8-4AD1-8973-FB9E248B7C7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9B8-4AD1-8973-FB9E248B7C7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9B8-4AD1-8973-FB9E248B7C74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9B8-4AD1-8973-FB9E248B7C74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RESIDUOS!$E$8:$I$8</c:f>
              <c:numCache>
                <c:formatCode>0.00</c:formatCode>
                <c:ptCount val="5"/>
                <c:pt idx="0">
                  <c:v>125.6</c:v>
                </c:pt>
                <c:pt idx="1">
                  <c:v>68.5</c:v>
                </c:pt>
                <c:pt idx="2">
                  <c:v>30.2</c:v>
                </c:pt>
                <c:pt idx="3">
                  <c:v>5.4</c:v>
                </c:pt>
                <c:pt idx="4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B8-4AD1-8973-FB9E248B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MAYO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A6F-4D36-82D7-17F2734CF52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A6F-4D36-82D7-17F2734CF52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A6F-4D36-82D7-17F2734CF52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A6F-4D36-82D7-17F2734CF52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A6F-4D36-82D7-17F2734CF520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RESIDUOS!$E$9:$I$9</c:f>
              <c:numCache>
                <c:formatCode>General</c:formatCode>
                <c:ptCount val="5"/>
                <c:pt idx="0">
                  <c:v>152.6</c:v>
                </c:pt>
                <c:pt idx="1">
                  <c:v>69.599999999999994</c:v>
                </c:pt>
                <c:pt idx="2">
                  <c:v>34</c:v>
                </c:pt>
                <c:pt idx="3">
                  <c:v>6.3</c:v>
                </c:pt>
                <c:pt idx="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6F-4D36-82D7-17F2734C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JUNIO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RESIDUOS!$A$10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E72-490D-ACD0-92F91AFE3D3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E72-490D-ACD0-92F91AFE3D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E72-490D-ACD0-92F91AFE3D3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E72-490D-ACD0-92F91AFE3D3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E72-490D-ACD0-92F91AFE3D3F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RESIDUOS!$E$10:$I$10</c:f>
              <c:numCache>
                <c:formatCode>General</c:formatCode>
                <c:ptCount val="5"/>
                <c:pt idx="0">
                  <c:v>167.8</c:v>
                </c:pt>
                <c:pt idx="1">
                  <c:v>42.8</c:v>
                </c:pt>
                <c:pt idx="2">
                  <c:v>52.3</c:v>
                </c:pt>
                <c:pt idx="3">
                  <c:v>4.5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72-490D-ACD0-92F91AFE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JULIO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3C-4005-A706-22221DFBE57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F3C-4005-A706-22221DFBE57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F3C-4005-A706-22221DFBE57A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RESIDUOS!$B$11:$D$11</c:f>
              <c:numCache>
                <c:formatCode>General</c:formatCode>
                <c:ptCount val="3"/>
                <c:pt idx="0">
                  <c:v>14.5</c:v>
                </c:pt>
                <c:pt idx="1">
                  <c:v>5.0999999999999996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C-4005-A706-22221DFB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AGOSTO</a:t>
            </a:r>
            <a:r>
              <a:rPr lang="en-US" baseline="0"/>
              <a:t> </a:t>
            </a:r>
            <a:r>
              <a:rPr lang="en-US"/>
              <a:t>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RESIDUOS!$A$12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99-4874-B675-E1542111CB4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799-4874-B675-E1542111CB4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99-4874-B675-E1542111CB4A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RESIDUOS!$B$12:$D$12</c:f>
              <c:numCache>
                <c:formatCode>General</c:formatCode>
                <c:ptCount val="3"/>
                <c:pt idx="0">
                  <c:v>15.6</c:v>
                </c:pt>
                <c:pt idx="1">
                  <c:v>9.5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99-4874-B675-E1542111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SEPTIEMBRE</a:t>
            </a:r>
            <a:r>
              <a:rPr lang="en-US" baseline="0"/>
              <a:t> </a:t>
            </a:r>
            <a:r>
              <a:rPr lang="en-US"/>
              <a:t>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B1-4EE2-B496-F4BE0251134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2B1-4EE2-B496-F4BE0251134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2B1-4EE2-B496-F4BE02511340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RESIDUOS!$B$13:$D$13</c:f>
              <c:numCache>
                <c:formatCode>General</c:formatCode>
                <c:ptCount val="3"/>
                <c:pt idx="0">
                  <c:v>8.1</c:v>
                </c:pt>
                <c:pt idx="1">
                  <c:v>7.6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1-4EE2-B496-F4BE0251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OCTUBRE</a:t>
            </a:r>
            <a:r>
              <a:rPr lang="en-US" baseline="0"/>
              <a:t> </a:t>
            </a:r>
            <a:r>
              <a:rPr lang="en-US"/>
              <a:t>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A3-45B9-8153-7DD471287E8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EA3-45B9-8153-7DD471287E8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EA3-45B9-8153-7DD471287E88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RESIDUOS!$B$14:$D$14</c:f>
              <c:numCache>
                <c:formatCode>General</c:formatCode>
                <c:ptCount val="3"/>
                <c:pt idx="0">
                  <c:v>10.9</c:v>
                </c:pt>
                <c:pt idx="1">
                  <c:v>4.5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A3-45B9-8153-7DD47128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FEBRERO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'!$D$32:$D$36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D-420D-91EF-FEFB1274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NOVIEMBRE</a:t>
            </a:r>
            <a:r>
              <a:rPr lang="en-US" baseline="0"/>
              <a:t> </a:t>
            </a:r>
            <a:r>
              <a:rPr lang="en-US"/>
              <a:t>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78-495F-96B6-19C3B0796CC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678-495F-96B6-19C3B0796CC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678-495F-96B6-19C3B0796CC9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RESIDUOS!$B$15:$D$15</c:f>
              <c:numCache>
                <c:formatCode>General</c:formatCode>
                <c:ptCount val="3"/>
                <c:pt idx="0">
                  <c:v>7.1</c:v>
                </c:pt>
                <c:pt idx="1">
                  <c:v>4.0999999999999996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8-495F-96B6-19C3B079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OFICINAS DICIEMBRE</a:t>
            </a:r>
            <a:r>
              <a:rPr lang="en-US" baseline="0"/>
              <a:t> </a:t>
            </a:r>
            <a:r>
              <a:rPr lang="en-US"/>
              <a:t>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RESIDUOS!$A$16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  <a:sp3d>
                <a:contourClr>
                  <a:srgbClr val="00B05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F4-4BB4-B5A4-F80A33A8D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EF4-4BB4-B5A4-F80A33A8DB5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EF4-4BB4-B5A4-F80A33A8DB5F}"/>
              </c:ext>
            </c:extLst>
          </c:dPt>
          <c:cat>
            <c:strRef>
              <c:f>RESIDUOS!$B$4:$D$4</c:f>
              <c:strCache>
                <c:ptCount val="3"/>
                <c:pt idx="0">
                  <c:v>Ordinario</c:v>
                </c:pt>
                <c:pt idx="1">
                  <c:v>Carton y papel </c:v>
                </c:pt>
                <c:pt idx="2">
                  <c:v>Plásticos</c:v>
                </c:pt>
              </c:strCache>
            </c:strRef>
          </c:cat>
          <c:val>
            <c:numRef>
              <c:f>RESIDUOS!$B$16:$D$16</c:f>
              <c:numCache>
                <c:formatCode>General</c:formatCode>
                <c:ptCount val="3"/>
                <c:pt idx="0">
                  <c:v>6.7</c:v>
                </c:pt>
                <c:pt idx="1">
                  <c:v>5.0999999999999996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4-4BB4-B5A4-F80A33A8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JULIO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FDE-4FF1-933E-8D16DC3B9E0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FDE-4FF1-933E-8D16DC3B9E0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FDE-4FF1-933E-8D16DC3B9E0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FDE-4FF1-933E-8D16DC3B9E0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FDE-4FF1-933E-8D16DC3B9E00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RESIDUOS!$E$11:$I$11</c:f>
              <c:numCache>
                <c:formatCode>General</c:formatCode>
                <c:ptCount val="5"/>
                <c:pt idx="0">
                  <c:v>164</c:v>
                </c:pt>
                <c:pt idx="1">
                  <c:v>34.5</c:v>
                </c:pt>
                <c:pt idx="2">
                  <c:v>48.9</c:v>
                </c:pt>
                <c:pt idx="3">
                  <c:v>10.4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DE-4FF1-933E-8D16DC3B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</a:t>
            </a:r>
            <a:r>
              <a:rPr lang="en-US" baseline="0"/>
              <a:t> AGOSTO</a:t>
            </a:r>
            <a:r>
              <a:rPr lang="en-US"/>
              <a:t>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RESIDUOS!$A$12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BD6-413F-A0A5-1FDB28299A4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BD6-413F-A0A5-1FDB28299A4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BD6-413F-A0A5-1FDB28299A4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BD6-413F-A0A5-1FDB28299A4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BD6-413F-A0A5-1FDB28299A49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RESIDUOS!$E$12:$I$12</c:f>
              <c:numCache>
                <c:formatCode>General</c:formatCode>
                <c:ptCount val="5"/>
                <c:pt idx="0">
                  <c:v>140</c:v>
                </c:pt>
                <c:pt idx="1">
                  <c:v>40.9</c:v>
                </c:pt>
                <c:pt idx="2">
                  <c:v>55.9</c:v>
                </c:pt>
                <c:pt idx="3">
                  <c:v>15.2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D6-413F-A0A5-1FDB2829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</a:t>
            </a:r>
            <a:r>
              <a:rPr lang="en-US" baseline="0"/>
              <a:t> SEPTIEMBRE</a:t>
            </a:r>
            <a:r>
              <a:rPr lang="en-US"/>
              <a:t>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A69-4DD0-BA3E-4A0D02BE489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A69-4DD0-BA3E-4A0D02BE48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A69-4DD0-BA3E-4A0D02BE48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A69-4DD0-BA3E-4A0D02BE489B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A69-4DD0-BA3E-4A0D02BE489B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RESIDUOS!$E$13:$I$13</c:f>
              <c:numCache>
                <c:formatCode>General</c:formatCode>
                <c:ptCount val="5"/>
                <c:pt idx="0">
                  <c:v>144.5</c:v>
                </c:pt>
                <c:pt idx="1">
                  <c:v>78</c:v>
                </c:pt>
                <c:pt idx="2">
                  <c:v>57.8</c:v>
                </c:pt>
                <c:pt idx="3">
                  <c:v>10.199999999999999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69-4DD0-BA3E-4A0D02BE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</a:t>
            </a:r>
            <a:r>
              <a:rPr lang="en-US" baseline="0"/>
              <a:t> OCTUBRE</a:t>
            </a:r>
            <a:r>
              <a:rPr lang="en-US"/>
              <a:t>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992-4031-9E89-6B5E85FF247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992-4031-9E89-6B5E85FF24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992-4031-9E89-6B5E85FF247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992-4031-9E89-6B5E85FF2470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992-4031-9E89-6B5E85FF2470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RESIDUOS!$E$14:$I$14</c:f>
              <c:numCache>
                <c:formatCode>General</c:formatCode>
                <c:ptCount val="5"/>
                <c:pt idx="0">
                  <c:v>119.2</c:v>
                </c:pt>
                <c:pt idx="1">
                  <c:v>54.5</c:v>
                </c:pt>
                <c:pt idx="2">
                  <c:v>26.4</c:v>
                </c:pt>
                <c:pt idx="3">
                  <c:v>14.1</c:v>
                </c:pt>
                <c:pt idx="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92-4031-9E89-6B5E85FF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</a:t>
            </a:r>
            <a:r>
              <a:rPr lang="en-US" baseline="0"/>
              <a:t> NOVIEMBRE</a:t>
            </a:r>
            <a:r>
              <a:rPr lang="en-US"/>
              <a:t> 2020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BF3-4813-A69F-490FF5D233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BF3-4813-A69F-490FF5D233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BF3-4813-A69F-490FF5D2331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BF3-4813-A69F-490FF5D2331B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BF3-4813-A69F-490FF5D2331B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RESIDUOS!$E$15:$I$15</c:f>
              <c:numCache>
                <c:formatCode>General</c:formatCode>
                <c:ptCount val="5"/>
                <c:pt idx="0">
                  <c:v>118.8</c:v>
                </c:pt>
                <c:pt idx="1">
                  <c:v>27.6</c:v>
                </c:pt>
                <c:pt idx="2">
                  <c:v>9</c:v>
                </c:pt>
                <c:pt idx="3">
                  <c:v>10.5</c:v>
                </c:pt>
                <c:pt idx="4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F3-4813-A69F-490FF5D2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SÓLIDOS GENERADOS </a:t>
            </a:r>
          </a:p>
          <a:p>
            <a:pPr>
              <a:defRPr/>
            </a:pPr>
            <a:r>
              <a:rPr lang="en-US"/>
              <a:t>PLANTA </a:t>
            </a:r>
            <a:r>
              <a:rPr lang="en-US" baseline="0"/>
              <a:t> DICIEMBRE</a:t>
            </a:r>
            <a:r>
              <a:rPr lang="en-US"/>
              <a:t> 2020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RESIDUOS!$A$16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D70-4DBC-9D4F-1D22596CEE8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D70-4DBC-9D4F-1D22596CEE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D70-4DBC-9D4F-1D22596CEE8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D70-4DBC-9D4F-1D22596CEE8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D70-4DBC-9D4F-1D22596CEE81}"/>
              </c:ext>
            </c:extLst>
          </c:dPt>
          <c:cat>
            <c:strRef>
              <c:f>RESIDUOS!$E$4:$I$4</c:f>
              <c:strCache>
                <c:ptCount val="5"/>
                <c:pt idx="0">
                  <c:v>ordinarios </c:v>
                </c:pt>
                <c:pt idx="1">
                  <c:v>Limpiezas Operaciones </c:v>
                </c:pt>
                <c:pt idx="2">
                  <c:v>Marranos </c:v>
                </c:pt>
                <c:pt idx="3">
                  <c:v>Carton y papel </c:v>
                </c:pt>
                <c:pt idx="4">
                  <c:v>Plásticos</c:v>
                </c:pt>
              </c:strCache>
            </c:strRef>
          </c:cat>
          <c:val>
            <c:numRef>
              <c:f>RESIDUOS!$E$16:$I$16</c:f>
              <c:numCache>
                <c:formatCode>General</c:formatCode>
                <c:ptCount val="5"/>
                <c:pt idx="0">
                  <c:v>129.19999999999999</c:v>
                </c:pt>
                <c:pt idx="1">
                  <c:v>31.8</c:v>
                </c:pt>
                <c:pt idx="2">
                  <c:v>7.2</c:v>
                </c:pt>
                <c:pt idx="3">
                  <c:v>10.8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70-4DBC-9D4F-1D22596C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VOLUMEN DE RESIDUOS GENERADOS</a:t>
            </a:r>
            <a:r>
              <a:rPr lang="en-US" baseline="0"/>
              <a:t> </a:t>
            </a:r>
            <a:r>
              <a:rPr lang="en-US"/>
              <a:t>  
(m3)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RESIDUOS!$J$3</c:f>
              <c:strCache>
                <c:ptCount val="1"/>
                <c:pt idx="0">
                  <c:v>VOL
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RESIDUOS!$A$5:$A$16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RESIDUOS!$J$5:$J$16</c:f>
              <c:numCache>
                <c:formatCode>General</c:formatCode>
                <c:ptCount val="12"/>
                <c:pt idx="0">
                  <c:v>169.04999999999998</c:v>
                </c:pt>
                <c:pt idx="1">
                  <c:v>275.3</c:v>
                </c:pt>
                <c:pt idx="2" formatCode="0.0">
                  <c:v>229.05</c:v>
                </c:pt>
                <c:pt idx="3">
                  <c:v>248.45</c:v>
                </c:pt>
                <c:pt idx="4">
                  <c:v>283.89999999999998</c:v>
                </c:pt>
                <c:pt idx="5">
                  <c:v>286.60000000000002</c:v>
                </c:pt>
                <c:pt idx="6">
                  <c:v>282.79999999999995</c:v>
                </c:pt>
                <c:pt idx="7">
                  <c:v>281.39999999999998</c:v>
                </c:pt>
                <c:pt idx="8">
                  <c:v>311.89999999999998</c:v>
                </c:pt>
                <c:pt idx="9">
                  <c:v>234.7</c:v>
                </c:pt>
                <c:pt idx="10">
                  <c:v>185</c:v>
                </c:pt>
                <c:pt idx="11">
                  <c:v>195.10000000000002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BE2-91AA-7D44F54C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008016"/>
        <c:axId val="679007688"/>
      </c:barChart>
      <c:lineChart>
        <c:grouping val="standard"/>
        <c:varyColors val="0"/>
        <c:ser>
          <c:idx val="1"/>
          <c:order val="1"/>
          <c:tx>
            <c:strRef>
              <c:f>RESIDUOS!$R$4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RESIDUOS!$A$5:$A$16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RESIDUOS!$R$5:$R$16</c:f>
              <c:numCache>
                <c:formatCode>General</c:formatCode>
                <c:ptCount val="12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0-4BE2-91AA-7D44F54C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08016"/>
        <c:axId val="679007688"/>
      </c:lineChart>
      <c:catAx>
        <c:axId val="6790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79007688"/>
        <c:crosses val="autoZero"/>
        <c:auto val="1"/>
        <c:lblAlgn val="ctr"/>
        <c:lblOffset val="100"/>
        <c:noMultiLvlLbl val="0"/>
      </c:catAx>
      <c:valAx>
        <c:axId val="679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790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 b="0"/>
              <a:t>CONSUMO DE AGUA POR PROCESOS 2020  </a:t>
            </a:r>
          </a:p>
          <a:p>
            <a:pPr>
              <a:defRPr b="0"/>
            </a:pPr>
            <a:r>
              <a:rPr lang="es-CO" b="0"/>
              <a:t>TERLICA S.A.S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'AGUA '!$B$3:$D$3</c:f>
              <c:strCache>
                <c:ptCount val="1"/>
                <c:pt idx="0">
                  <c:v>MEDIDOR 1 
Alberca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'AGUA 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'AGUA '!$D$5:$D$16</c:f>
              <c:numCache>
                <c:formatCode>#,##0</c:formatCode>
                <c:ptCount val="12"/>
                <c:pt idx="0">
                  <c:v>58</c:v>
                </c:pt>
                <c:pt idx="1">
                  <c:v>166</c:v>
                </c:pt>
                <c:pt idx="2">
                  <c:v>169</c:v>
                </c:pt>
                <c:pt idx="3">
                  <c:v>271</c:v>
                </c:pt>
                <c:pt idx="4">
                  <c:v>143</c:v>
                </c:pt>
                <c:pt idx="5">
                  <c:v>151</c:v>
                </c:pt>
                <c:pt idx="6">
                  <c:v>194</c:v>
                </c:pt>
                <c:pt idx="7">
                  <c:v>173</c:v>
                </c:pt>
                <c:pt idx="8">
                  <c:v>11</c:v>
                </c:pt>
                <c:pt idx="9">
                  <c:v>131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0-4924-8B67-F43FFEE37BE9}"/>
            </c:ext>
          </c:extLst>
        </c:ser>
        <c:ser>
          <c:idx val="1"/>
          <c:order val="1"/>
          <c:tx>
            <c:strRef>
              <c:f>'AGUA '!$E$3:$G$3</c:f>
              <c:strCache>
                <c:ptCount val="1"/>
                <c:pt idx="0">
                  <c:v>MEDIDOR 2
Oficinas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'AGUA 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'AGUA '!$G$5:$G$16</c:f>
              <c:numCache>
                <c:formatCode>0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24</c:v>
                </c:pt>
                <c:pt idx="7">
                  <c:v>22</c:v>
                </c:pt>
                <c:pt idx="8">
                  <c:v>27</c:v>
                </c:pt>
                <c:pt idx="9">
                  <c:v>6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0-4924-8B67-F43FFEE37BE9}"/>
            </c:ext>
          </c:extLst>
        </c:ser>
        <c:ser>
          <c:idx val="2"/>
          <c:order val="2"/>
          <c:tx>
            <c:strRef>
              <c:f>'AGUA '!$H$3:$J$3</c:f>
              <c:strCache>
                <c:ptCount val="1"/>
                <c:pt idx="0">
                  <c:v>MEDIDOR 3
Caldera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'AGUA 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'AGUA '!$J$5:$J$16</c:f>
              <c:numCache>
                <c:formatCode>General</c:formatCode>
                <c:ptCount val="12"/>
                <c:pt idx="0">
                  <c:v>290</c:v>
                </c:pt>
                <c:pt idx="1">
                  <c:v>310</c:v>
                </c:pt>
                <c:pt idx="2">
                  <c:v>146</c:v>
                </c:pt>
                <c:pt idx="3">
                  <c:v>442</c:v>
                </c:pt>
                <c:pt idx="4">
                  <c:v>249</c:v>
                </c:pt>
                <c:pt idx="5">
                  <c:v>392</c:v>
                </c:pt>
                <c:pt idx="6">
                  <c:v>455</c:v>
                </c:pt>
                <c:pt idx="7">
                  <c:v>162</c:v>
                </c:pt>
                <c:pt idx="8">
                  <c:v>163</c:v>
                </c:pt>
                <c:pt idx="9">
                  <c:v>113</c:v>
                </c:pt>
                <c:pt idx="10">
                  <c:v>177</c:v>
                </c:pt>
                <c:pt idx="1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0-4924-8B67-F43FFEE3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97959256"/>
        <c:axId val="697956632"/>
      </c:lineChart>
      <c:catAx>
        <c:axId val="6979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6632"/>
        <c:crosses val="autoZero"/>
        <c:auto val="1"/>
        <c:lblAlgn val="ctr"/>
        <c:lblOffset val="100"/>
        <c:noMultiLvlLbl val="0"/>
      </c:catAx>
      <c:valAx>
        <c:axId val="6979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PELIGROSOS GENERADOS</a:t>
            </a:r>
          </a:p>
          <a:p>
            <a:pPr>
              <a:defRPr/>
            </a:pPr>
            <a:r>
              <a:rPr lang="en-US"/>
              <a:t>MARZO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'!$A$5:$A$26</c:f>
              <c:strCache>
                <c:ptCount val="22"/>
                <c:pt idx="0">
                  <c:v>RESIDUOS PELIGROSOS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'!$B$5:$B$26</c:f>
              <c:strCache>
                <c:ptCount val="22"/>
                <c:pt idx="0">
                  <c:v>Baterias plomo acido </c:v>
                </c:pt>
                <c:pt idx="1">
                  <c:v>Baterias UPS </c:v>
                </c:pt>
                <c:pt idx="2">
                  <c:v>Bolsas de Cemento </c:v>
                </c:pt>
                <c:pt idx="3">
                  <c:v>Cartuchos y toner de tinta </c:v>
                </c:pt>
                <c:pt idx="4">
                  <c:v>Colillas de soldaduras</c:v>
                </c:pt>
                <c:pt idx="5">
                  <c:v>Discos de pulidoras </c:v>
                </c:pt>
                <c:pt idx="6">
                  <c:v>Envases de plaguicidas </c:v>
                </c:pt>
                <c:pt idx="7">
                  <c:v>EPP contaminado</c:v>
                </c:pt>
                <c:pt idx="8">
                  <c:v>Filtros de aire </c:v>
                </c:pt>
                <c:pt idx="9">
                  <c:v>Filtros de aceite </c:v>
                </c:pt>
                <c:pt idx="10">
                  <c:v>Aceite usado </c:v>
                </c:pt>
                <c:pt idx="11">
                  <c:v>Residuos contaminados con HC</c:v>
                </c:pt>
                <c:pt idx="12">
                  <c:v>Carton contamiado </c:v>
                </c:pt>
                <c:pt idx="13">
                  <c:v>Plastico contaminado</c:v>
                </c:pt>
                <c:pt idx="14">
                  <c:v>Metal contaminado </c:v>
                </c:pt>
                <c:pt idx="15">
                  <c:v>Vidrio Contaminado </c:v>
                </c:pt>
                <c:pt idx="16">
                  <c:v>Residuos de pintura </c:v>
                </c:pt>
                <c:pt idx="17">
                  <c:v>Tarros de aerosol </c:v>
                </c:pt>
                <c:pt idx="18">
                  <c:v>Tarros de pintura</c:v>
                </c:pt>
                <c:pt idx="19">
                  <c:v>Thinner u otros solventes </c:v>
                </c:pt>
                <c:pt idx="20">
                  <c:v>Lodos contaminados </c:v>
                </c:pt>
                <c:pt idx="21">
                  <c:v>Manguera contaminada </c:v>
                </c:pt>
              </c:strCache>
            </c:strRef>
          </c:cat>
          <c:val>
            <c:numRef>
              <c:f>'RESPEL '!$E$5:$E$26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556-A8E4-9CFF44DF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 b="0"/>
              <a:t>CONSUMO DE AGUA</a:t>
            </a:r>
            <a:r>
              <a:rPr lang="es-CO" b="0" baseline="0"/>
              <a:t> POR TONELADAS MOVILIZADAS </a:t>
            </a:r>
            <a:r>
              <a:rPr lang="es-CO" b="0"/>
              <a:t> 2020  </a:t>
            </a:r>
          </a:p>
          <a:p>
            <a:pPr>
              <a:defRPr/>
            </a:pPr>
            <a:r>
              <a:rPr lang="es-CO" b="0"/>
              <a:t>TERLICA S.A.S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'AGUA '!$L$3:$L$4</c:f>
              <c:strCache>
                <c:ptCount val="2"/>
                <c:pt idx="0">
                  <c:v>m3/Ton Mov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'AGUA 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'AGUA '!$L$5:$L$16</c:f>
              <c:numCache>
                <c:formatCode>0.00</c:formatCode>
                <c:ptCount val="12"/>
                <c:pt idx="0">
                  <c:v>9.4296461976413181E-3</c:v>
                </c:pt>
                <c:pt idx="1">
                  <c:v>1.6499802397576077E-2</c:v>
                </c:pt>
                <c:pt idx="2">
                  <c:v>1.9984627209838585E-2</c:v>
                </c:pt>
                <c:pt idx="3">
                  <c:v>1.480236837894063E-2</c:v>
                </c:pt>
                <c:pt idx="4" formatCode="0.000">
                  <c:v>1.67112032864037E-2</c:v>
                </c:pt>
                <c:pt idx="5" formatCode="0.000">
                  <c:v>1.857272963830341E-2</c:v>
                </c:pt>
                <c:pt idx="6">
                  <c:v>1.4006826506826506E-2</c:v>
                </c:pt>
                <c:pt idx="7">
                  <c:v>1.8028481971518028E-2</c:v>
                </c:pt>
                <c:pt idx="8">
                  <c:v>8.0908102886124867E-3</c:v>
                </c:pt>
                <c:pt idx="9">
                  <c:v>1.2666565334143993E-2</c:v>
                </c:pt>
                <c:pt idx="10">
                  <c:v>6.0185185185185182E-2</c:v>
                </c:pt>
                <c:pt idx="11">
                  <c:v>2.5622712257834121E-2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6-4D43-913E-409BC16CC175}"/>
            </c:ext>
          </c:extLst>
        </c:ser>
        <c:ser>
          <c:idx val="0"/>
          <c:order val="1"/>
          <c:tx>
            <c:v>Límite Máximo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'G_AGUA '!$A$37:$A$48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47BA-A84F-89162E73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697959256"/>
        <c:axId val="697956632"/>
      </c:lineChart>
      <c:catAx>
        <c:axId val="6979592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6632"/>
        <c:crosses val="autoZero"/>
        <c:auto val="1"/>
        <c:lblAlgn val="ctr"/>
        <c:lblOffset val="100"/>
        <c:noMultiLvlLbl val="0"/>
      </c:catAx>
      <c:valAx>
        <c:axId val="6979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 b="0" baseline="0"/>
              <a:t>GENERACIÓN DE VERTIMIENTOS POR TONELADAS MOVILIZADAS </a:t>
            </a:r>
            <a:r>
              <a:rPr lang="es-CO" b="0"/>
              <a:t> 2020 </a:t>
            </a:r>
          </a:p>
          <a:p>
            <a:pPr>
              <a:defRPr/>
            </a:pPr>
            <a:r>
              <a:rPr lang="es-CO" b="0"/>
              <a:t>TERLICA S.A.S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Vol_VERT!$D$4</c:f>
              <c:strCache>
                <c:ptCount val="1"/>
                <c:pt idx="0">
                  <c:v>m3 ARnD/Ton Mov
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Vol_VERT!$A$5:$A$16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Vol_VERT!$D$5:$D$16</c:f>
              <c:numCache>
                <c:formatCode>0.0000</c:formatCode>
                <c:ptCount val="12"/>
                <c:pt idx="0">
                  <c:v>2.5416836112240746E-4</c:v>
                </c:pt>
                <c:pt idx="1">
                  <c:v>4.9400605980766702E-4</c:v>
                </c:pt>
                <c:pt idx="2">
                  <c:v>5.91261160054396E-4</c:v>
                </c:pt>
                <c:pt idx="3">
                  <c:v>1.2001920307249159E-4</c:v>
                </c:pt>
                <c:pt idx="4">
                  <c:v>2.7918478044111194E-4</c:v>
                </c:pt>
                <c:pt idx="5">
                  <c:v>2.2768670309653916E-4</c:v>
                </c:pt>
                <c:pt idx="6">
                  <c:v>1.8731268731268731E-4</c:v>
                </c:pt>
                <c:pt idx="7">
                  <c:v>6.160993839006161E-4</c:v>
                </c:pt>
                <c:pt idx="8">
                  <c:v>4.3473010505977542E-4</c:v>
                </c:pt>
                <c:pt idx="9">
                  <c:v>5.3199574403404776E-4</c:v>
                </c:pt>
                <c:pt idx="10">
                  <c:v>2.0128824476650562E-3</c:v>
                </c:pt>
                <c:pt idx="11">
                  <c:v>7.7671636461030256E-4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9-4400-8B4E-CAB55B88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59256"/>
        <c:axId val="697956632"/>
      </c:lineChart>
      <c:catAx>
        <c:axId val="6979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6632"/>
        <c:crosses val="autoZero"/>
        <c:auto val="1"/>
        <c:lblAlgn val="ctr"/>
        <c:lblOffset val="100"/>
        <c:noMultiLvlLbl val="0"/>
      </c:catAx>
      <c:valAx>
        <c:axId val="6979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 b="0" baseline="0"/>
              <a:t>GENERACIÓN DE VERTIMIENTOS </a:t>
            </a:r>
            <a:r>
              <a:rPr lang="es-CO" b="0"/>
              <a:t>2020  </a:t>
            </a:r>
          </a:p>
          <a:p>
            <a:pPr>
              <a:defRPr/>
            </a:pPr>
            <a:r>
              <a:rPr lang="es-CO" b="0"/>
              <a:t>TERLICA S.A.S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Vol_VERT!$C$4</c:f>
              <c:strCache>
                <c:ptCount val="1"/>
                <c:pt idx="0">
                  <c:v>Volumen de Vertimiento (m3)
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Vol_VERT!$A$5:$A$16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Vol_VERT!$C$5:$C$16</c:f>
              <c:numCache>
                <c:formatCode>0.00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12.2</c:v>
                </c:pt>
                <c:pt idx="8">
                  <c:v>10.8</c:v>
                </c:pt>
                <c:pt idx="9">
                  <c:v>10.5</c:v>
                </c:pt>
                <c:pt idx="10">
                  <c:v>10</c:v>
                </c:pt>
                <c:pt idx="11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9-48E3-AC39-6477F028DE45}"/>
            </c:ext>
          </c:extLst>
        </c:ser>
        <c:ser>
          <c:idx val="0"/>
          <c:order val="1"/>
          <c:tx>
            <c:strRef>
              <c:f>Vol_VERT!$I$4</c:f>
              <c:strCache>
                <c:ptCount val="1"/>
                <c:pt idx="0">
                  <c:v>Meta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Vol_VERT!$A$5:$A$16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Vol_VERT!$I$5:$I$16</c:f>
              <c:numCache>
                <c:formatCode>General</c:formatCode>
                <c:ptCount val="12"/>
                <c:pt idx="0">
                  <c:v>25.8</c:v>
                </c:pt>
                <c:pt idx="1">
                  <c:v>25.8</c:v>
                </c:pt>
                <c:pt idx="2">
                  <c:v>25.8</c:v>
                </c:pt>
                <c:pt idx="3">
                  <c:v>25.8</c:v>
                </c:pt>
                <c:pt idx="4">
                  <c:v>25.8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25.8</c:v>
                </c:pt>
                <c:pt idx="10">
                  <c:v>25.8</c:v>
                </c:pt>
                <c:pt idx="1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9-48E3-AC39-6477F028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59256"/>
        <c:axId val="697956632"/>
      </c:lineChart>
      <c:catAx>
        <c:axId val="6979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6632"/>
        <c:crosses val="autoZero"/>
        <c:auto val="1"/>
        <c:lblAlgn val="ctr"/>
        <c:lblOffset val="100"/>
        <c:noMultiLvlLbl val="0"/>
      </c:catAx>
      <c:valAx>
        <c:axId val="6979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9795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Uso de energia electrica por tonelada movilizada  </a:t>
            </a:r>
          </a:p>
          <a:p>
            <a:pPr>
              <a:defRPr/>
            </a:pPr>
            <a:r>
              <a:rPr lang="es-CO"/>
              <a:t>2019 Vs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EE!$G$4</c:f>
              <c:strCache>
                <c:ptCount val="1"/>
                <c:pt idx="0">
                  <c:v>kWh/Ton Mov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EE!$G$5:$G$16</c:f>
              <c:numCache>
                <c:formatCode>0.00</c:formatCode>
                <c:ptCount val="12"/>
                <c:pt idx="0">
                  <c:v>0.50325335502236679</c:v>
                </c:pt>
                <c:pt idx="1">
                  <c:v>0.72454222105124488</c:v>
                </c:pt>
                <c:pt idx="2">
                  <c:v>1.1706970969077042</c:v>
                </c:pt>
                <c:pt idx="3">
                  <c:v>0.48407745239238276</c:v>
                </c:pt>
                <c:pt idx="4">
                  <c:v>1.2284130339408925</c:v>
                </c:pt>
                <c:pt idx="5">
                  <c:v>1.0733801717408276</c:v>
                </c:pt>
                <c:pt idx="6">
                  <c:v>0.5494505494505495</c:v>
                </c:pt>
                <c:pt idx="7">
                  <c:v>1.4442985557014443</c:v>
                </c:pt>
                <c:pt idx="8">
                  <c:v>0.70844906009741171</c:v>
                </c:pt>
                <c:pt idx="9">
                  <c:v>1.1146577494046714</c:v>
                </c:pt>
                <c:pt idx="10">
                  <c:v>3.5426731078904994</c:v>
                </c:pt>
                <c:pt idx="11">
                  <c:v>1.1784662083742523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F-4B12-BE1B-3D5BB4F9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748936"/>
        <c:axId val="682742048"/>
      </c:barChart>
      <c:lineChart>
        <c:grouping val="standard"/>
        <c:varyColors val="0"/>
        <c:ser>
          <c:idx val="1"/>
          <c:order val="1"/>
          <c:tx>
            <c:v>Lím Máximo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'G_EE '!$B$37:$B$48</c:f>
              <c:numCache>
                <c:formatCode>General</c:formatCode>
                <c:ptCount val="12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4-46CD-96F0-7CC0A3F0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48936"/>
        <c:axId val="682742048"/>
      </c:lineChart>
      <c:catAx>
        <c:axId val="6827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2048"/>
        <c:crosses val="autoZero"/>
        <c:auto val="1"/>
        <c:lblAlgn val="ctr"/>
        <c:lblOffset val="100"/>
        <c:noMultiLvlLbl val="0"/>
      </c:catAx>
      <c:valAx>
        <c:axId val="682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8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Uso de energia electrica por tonelada movilizada  </a:t>
            </a:r>
          </a:p>
          <a:p>
            <a:pPr>
              <a:defRPr/>
            </a:pPr>
            <a:r>
              <a:rPr lang="es-CO"/>
              <a:t>2019 Vs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EE!$D$4</c:f>
              <c:strCache>
                <c:ptCount val="1"/>
                <c:pt idx="0">
                  <c:v>kWh/Ton Mov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EE!$D$5:$D$16</c:f>
              <c:numCache>
                <c:formatCode>0.00</c:formatCode>
                <c:ptCount val="12"/>
                <c:pt idx="0">
                  <c:v>0.8154653982206943</c:v>
                </c:pt>
                <c:pt idx="1">
                  <c:v>0.87492843024256817</c:v>
                </c:pt>
                <c:pt idx="2">
                  <c:v>0.64959031519893706</c:v>
                </c:pt>
                <c:pt idx="3">
                  <c:v>0.70284085323896583</c:v>
                </c:pt>
                <c:pt idx="4">
                  <c:v>0.82691223454237928</c:v>
                </c:pt>
                <c:pt idx="5">
                  <c:v>0.96305800182537005</c:v>
                </c:pt>
                <c:pt idx="6">
                  <c:v>2.4392702348553574</c:v>
                </c:pt>
                <c:pt idx="7">
                  <c:v>1.2311997201818818</c:v>
                </c:pt>
                <c:pt idx="8">
                  <c:v>0.55173402120951565</c:v>
                </c:pt>
                <c:pt idx="9">
                  <c:v>1.4151954828103781</c:v>
                </c:pt>
                <c:pt idx="10">
                  <c:v>0.49278423090461104</c:v>
                </c:pt>
                <c:pt idx="11">
                  <c:v>1.3430102421488164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7D6-BCA3-2394FDEC3AA0}"/>
            </c:ext>
          </c:extLst>
        </c:ser>
        <c:ser>
          <c:idx val="1"/>
          <c:order val="1"/>
          <c:tx>
            <c:strRef>
              <c:f>EE!$G$4</c:f>
              <c:strCache>
                <c:ptCount val="1"/>
                <c:pt idx="0">
                  <c:v>kWh/Ton Mov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EE!$G$5:$G$16</c:f>
              <c:numCache>
                <c:formatCode>0.00</c:formatCode>
                <c:ptCount val="12"/>
                <c:pt idx="0">
                  <c:v>0.50325335502236679</c:v>
                </c:pt>
                <c:pt idx="1">
                  <c:v>0.72454222105124488</c:v>
                </c:pt>
                <c:pt idx="2">
                  <c:v>1.1706970969077042</c:v>
                </c:pt>
                <c:pt idx="3">
                  <c:v>0.48407745239238276</c:v>
                </c:pt>
                <c:pt idx="4">
                  <c:v>1.2284130339408925</c:v>
                </c:pt>
                <c:pt idx="5">
                  <c:v>1.0733801717408276</c:v>
                </c:pt>
                <c:pt idx="6">
                  <c:v>0.5494505494505495</c:v>
                </c:pt>
                <c:pt idx="7">
                  <c:v>1.4442985557014443</c:v>
                </c:pt>
                <c:pt idx="8">
                  <c:v>0.70844906009741171</c:v>
                </c:pt>
                <c:pt idx="9">
                  <c:v>1.1146577494046714</c:v>
                </c:pt>
                <c:pt idx="10">
                  <c:v>3.5426731078904994</c:v>
                </c:pt>
                <c:pt idx="11">
                  <c:v>1.1784662083742523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7D6-BCA3-2394FDEC3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2748936"/>
        <c:axId val="682742048"/>
        <c:axId val="0"/>
      </c:bar3DChart>
      <c:catAx>
        <c:axId val="6827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2048"/>
        <c:crosses val="autoZero"/>
        <c:auto val="1"/>
        <c:lblAlgn val="ctr"/>
        <c:lblOffset val="100"/>
        <c:noMultiLvlLbl val="0"/>
      </c:catAx>
      <c:valAx>
        <c:axId val="682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8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Uso</a:t>
            </a:r>
            <a:r>
              <a:rPr lang="es-CO" baseline="0"/>
              <a:t> de energía electrica Vs Toneladas Movilizadas </a:t>
            </a:r>
          </a:p>
          <a:p>
            <a:pPr>
              <a:defRPr/>
            </a:pPr>
            <a:r>
              <a:rPr lang="es-CO" baseline="0"/>
              <a:t>2020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EE!$F$4</c:f>
              <c:strCache>
                <c:ptCount val="1"/>
                <c:pt idx="0">
                  <c:v>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7FA-40F6-9D98-4743049FB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EE!$F$5:$F$16</c:f>
              <c:numCache>
                <c:formatCode>General</c:formatCode>
                <c:ptCount val="12"/>
                <c:pt idx="0">
                  <c:v>19800</c:v>
                </c:pt>
                <c:pt idx="1">
                  <c:v>22000</c:v>
                </c:pt>
                <c:pt idx="2">
                  <c:v>19800</c:v>
                </c:pt>
                <c:pt idx="3">
                  <c:v>24200</c:v>
                </c:pt>
                <c:pt idx="4">
                  <c:v>30800</c:v>
                </c:pt>
                <c:pt idx="5">
                  <c:v>33000</c:v>
                </c:pt>
                <c:pt idx="6">
                  <c:v>26400</c:v>
                </c:pt>
                <c:pt idx="7">
                  <c:v>28600</c:v>
                </c:pt>
                <c:pt idx="8">
                  <c:v>17600</c:v>
                </c:pt>
                <c:pt idx="9">
                  <c:v>22000</c:v>
                </c:pt>
                <c:pt idx="10">
                  <c:v>17600</c:v>
                </c:pt>
                <c:pt idx="11">
                  <c:v>13200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FA-40F6-9D98-4743049FB079}"/>
            </c:ext>
          </c:extLst>
        </c:ser>
        <c:ser>
          <c:idx val="1"/>
          <c:order val="1"/>
          <c:tx>
            <c:strRef>
              <c:f>EE!$E$4</c:f>
              <c:strCache>
                <c:ptCount val="1"/>
                <c:pt idx="0">
                  <c:v>Ton Mov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7FA-40F6-9D98-4743049FB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EE!$E$5:$E$16</c:f>
              <c:numCache>
                <c:formatCode>0</c:formatCode>
                <c:ptCount val="12"/>
                <c:pt idx="0">
                  <c:v>39344</c:v>
                </c:pt>
                <c:pt idx="1">
                  <c:v>30364</c:v>
                </c:pt>
                <c:pt idx="2">
                  <c:v>16913</c:v>
                </c:pt>
                <c:pt idx="3" formatCode="General">
                  <c:v>49992</c:v>
                </c:pt>
                <c:pt idx="4" formatCode="General">
                  <c:v>25073</c:v>
                </c:pt>
                <c:pt idx="5">
                  <c:v>30744</c:v>
                </c:pt>
                <c:pt idx="6" formatCode="General">
                  <c:v>48048</c:v>
                </c:pt>
                <c:pt idx="7" formatCode="General">
                  <c:v>19802</c:v>
                </c:pt>
                <c:pt idx="8" formatCode="General">
                  <c:v>24843</c:v>
                </c:pt>
                <c:pt idx="9" formatCode="General">
                  <c:v>19737</c:v>
                </c:pt>
                <c:pt idx="10">
                  <c:v>4968</c:v>
                </c:pt>
                <c:pt idx="11" formatCode="General">
                  <c:v>11201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FA-40F6-9D98-4743049F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48936"/>
        <c:axId val="682742048"/>
      </c:lineChart>
      <c:catAx>
        <c:axId val="6827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2048"/>
        <c:crosses val="autoZero"/>
        <c:auto val="1"/>
        <c:lblAlgn val="ctr"/>
        <c:lblOffset val="100"/>
        <c:noMultiLvlLbl val="0"/>
      </c:catAx>
      <c:valAx>
        <c:axId val="682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Uso de Gas</a:t>
            </a:r>
            <a:r>
              <a:rPr lang="es-CO" baseline="0"/>
              <a:t> Natural por tonelada movilizada </a:t>
            </a:r>
            <a:r>
              <a:rPr lang="es-CO"/>
              <a:t>  </a:t>
            </a:r>
          </a:p>
          <a:p>
            <a:pPr>
              <a:defRPr/>
            </a:pPr>
            <a:r>
              <a:rPr lang="es-CO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GN!$G$4</c:f>
              <c:strCache>
                <c:ptCount val="1"/>
                <c:pt idx="0">
                  <c:v>m3 GN/Ton Mov
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GN!$A$5:$A$16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GN!$G$5:$G$16</c:f>
              <c:numCache>
                <c:formatCode>0.00</c:formatCode>
                <c:ptCount val="12"/>
                <c:pt idx="0">
                  <c:v>0.68828792191947952</c:v>
                </c:pt>
                <c:pt idx="1">
                  <c:v>0.75800289816888422</c:v>
                </c:pt>
                <c:pt idx="2">
                  <c:v>1.7605983562939751</c:v>
                </c:pt>
                <c:pt idx="3">
                  <c:v>1.0138022083533365</c:v>
                </c:pt>
                <c:pt idx="4">
                  <c:v>2.0078969409324769</c:v>
                </c:pt>
                <c:pt idx="5">
                  <c:v>1.4612282071298466</c:v>
                </c:pt>
                <c:pt idx="6">
                  <c:v>0.68768731268731265</c:v>
                </c:pt>
                <c:pt idx="7">
                  <c:v>2.2965357034642966</c:v>
                </c:pt>
                <c:pt idx="8">
                  <c:v>0.79244520755479242</c:v>
                </c:pt>
                <c:pt idx="9">
                  <c:v>0.49404671429295233</c:v>
                </c:pt>
                <c:pt idx="10">
                  <c:v>0.79287439613526567</c:v>
                </c:pt>
                <c:pt idx="11">
                  <c:v>1.1001696277118114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D48-AB7D-8CB23C7E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748936"/>
        <c:axId val="682742048"/>
      </c:barChart>
      <c:lineChart>
        <c:grouping val="standard"/>
        <c:varyColors val="0"/>
        <c:ser>
          <c:idx val="1"/>
          <c:order val="1"/>
          <c:tx>
            <c:v>Lím Máximo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'G_GN '!$B$37:$B$48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C-4FFA-849E-F18C72C1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48936"/>
        <c:axId val="682742048"/>
      </c:lineChart>
      <c:catAx>
        <c:axId val="6827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2048"/>
        <c:crosses val="autoZero"/>
        <c:auto val="1"/>
        <c:lblAlgn val="ctr"/>
        <c:lblOffset val="100"/>
        <c:noMultiLvlLbl val="0"/>
      </c:catAx>
      <c:valAx>
        <c:axId val="682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8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Uso de Gas</a:t>
            </a:r>
            <a:r>
              <a:rPr lang="es-CO" baseline="0"/>
              <a:t> Natural </a:t>
            </a:r>
            <a:r>
              <a:rPr lang="es-CO"/>
              <a:t>por tonelada movilizada  </a:t>
            </a:r>
          </a:p>
          <a:p>
            <a:pPr>
              <a:defRPr/>
            </a:pPr>
            <a:r>
              <a:rPr lang="es-CO"/>
              <a:t>2019 Vs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GN!$D$4</c:f>
              <c:strCache>
                <c:ptCount val="1"/>
                <c:pt idx="0">
                  <c:v>m3 GN/Ton Mov
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GN!$A$5:$A$16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GN!$D$5:$D$16</c:f>
              <c:numCache>
                <c:formatCode>0.00</c:formatCode>
                <c:ptCount val="12"/>
                <c:pt idx="0">
                  <c:v>0.6063812106279548</c:v>
                </c:pt>
                <c:pt idx="1">
                  <c:v>1.423655397139804</c:v>
                </c:pt>
                <c:pt idx="2">
                  <c:v>0.49750252208361012</c:v>
                </c:pt>
                <c:pt idx="3">
                  <c:v>0.62783839575346501</c:v>
                </c:pt>
                <c:pt idx="4">
                  <c:v>0.49010994174027439</c:v>
                </c:pt>
                <c:pt idx="5">
                  <c:v>0.44872874624012615</c:v>
                </c:pt>
                <c:pt idx="6">
                  <c:v>1.3711319423445216</c:v>
                </c:pt>
                <c:pt idx="7">
                  <c:v>1.3945435466946485</c:v>
                </c:pt>
                <c:pt idx="8">
                  <c:v>0.66501862997993699</c:v>
                </c:pt>
                <c:pt idx="9">
                  <c:v>1.0913444357086699</c:v>
                </c:pt>
                <c:pt idx="10">
                  <c:v>0.77818309814085951</c:v>
                </c:pt>
                <c:pt idx="11">
                  <c:v>1.8641389133826223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443-A1FB-094E995CA7F8}"/>
            </c:ext>
          </c:extLst>
        </c:ser>
        <c:ser>
          <c:idx val="1"/>
          <c:order val="1"/>
          <c:tx>
            <c:strRef>
              <c:f>GN!$G$4</c:f>
              <c:strCache>
                <c:ptCount val="1"/>
                <c:pt idx="0">
                  <c:v>m3 GN/Ton Mov
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GN!$A$5:$A$16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GN!$G$5:$G$16</c:f>
              <c:numCache>
                <c:formatCode>0.00</c:formatCode>
                <c:ptCount val="12"/>
                <c:pt idx="0">
                  <c:v>0.68828792191947952</c:v>
                </c:pt>
                <c:pt idx="1">
                  <c:v>0.75800289816888422</c:v>
                </c:pt>
                <c:pt idx="2">
                  <c:v>1.7605983562939751</c:v>
                </c:pt>
                <c:pt idx="3">
                  <c:v>1.0138022083533365</c:v>
                </c:pt>
                <c:pt idx="4">
                  <c:v>2.0078969409324769</c:v>
                </c:pt>
                <c:pt idx="5">
                  <c:v>1.4612282071298466</c:v>
                </c:pt>
                <c:pt idx="6">
                  <c:v>0.68768731268731265</c:v>
                </c:pt>
                <c:pt idx="7">
                  <c:v>2.2965357034642966</c:v>
                </c:pt>
                <c:pt idx="8">
                  <c:v>0.79244520755479242</c:v>
                </c:pt>
                <c:pt idx="9">
                  <c:v>0.49404671429295233</c:v>
                </c:pt>
                <c:pt idx="10">
                  <c:v>0.79287439613526567</c:v>
                </c:pt>
                <c:pt idx="11">
                  <c:v>1.1001696277118114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F-4443-A1FB-094E995C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2748936"/>
        <c:axId val="682742048"/>
        <c:axId val="0"/>
      </c:bar3DChart>
      <c:catAx>
        <c:axId val="6827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2048"/>
        <c:crosses val="autoZero"/>
        <c:auto val="1"/>
        <c:lblAlgn val="ctr"/>
        <c:lblOffset val="100"/>
        <c:noMultiLvlLbl val="0"/>
      </c:catAx>
      <c:valAx>
        <c:axId val="682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682748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s-CO" sz="1400" b="0"/>
              <a:t>Consumo</a:t>
            </a:r>
            <a:r>
              <a:rPr lang="es-CO" sz="1400" b="0" baseline="0"/>
              <a:t> de Gas Natural Vs Toneladas Movilizadas </a:t>
            </a:r>
            <a:endParaRPr lang="es-CO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GN!$F$4</c:f>
              <c:strCache>
                <c:ptCount val="1"/>
                <c:pt idx="0">
                  <c:v>GN (m3)
2020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8FF-491D-B40E-1A5100E931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GN!$F$5:$F$16</c:f>
              <c:numCache>
                <c:formatCode>General</c:formatCode>
                <c:ptCount val="12"/>
                <c:pt idx="0">
                  <c:v>27080</c:v>
                </c:pt>
                <c:pt idx="1">
                  <c:v>23016</c:v>
                </c:pt>
                <c:pt idx="2">
                  <c:v>29777</c:v>
                </c:pt>
                <c:pt idx="3">
                  <c:v>50682</c:v>
                </c:pt>
                <c:pt idx="4">
                  <c:v>50344</c:v>
                </c:pt>
                <c:pt idx="5">
                  <c:v>44924</c:v>
                </c:pt>
                <c:pt idx="6">
                  <c:v>33042</c:v>
                </c:pt>
                <c:pt idx="7">
                  <c:v>45476</c:v>
                </c:pt>
                <c:pt idx="8">
                  <c:v>15692</c:v>
                </c:pt>
                <c:pt idx="9">
                  <c:v>9751</c:v>
                </c:pt>
                <c:pt idx="10">
                  <c:v>3939</c:v>
                </c:pt>
                <c:pt idx="11">
                  <c:v>12323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8FF-491D-B40E-1A5100E931C0}"/>
            </c:ext>
          </c:extLst>
        </c:ser>
        <c:ser>
          <c:idx val="1"/>
          <c:order val="1"/>
          <c:tx>
            <c:strRef>
              <c:f>GN!$E$4</c:f>
              <c:strCache>
                <c:ptCount val="1"/>
                <c:pt idx="0">
                  <c:v>Ton Mov
2020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8FF-491D-B40E-1A5100E931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GN!$E$5:$E$16</c:f>
              <c:numCache>
                <c:formatCode>0</c:formatCode>
                <c:ptCount val="12"/>
                <c:pt idx="0">
                  <c:v>39344</c:v>
                </c:pt>
                <c:pt idx="1">
                  <c:v>30364</c:v>
                </c:pt>
                <c:pt idx="2">
                  <c:v>16913</c:v>
                </c:pt>
                <c:pt idx="3" formatCode="#,##0">
                  <c:v>49992</c:v>
                </c:pt>
                <c:pt idx="4" formatCode="#,##0">
                  <c:v>25073</c:v>
                </c:pt>
                <c:pt idx="5" formatCode="#,##0">
                  <c:v>30744</c:v>
                </c:pt>
                <c:pt idx="6" formatCode="#,##0">
                  <c:v>48048</c:v>
                </c:pt>
                <c:pt idx="7" formatCode="#,##0">
                  <c:v>19802</c:v>
                </c:pt>
                <c:pt idx="8" formatCode="#,##0">
                  <c:v>19802</c:v>
                </c:pt>
                <c:pt idx="9" formatCode="#,##0">
                  <c:v>19737</c:v>
                </c:pt>
                <c:pt idx="10" formatCode="#,##0">
                  <c:v>4968</c:v>
                </c:pt>
                <c:pt idx="11">
                  <c:v>11201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8FF-491D-B40E-1A5100E9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6288"/>
        <c:axId val="243951104"/>
      </c:lineChart>
      <c:catAx>
        <c:axId val="21391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3951104"/>
        <c:crosses val="autoZero"/>
        <c:auto val="1"/>
        <c:lblAlgn val="ctr"/>
        <c:lblOffset val="100"/>
        <c:noMultiLvlLbl val="0"/>
      </c:catAx>
      <c:valAx>
        <c:axId val="24395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91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 Narrow" panose="020B0606020202030204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ESPECIALES  GENERADOS</a:t>
            </a:r>
          </a:p>
          <a:p>
            <a:pPr>
              <a:defRPr/>
            </a:pPr>
            <a:r>
              <a:rPr lang="en-US"/>
              <a:t>MARZO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'!$A$27:$A$31</c:f>
              <c:strCache>
                <c:ptCount val="5"/>
                <c:pt idx="0">
                  <c:v>RESIDUOS ESPECIALES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'!$B$27:$B$31</c:f>
              <c:strCache>
                <c:ptCount val="5"/>
                <c:pt idx="0">
                  <c:v>Balasto</c:v>
                </c:pt>
                <c:pt idx="1">
                  <c:v>Chatarra </c:v>
                </c:pt>
                <c:pt idx="2">
                  <c:v>Escombros </c:v>
                </c:pt>
                <c:pt idx="3">
                  <c:v>Lodos no Contaminados (gal)</c:v>
                </c:pt>
                <c:pt idx="4">
                  <c:v>Muebles de oficina </c:v>
                </c:pt>
              </c:strCache>
            </c:strRef>
          </c:cat>
          <c:val>
            <c:numRef>
              <c:f>'RESPEL '!$E$27:$E$31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2-4308-93EE-62DE03B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RESIDUOS POSCONSUMO GENERADOS</a:t>
            </a:r>
          </a:p>
          <a:p>
            <a:pPr>
              <a:defRPr/>
            </a:pPr>
            <a:r>
              <a:rPr lang="en-US"/>
              <a:t>MARZO 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'RESPEL '!$A$32:$A$36</c:f>
              <c:strCache>
                <c:ptCount val="5"/>
                <c:pt idx="0">
                  <c:v>RESIDUOS POSCONSUMO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'RESPEL '!$B$32:$B$36</c:f>
              <c:strCache>
                <c:ptCount val="5"/>
                <c:pt idx="0">
                  <c:v>RAEE´s (Chatarra electronica)</c:v>
                </c:pt>
                <c:pt idx="1">
                  <c:v>Lamparas </c:v>
                </c:pt>
                <c:pt idx="2">
                  <c:v>Bombillas </c:v>
                </c:pt>
                <c:pt idx="3">
                  <c:v>Toner</c:v>
                </c:pt>
                <c:pt idx="4">
                  <c:v>Pilas alcalinas </c:v>
                </c:pt>
              </c:strCache>
            </c:strRef>
          </c:cat>
          <c:val>
            <c:numRef>
              <c:f>'RESPEL '!$E$32:$E$36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905-8223-D96FD5C4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42480"/>
        <c:axId val="465141496"/>
        <c:axId val="0"/>
      </c:bar3DChart>
      <c:catAx>
        <c:axId val="465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1496"/>
        <c:crosses val="autoZero"/>
        <c:auto val="1"/>
        <c:lblAlgn val="ctr"/>
        <c:lblOffset val="100"/>
        <c:noMultiLvlLbl val="0"/>
      </c:catAx>
      <c:valAx>
        <c:axId val="465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5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275167</xdr:colOff>
      <xdr:row>0</xdr:row>
      <xdr:rowOff>42334</xdr:rowOff>
    </xdr:from>
    <xdr:to>
      <xdr:col>2</xdr:col>
      <xdr:colOff>286551</xdr:colOff>
      <xdr:row>1</xdr:row>
      <xdr:rowOff>433917</xdr:rowOff>
    </xdr:to>
    <xdr:pic>
      <xdr:nvPicPr>
        <xdr:cNvPr id="3" name="Picture 65" descr="LOGO TERLICA">
          <a:extLst>
            <a:ext uri="{FF2B5EF4-FFF2-40B4-BE49-F238E27FC236}">
              <a16:creationId xmlns:a16="http://schemas.microsoft.com/office/drawing/2014/main" id="{BDA79851-7AAA-4C53-96FB-4B647CA7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7" y="42334"/>
          <a:ext cx="2085717" cy="910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486834</xdr:colOff>
      <xdr:row>0</xdr:row>
      <xdr:rowOff>46860</xdr:rowOff>
    </xdr:from>
    <xdr:to>
      <xdr:col>2</xdr:col>
      <xdr:colOff>201084</xdr:colOff>
      <xdr:row>1</xdr:row>
      <xdr:rowOff>350942</xdr:rowOff>
    </xdr:to>
    <xdr:pic>
      <xdr:nvPicPr>
        <xdr:cNvPr id="4" name="Picture 65" descr="LOGO TERLICA">
          <a:extLst>
            <a:ext uri="{FF2B5EF4-FFF2-40B4-BE49-F238E27FC236}">
              <a16:creationId xmlns:a16="http://schemas.microsoft.com/office/drawing/2014/main" id="{1B4D136E-3D95-4A5A-BA7C-BFEBA5EA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4" y="46860"/>
          <a:ext cx="1471083" cy="64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88901</xdr:rowOff>
    </xdr:from>
    <xdr:to>
      <xdr:col>6</xdr:col>
      <xdr:colOff>539749</xdr:colOff>
      <xdr:row>17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72562-96AE-4568-BDB9-1FB949D1B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95249</xdr:colOff>
      <xdr:row>1</xdr:row>
      <xdr:rowOff>131235</xdr:rowOff>
    </xdr:from>
    <xdr:to>
      <xdr:col>13</xdr:col>
      <xdr:colOff>539749</xdr:colOff>
      <xdr:row>17</xdr:row>
      <xdr:rowOff>137583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ABE303-CF29-4D82-964B-C818B67F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61383</xdr:colOff>
      <xdr:row>18</xdr:row>
      <xdr:rowOff>24341</xdr:rowOff>
    </xdr:from>
    <xdr:to>
      <xdr:col>6</xdr:col>
      <xdr:colOff>685801</xdr:colOff>
      <xdr:row>34</xdr:row>
      <xdr:rowOff>109008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AA285D-B083-4E4E-92C2-3D3AD39C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486834</xdr:colOff>
      <xdr:row>0</xdr:row>
      <xdr:rowOff>46860</xdr:rowOff>
    </xdr:from>
    <xdr:to>
      <xdr:col>2</xdr:col>
      <xdr:colOff>201084</xdr:colOff>
      <xdr:row>1</xdr:row>
      <xdr:rowOff>350942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D47C728E-98AD-4A21-85CC-A2A20C1A2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4" y="46860"/>
          <a:ext cx="1466850" cy="646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12701</xdr:rowOff>
    </xdr:from>
    <xdr:to>
      <xdr:col>6</xdr:col>
      <xdr:colOff>577849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8D40D-1967-4E96-BBBA-9315843F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</xdr:row>
      <xdr:rowOff>26459</xdr:rowOff>
    </xdr:from>
    <xdr:to>
      <xdr:col>13</xdr:col>
      <xdr:colOff>619125</xdr:colOff>
      <xdr:row>17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F278F6-463D-4F1D-A874-DAA61F54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18</xdr:row>
      <xdr:rowOff>19050</xdr:rowOff>
    </xdr:from>
    <xdr:to>
      <xdr:col>6</xdr:col>
      <xdr:colOff>666750</xdr:colOff>
      <xdr:row>34</xdr:row>
      <xdr:rowOff>123825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40529066-ADD8-4002-B563-AF8F9BC7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72706</xdr:colOff>
      <xdr:row>0</xdr:row>
      <xdr:rowOff>132521</xdr:rowOff>
    </xdr:from>
    <xdr:to>
      <xdr:col>0</xdr:col>
      <xdr:colOff>949942</xdr:colOff>
      <xdr:row>1</xdr:row>
      <xdr:rowOff>298174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34491497-CB01-4701-902E-D48E33EDB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6" y="132521"/>
          <a:ext cx="877236" cy="50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315164</xdr:colOff>
      <xdr:row>14</xdr:row>
      <xdr:rowOff>19750</xdr:rowOff>
    </xdr:from>
    <xdr:ext cx="1565681" cy="365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4326870" y="7135485"/>
              <a:ext cx="1565681" cy="36516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CO" sz="1050" b="1" i="1">
                      <a:latin typeface="Cambria Math"/>
                    </a:rPr>
                    <m:t>𝑰𝑮𝑨</m:t>
                  </m:r>
                  <m:d>
                    <m:d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050" b="0" i="1">
                          <a:latin typeface="Cambria Math"/>
                        </a:rPr>
                        <m:t>%</m:t>
                      </m:r>
                    </m:e>
                  </m:d>
                  <m:r>
                    <a:rPr lang="es-CO" sz="105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m:rPr>
                          <m:nor/>
                        </m:rPr>
                        <a:rPr lang="es-CO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O" sz="105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s-CO" sz="1050">
                          <a:effectLst/>
                        </a:rPr>
                        <m:t> </m:t>
                      </m:r>
                    </m:num>
                    <m:den>
                      <m:r>
                        <a:rPr lang="es-CO" sz="1050" b="0" i="1">
                          <a:latin typeface="Cambria Math"/>
                        </a:rPr>
                        <m:t>𝑛</m:t>
                      </m:r>
                      <m:r>
                        <a:rPr lang="es-CO" sz="105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s-CO" sz="1050" b="0" i="1">
                      <a:latin typeface="Cambria Math"/>
                    </a:rPr>
                    <m:t>100</m:t>
                  </m:r>
                </m:oMath>
              </a14:m>
              <a:r>
                <a:rPr lang="es-CO" sz="1100"/>
                <a:t> </a:t>
              </a:r>
            </a:p>
          </xdr:txBody>
        </xdr:sp>
      </mc:Choice>
      <mc:Fallback xmlns="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4326870" y="7135485"/>
              <a:ext cx="1565681" cy="36516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es-CO" sz="1050" b="1" i="0">
                  <a:latin typeface="Cambria Math"/>
                </a:rPr>
                <a:t>𝑰𝑮𝑨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/>
                </a:rPr>
                <a:t>%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=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O" sz="1050" i="0">
                  <a:effectLst/>
                </a:rPr>
                <a:t> </a:t>
              </a:r>
              <a:r>
                <a:rPr lang="es-CO" sz="105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s-CO" sz="1050" b="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es-CO" sz="1050" b="0" i="0">
                  <a:latin typeface="Cambria Math"/>
                </a:rPr>
                <a:t>𝑛 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 100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352986</xdr:colOff>
      <xdr:row>3</xdr:row>
      <xdr:rowOff>47905</xdr:rowOff>
    </xdr:from>
    <xdr:ext cx="1565681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4364692" y="1459846"/>
              <a:ext cx="1565681" cy="3048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CO" sz="1050" b="1" i="1">
                      <a:latin typeface="Cambria Math"/>
                    </a:rPr>
                    <m:t>𝑰𝑪𝑨</m:t>
                  </m:r>
                  <m:d>
                    <m:d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050" b="0" i="1">
                          <a:latin typeface="Cambria Math"/>
                        </a:rPr>
                        <m:t>%</m:t>
                      </m:r>
                    </m:e>
                  </m:d>
                  <m:r>
                    <a:rPr lang="es-CO" sz="1050" b="0" i="1">
                      <a:latin typeface="Cambria Math"/>
                    </a:rPr>
                    <m:t>=</m:t>
                  </m:r>
                  <m:f>
                    <m:fPr>
                      <m:ctrlPr>
                        <a:rPr lang="es-CO" sz="105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m:rPr>
                          <m:nor/>
                        </m:rPr>
                        <a:rPr lang="es-CO" sz="1050" b="0" i="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s-CO" sz="105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CO" sz="105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es-CO" sz="1050">
                          <a:solidFill>
                            <a:schemeClr val="tx1"/>
                          </a:solidFill>
                          <a:effectLst/>
                          <a:latin typeface="Arial Narrow" panose="020B0606020202030204" pitchFamily="34" charset="0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es-CO" sz="1050">
                          <a:effectLst/>
                          <a:latin typeface="Arial Narrow" panose="020B0606020202030204" pitchFamily="34" charset="0"/>
                        </a:rPr>
                        <m:t> </m:t>
                      </m:r>
                    </m:num>
                    <m:den>
                      <m:r>
                        <a:rPr lang="es-CO" sz="1050" b="0" i="1">
                          <a:latin typeface="Cambria Math"/>
                        </a:rPr>
                        <m:t>𝑛</m:t>
                      </m:r>
                      <m:r>
                        <a:rPr lang="es-CO" sz="1050" b="0" i="1">
                          <a:latin typeface="Cambria Math"/>
                        </a:rPr>
                        <m:t> </m:t>
                      </m:r>
                    </m:den>
                  </m:f>
                  <m:r>
                    <a:rPr lang="es-CO" sz="105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CO" sz="1050" b="0" i="1">
                      <a:latin typeface="Cambria Math" panose="02040503050406030204" pitchFamily="18" charset="0"/>
                    </a:rPr>
                    <m:t> 100</m:t>
                  </m:r>
                </m:oMath>
              </a14:m>
              <a:r>
                <a:rPr lang="es-CO" sz="1050">
                  <a:latin typeface="Arial Narrow" panose="020B0606020202030204" pitchFamily="34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4364692" y="1459846"/>
              <a:ext cx="1565681" cy="3048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CO" sz="1050" b="1" i="0">
                  <a:latin typeface="Cambria Math"/>
                </a:rPr>
                <a:t>𝑰𝑪𝑨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/>
                </a:rPr>
                <a:t>%</a:t>
              </a:r>
              <a:r>
                <a:rPr lang="es-CO" sz="1050" b="0" i="0">
                  <a:latin typeface="Cambria Math" panose="02040503050406030204" pitchFamily="18" charset="0"/>
                </a:rPr>
                <a:t>)</a:t>
              </a:r>
              <a:r>
                <a:rPr lang="es-CO" sz="1050" b="0" i="0">
                  <a:latin typeface="Cambria Math"/>
                </a:rPr>
                <a:t>=</a:t>
              </a:r>
              <a:r>
                <a:rPr lang="es-CO" sz="1050" b="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Ʃ"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 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(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 "</a:t>
              </a:r>
              <a:r>
                <a:rPr lang="es-CO" sz="1050" i="0">
                  <a:solidFill>
                    <a:schemeClr val="tx1"/>
                  </a:solidFill>
                  <a:effectLst/>
                  <a:latin typeface="Arial Narrow" panose="020B0606020202030204" pitchFamily="34" charset="0"/>
                  <a:ea typeface="+mn-ea"/>
                  <a:cs typeface="+mn-cs"/>
                </a:rPr>
                <a:t>)</a:t>
              </a:r>
              <a:r>
                <a:rPr lang="es-CO" sz="1050" i="0">
                  <a:effectLst/>
                  <a:latin typeface="Arial Narrow" panose="020B0606020202030204" pitchFamily="34" charset="0"/>
                </a:rPr>
                <a:t> </a:t>
              </a:r>
              <a:r>
                <a:rPr lang="es-CO" sz="105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s-CO" sz="1050" b="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es-CO" sz="1050" b="0" i="0">
                  <a:latin typeface="Cambria Math"/>
                </a:rPr>
                <a:t>𝑛 </a:t>
              </a:r>
              <a:r>
                <a:rPr lang="es-CO" sz="1050" b="0" i="0">
                  <a:latin typeface="Cambria Math" panose="02040503050406030204" pitchFamily="18" charset="0"/>
                </a:rPr>
                <a:t>) 𝑥 </a:t>
              </a:r>
              <a:r>
                <a:rPr lang="es-CO" sz="1050" b="0" i="0">
                  <a:latin typeface="Cambria Math"/>
                </a:rPr>
                <a:t>100</a:t>
              </a:r>
              <a:r>
                <a:rPr lang="es-CO" sz="1050">
                  <a:latin typeface="Arial Narrow" panose="020B0606020202030204" pitchFamily="34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63501</xdr:colOff>
      <xdr:row>0</xdr:row>
      <xdr:rowOff>58208</xdr:rowOff>
    </xdr:from>
    <xdr:to>
      <xdr:col>3</xdr:col>
      <xdr:colOff>687917</xdr:colOff>
      <xdr:row>1</xdr:row>
      <xdr:rowOff>274279</xdr:rowOff>
    </xdr:to>
    <xdr:pic>
      <xdr:nvPicPr>
        <xdr:cNvPr id="5" name="Picture 65" descr="LOGO TERLIC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8" y="89958"/>
          <a:ext cx="1534582" cy="533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</xdr:row>
      <xdr:rowOff>116416</xdr:rowOff>
    </xdr:from>
    <xdr:to>
      <xdr:col>3</xdr:col>
      <xdr:colOff>613833</xdr:colOff>
      <xdr:row>1</xdr:row>
      <xdr:rowOff>760085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D4DD2054-5D95-4643-8858-72585980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67" y="550333"/>
          <a:ext cx="2053166" cy="643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38099</xdr:rowOff>
    </xdr:from>
    <xdr:to>
      <xdr:col>5</xdr:col>
      <xdr:colOff>647700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2227D-5861-4025-B8F9-31D2E789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28575</xdr:rowOff>
    </xdr:from>
    <xdr:to>
      <xdr:col>11</xdr:col>
      <xdr:colOff>695325</xdr:colOff>
      <xdr:row>15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422C6-5906-46BC-AEE5-716B0CAE1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1</xdr:row>
      <xdr:rowOff>9525</xdr:rowOff>
    </xdr:from>
    <xdr:to>
      <xdr:col>17</xdr:col>
      <xdr:colOff>676275</xdr:colOff>
      <xdr:row>15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A2F9-C3C0-4F3D-A937-1C42B198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16</xdr:row>
      <xdr:rowOff>38099</xdr:rowOff>
    </xdr:from>
    <xdr:to>
      <xdr:col>5</xdr:col>
      <xdr:colOff>647700</xdr:colOff>
      <xdr:row>30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99C178-50A8-40CA-8010-FE818C6C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16</xdr:row>
      <xdr:rowOff>28575</xdr:rowOff>
    </xdr:from>
    <xdr:to>
      <xdr:col>11</xdr:col>
      <xdr:colOff>695325</xdr:colOff>
      <xdr:row>30</xdr:row>
      <xdr:rowOff>142876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11C6CE-EEFD-4B58-8A89-A91875CC0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16</xdr:row>
      <xdr:rowOff>9525</xdr:rowOff>
    </xdr:from>
    <xdr:to>
      <xdr:col>17</xdr:col>
      <xdr:colOff>676275</xdr:colOff>
      <xdr:row>30</xdr:row>
      <xdr:rowOff>123826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3F7B2F4-3135-4290-9DFF-86B9E929D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31</xdr:row>
      <xdr:rowOff>38099</xdr:rowOff>
    </xdr:from>
    <xdr:to>
      <xdr:col>5</xdr:col>
      <xdr:colOff>647700</xdr:colOff>
      <xdr:row>45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268783D-60D4-468F-966C-45D87F293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31</xdr:row>
      <xdr:rowOff>28575</xdr:rowOff>
    </xdr:from>
    <xdr:to>
      <xdr:col>11</xdr:col>
      <xdr:colOff>695325</xdr:colOff>
      <xdr:row>45</xdr:row>
      <xdr:rowOff>142876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6E3BBF-4AF4-4FE2-9DD3-A9E791EEF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47625</xdr:colOff>
      <xdr:row>31</xdr:row>
      <xdr:rowOff>9525</xdr:rowOff>
    </xdr:from>
    <xdr:to>
      <xdr:col>17</xdr:col>
      <xdr:colOff>676275</xdr:colOff>
      <xdr:row>45</xdr:row>
      <xdr:rowOff>123826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21D7119-D018-42AB-909A-C48C7CD5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46</xdr:row>
      <xdr:rowOff>38099</xdr:rowOff>
    </xdr:from>
    <xdr:to>
      <xdr:col>5</xdr:col>
      <xdr:colOff>647700</xdr:colOff>
      <xdr:row>60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58F4D4D-0B03-4DDB-B76C-0FC6A142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</xdr:colOff>
      <xdr:row>46</xdr:row>
      <xdr:rowOff>28575</xdr:rowOff>
    </xdr:from>
    <xdr:to>
      <xdr:col>11</xdr:col>
      <xdr:colOff>695325</xdr:colOff>
      <xdr:row>60</xdr:row>
      <xdr:rowOff>142876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40F9ADE-3797-4D32-A84D-51834918D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47625</xdr:colOff>
      <xdr:row>46</xdr:row>
      <xdr:rowOff>9525</xdr:rowOff>
    </xdr:from>
    <xdr:to>
      <xdr:col>17</xdr:col>
      <xdr:colOff>676275</xdr:colOff>
      <xdr:row>60</xdr:row>
      <xdr:rowOff>123826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D04D28-0BED-4BE2-A995-2ECCCAA9A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61</xdr:row>
      <xdr:rowOff>38099</xdr:rowOff>
    </xdr:from>
    <xdr:to>
      <xdr:col>5</xdr:col>
      <xdr:colOff>647700</xdr:colOff>
      <xdr:row>75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30DCF64-E6D5-4511-AEAE-42E62878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61</xdr:row>
      <xdr:rowOff>28575</xdr:rowOff>
    </xdr:from>
    <xdr:to>
      <xdr:col>11</xdr:col>
      <xdr:colOff>695325</xdr:colOff>
      <xdr:row>75</xdr:row>
      <xdr:rowOff>142876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ED6BE99-31A5-4646-91F1-4BCF55ED1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47625</xdr:colOff>
      <xdr:row>61</xdr:row>
      <xdr:rowOff>9525</xdr:rowOff>
    </xdr:from>
    <xdr:to>
      <xdr:col>17</xdr:col>
      <xdr:colOff>676275</xdr:colOff>
      <xdr:row>75</xdr:row>
      <xdr:rowOff>123826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CF416BF-F8E7-46C5-9230-C40F4E9B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76</xdr:row>
      <xdr:rowOff>38099</xdr:rowOff>
    </xdr:from>
    <xdr:to>
      <xdr:col>5</xdr:col>
      <xdr:colOff>647700</xdr:colOff>
      <xdr:row>90</xdr:row>
      <xdr:rowOff>152400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B12B300-29FC-4FF8-A959-BC3EC78E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66675</xdr:colOff>
      <xdr:row>76</xdr:row>
      <xdr:rowOff>28575</xdr:rowOff>
    </xdr:from>
    <xdr:to>
      <xdr:col>11</xdr:col>
      <xdr:colOff>695325</xdr:colOff>
      <xdr:row>90</xdr:row>
      <xdr:rowOff>142876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F9FA4B6-EAA7-4FB1-AE16-9E350A0E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47625</xdr:colOff>
      <xdr:row>76</xdr:row>
      <xdr:rowOff>9525</xdr:rowOff>
    </xdr:from>
    <xdr:to>
      <xdr:col>17</xdr:col>
      <xdr:colOff>676275</xdr:colOff>
      <xdr:row>90</xdr:row>
      <xdr:rowOff>123826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3B44980-A659-42D3-8A63-8C119874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91</xdr:row>
      <xdr:rowOff>38099</xdr:rowOff>
    </xdr:from>
    <xdr:to>
      <xdr:col>5</xdr:col>
      <xdr:colOff>647700</xdr:colOff>
      <xdr:row>105</xdr:row>
      <xdr:rowOff>152400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7CC2BD-06E9-458C-9AF5-B4F686ED1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66675</xdr:colOff>
      <xdr:row>91</xdr:row>
      <xdr:rowOff>28575</xdr:rowOff>
    </xdr:from>
    <xdr:to>
      <xdr:col>11</xdr:col>
      <xdr:colOff>695325</xdr:colOff>
      <xdr:row>105</xdr:row>
      <xdr:rowOff>142876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83E7185-ACED-45A6-A649-7CC85447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91</xdr:row>
      <xdr:rowOff>9525</xdr:rowOff>
    </xdr:from>
    <xdr:to>
      <xdr:col>17</xdr:col>
      <xdr:colOff>676275</xdr:colOff>
      <xdr:row>105</xdr:row>
      <xdr:rowOff>123826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42E1619-0733-4DDD-90A3-D043978D2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106</xdr:row>
      <xdr:rowOff>38099</xdr:rowOff>
    </xdr:from>
    <xdr:to>
      <xdr:col>5</xdr:col>
      <xdr:colOff>628650</xdr:colOff>
      <xdr:row>120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7645368-610F-4332-BC4A-B5148D53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66675</xdr:colOff>
      <xdr:row>106</xdr:row>
      <xdr:rowOff>28575</xdr:rowOff>
    </xdr:from>
    <xdr:to>
      <xdr:col>11</xdr:col>
      <xdr:colOff>695325</xdr:colOff>
      <xdr:row>120</xdr:row>
      <xdr:rowOff>142876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1DF034E-3D6C-4BEC-9DCA-91D04A13E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47625</xdr:colOff>
      <xdr:row>106</xdr:row>
      <xdr:rowOff>9525</xdr:rowOff>
    </xdr:from>
    <xdr:to>
      <xdr:col>17</xdr:col>
      <xdr:colOff>676275</xdr:colOff>
      <xdr:row>120</xdr:row>
      <xdr:rowOff>123826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EEFF948-7100-4AFD-B3FF-E4A9F5216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121</xdr:row>
      <xdr:rowOff>38099</xdr:rowOff>
    </xdr:from>
    <xdr:to>
      <xdr:col>5</xdr:col>
      <xdr:colOff>647700</xdr:colOff>
      <xdr:row>135</xdr:row>
      <xdr:rowOff>152400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5FCB72D-38C7-4BEE-82F8-E3B4BB49F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66675</xdr:colOff>
      <xdr:row>121</xdr:row>
      <xdr:rowOff>28575</xdr:rowOff>
    </xdr:from>
    <xdr:to>
      <xdr:col>11</xdr:col>
      <xdr:colOff>695325</xdr:colOff>
      <xdr:row>135</xdr:row>
      <xdr:rowOff>142876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B5EA95F5-B411-4AB6-97AE-9776E813E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47625</xdr:colOff>
      <xdr:row>121</xdr:row>
      <xdr:rowOff>9525</xdr:rowOff>
    </xdr:from>
    <xdr:to>
      <xdr:col>17</xdr:col>
      <xdr:colOff>676275</xdr:colOff>
      <xdr:row>135</xdr:row>
      <xdr:rowOff>123826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65C460C7-BA20-4FC0-868C-B34653DB4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136</xdr:row>
      <xdr:rowOff>38099</xdr:rowOff>
    </xdr:from>
    <xdr:to>
      <xdr:col>5</xdr:col>
      <xdr:colOff>647700</xdr:colOff>
      <xdr:row>150</xdr:row>
      <xdr:rowOff>152400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B8279F6E-AFF9-4173-B323-3E0B8DA3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66675</xdr:colOff>
      <xdr:row>136</xdr:row>
      <xdr:rowOff>28575</xdr:rowOff>
    </xdr:from>
    <xdr:to>
      <xdr:col>11</xdr:col>
      <xdr:colOff>695325</xdr:colOff>
      <xdr:row>150</xdr:row>
      <xdr:rowOff>142876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FCA2122-A530-44B0-BA8D-AE37E02D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47625</xdr:colOff>
      <xdr:row>136</xdr:row>
      <xdr:rowOff>9525</xdr:rowOff>
    </xdr:from>
    <xdr:to>
      <xdr:col>17</xdr:col>
      <xdr:colOff>676275</xdr:colOff>
      <xdr:row>150</xdr:row>
      <xdr:rowOff>123826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6DB0E9C-440F-4657-9A8E-07B2E0DF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151</xdr:row>
      <xdr:rowOff>38099</xdr:rowOff>
    </xdr:from>
    <xdr:to>
      <xdr:col>5</xdr:col>
      <xdr:colOff>647700</xdr:colOff>
      <xdr:row>165</xdr:row>
      <xdr:rowOff>152400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E7E312F-B410-4266-B2DF-A12C95C5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66675</xdr:colOff>
      <xdr:row>151</xdr:row>
      <xdr:rowOff>28575</xdr:rowOff>
    </xdr:from>
    <xdr:to>
      <xdr:col>11</xdr:col>
      <xdr:colOff>695325</xdr:colOff>
      <xdr:row>165</xdr:row>
      <xdr:rowOff>142876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1DDEB3B8-9A0A-4A2F-8B9E-505D8C33F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47625</xdr:colOff>
      <xdr:row>151</xdr:row>
      <xdr:rowOff>9525</xdr:rowOff>
    </xdr:from>
    <xdr:to>
      <xdr:col>17</xdr:col>
      <xdr:colOff>676275</xdr:colOff>
      <xdr:row>165</xdr:row>
      <xdr:rowOff>123826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C38F513-B9E9-4300-B8EB-7AE2383E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19050</xdr:colOff>
      <xdr:row>166</xdr:row>
      <xdr:rowOff>38099</xdr:rowOff>
    </xdr:from>
    <xdr:to>
      <xdr:col>5</xdr:col>
      <xdr:colOff>647700</xdr:colOff>
      <xdr:row>180</xdr:row>
      <xdr:rowOff>152400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7506DE5-3533-4348-BF3E-A6F93ADBC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66675</xdr:colOff>
      <xdr:row>166</xdr:row>
      <xdr:rowOff>28575</xdr:rowOff>
    </xdr:from>
    <xdr:to>
      <xdr:col>11</xdr:col>
      <xdr:colOff>695325</xdr:colOff>
      <xdr:row>180</xdr:row>
      <xdr:rowOff>142876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01E4035-4D89-4FAB-985C-63ACB5E88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47625</xdr:colOff>
      <xdr:row>166</xdr:row>
      <xdr:rowOff>9525</xdr:rowOff>
    </xdr:from>
    <xdr:to>
      <xdr:col>17</xdr:col>
      <xdr:colOff>676275</xdr:colOff>
      <xdr:row>180</xdr:row>
      <xdr:rowOff>123826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A0B4469C-35BA-4E93-B72A-3358BD66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49305</xdr:rowOff>
    </xdr:from>
    <xdr:to>
      <xdr:col>5</xdr:col>
      <xdr:colOff>628650</xdr:colOff>
      <xdr:row>15</xdr:row>
      <xdr:rowOff>163606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A5A1D2-9029-4E2C-9ADB-C99A2D189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22412</xdr:colOff>
      <xdr:row>1</xdr:row>
      <xdr:rowOff>56032</xdr:rowOff>
    </xdr:from>
    <xdr:to>
      <xdr:col>11</xdr:col>
      <xdr:colOff>718298</xdr:colOff>
      <xdr:row>15</xdr:row>
      <xdr:rowOff>131886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3CDCC239-9A85-489F-8744-4C7AAC77B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33618</xdr:colOff>
      <xdr:row>1</xdr:row>
      <xdr:rowOff>11206</xdr:rowOff>
    </xdr:from>
    <xdr:to>
      <xdr:col>17</xdr:col>
      <xdr:colOff>662268</xdr:colOff>
      <xdr:row>15</xdr:row>
      <xdr:rowOff>125507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C262660-2F76-4545-844C-3B804B44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16</xdr:row>
      <xdr:rowOff>0</xdr:rowOff>
    </xdr:from>
    <xdr:to>
      <xdr:col>5</xdr:col>
      <xdr:colOff>684679</xdr:colOff>
      <xdr:row>30</xdr:row>
      <xdr:rowOff>114301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714A2593-1427-46AC-8E3F-C7F79C806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58874</xdr:colOff>
      <xdr:row>16</xdr:row>
      <xdr:rowOff>34136</xdr:rowOff>
    </xdr:from>
    <xdr:to>
      <xdr:col>11</xdr:col>
      <xdr:colOff>687524</xdr:colOff>
      <xdr:row>30</xdr:row>
      <xdr:rowOff>148437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80F7F28-A271-404A-8F2F-1147FE45A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16</xdr:row>
      <xdr:rowOff>47625</xdr:rowOff>
    </xdr:from>
    <xdr:to>
      <xdr:col>17</xdr:col>
      <xdr:colOff>676275</xdr:colOff>
      <xdr:row>30</xdr:row>
      <xdr:rowOff>161926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26BD1973-803F-4362-A77F-0AAC31A08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477306</xdr:colOff>
      <xdr:row>0</xdr:row>
      <xdr:rowOff>104775</xdr:rowOff>
    </xdr:from>
    <xdr:to>
      <xdr:col>2</xdr:col>
      <xdr:colOff>419100</xdr:colOff>
      <xdr:row>1</xdr:row>
      <xdr:rowOff>303317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2F211F5F-BFC2-4536-886F-5484A6A5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306" y="104775"/>
          <a:ext cx="1160994" cy="57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1</xdr:row>
      <xdr:rowOff>15687</xdr:rowOff>
    </xdr:from>
    <xdr:to>
      <xdr:col>5</xdr:col>
      <xdr:colOff>742949</xdr:colOff>
      <xdr:row>15</xdr:row>
      <xdr:rowOff>129988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B56668-138B-41B6-8BF8-99B2E73CC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</xdr:colOff>
      <xdr:row>1</xdr:row>
      <xdr:rowOff>56030</xdr:rowOff>
    </xdr:from>
    <xdr:to>
      <xdr:col>11</xdr:col>
      <xdr:colOff>684679</xdr:colOff>
      <xdr:row>15</xdr:row>
      <xdr:rowOff>170331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BF6ABA1-1F02-4F4E-9037-F02A1FB4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44824</xdr:colOff>
      <xdr:row>1</xdr:row>
      <xdr:rowOff>33618</xdr:rowOff>
    </xdr:from>
    <xdr:to>
      <xdr:col>17</xdr:col>
      <xdr:colOff>673474</xdr:colOff>
      <xdr:row>15</xdr:row>
      <xdr:rowOff>147919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AB3FC8C2-6289-44FF-B009-47CB3BCC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56029</xdr:rowOff>
    </xdr:from>
    <xdr:to>
      <xdr:col>5</xdr:col>
      <xdr:colOff>720538</xdr:colOff>
      <xdr:row>30</xdr:row>
      <xdr:rowOff>170330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CCBD6B5B-2DD8-481E-BD51-B95A7B9AF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50426</xdr:colOff>
      <xdr:row>122</xdr:row>
      <xdr:rowOff>40341</xdr:rowOff>
    </xdr:from>
    <xdr:to>
      <xdr:col>5</xdr:col>
      <xdr:colOff>694765</xdr:colOff>
      <xdr:row>136</xdr:row>
      <xdr:rowOff>116541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347AF9F7-2CE8-4373-85B8-F4AA057F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720538</xdr:colOff>
      <xdr:row>30</xdr:row>
      <xdr:rowOff>114301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8F565238-ED43-47AE-B2C9-0A1BE71C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11206</xdr:colOff>
      <xdr:row>16</xdr:row>
      <xdr:rowOff>33618</xdr:rowOff>
    </xdr:from>
    <xdr:to>
      <xdr:col>17</xdr:col>
      <xdr:colOff>731744</xdr:colOff>
      <xdr:row>30</xdr:row>
      <xdr:rowOff>147919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41850A7F-4FBF-4A4B-A8EB-D66B8EF35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31</xdr:row>
      <xdr:rowOff>33618</xdr:rowOff>
    </xdr:from>
    <xdr:to>
      <xdr:col>5</xdr:col>
      <xdr:colOff>731744</xdr:colOff>
      <xdr:row>45</xdr:row>
      <xdr:rowOff>147919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FA22817A-2906-417D-BD71-F313FEC2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11205</xdr:colOff>
      <xdr:row>31</xdr:row>
      <xdr:rowOff>22411</xdr:rowOff>
    </xdr:from>
    <xdr:to>
      <xdr:col>11</xdr:col>
      <xdr:colOff>683559</xdr:colOff>
      <xdr:row>45</xdr:row>
      <xdr:rowOff>13447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FD78FA3E-CBA1-431F-AF72-6E7F8C708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33618</xdr:colOff>
      <xdr:row>31</xdr:row>
      <xdr:rowOff>44823</xdr:rowOff>
    </xdr:from>
    <xdr:to>
      <xdr:col>17</xdr:col>
      <xdr:colOff>705972</xdr:colOff>
      <xdr:row>45</xdr:row>
      <xdr:rowOff>134471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BC4C1051-F0B6-4D46-BD3D-C51647440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78442</xdr:colOff>
      <xdr:row>46</xdr:row>
      <xdr:rowOff>44823</xdr:rowOff>
    </xdr:from>
    <xdr:to>
      <xdr:col>5</xdr:col>
      <xdr:colOff>739589</xdr:colOff>
      <xdr:row>60</xdr:row>
      <xdr:rowOff>159124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49423A64-0F74-4352-82B9-82417C7A0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33618</xdr:colOff>
      <xdr:row>46</xdr:row>
      <xdr:rowOff>67234</xdr:rowOff>
    </xdr:from>
    <xdr:to>
      <xdr:col>11</xdr:col>
      <xdr:colOff>672353</xdr:colOff>
      <xdr:row>60</xdr:row>
      <xdr:rowOff>80682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2580E8BD-A7F3-4882-92A2-429EDFE5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22412</xdr:colOff>
      <xdr:row>46</xdr:row>
      <xdr:rowOff>33618</xdr:rowOff>
    </xdr:from>
    <xdr:to>
      <xdr:col>17</xdr:col>
      <xdr:colOff>742950</xdr:colOff>
      <xdr:row>60</xdr:row>
      <xdr:rowOff>147919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8EC33D69-646A-4D80-B927-28B5C7FB3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56029</xdr:colOff>
      <xdr:row>61</xdr:row>
      <xdr:rowOff>56028</xdr:rowOff>
    </xdr:from>
    <xdr:to>
      <xdr:col>5</xdr:col>
      <xdr:colOff>661147</xdr:colOff>
      <xdr:row>75</xdr:row>
      <xdr:rowOff>134471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887C47D1-8842-4234-BCAC-B655F40C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78441</xdr:colOff>
      <xdr:row>61</xdr:row>
      <xdr:rowOff>44822</xdr:rowOff>
    </xdr:from>
    <xdr:to>
      <xdr:col>11</xdr:col>
      <xdr:colOff>705971</xdr:colOff>
      <xdr:row>75</xdr:row>
      <xdr:rowOff>134471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2EE429B5-AF91-46D5-9592-E32C53DB4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56029</xdr:colOff>
      <xdr:row>61</xdr:row>
      <xdr:rowOff>33617</xdr:rowOff>
    </xdr:from>
    <xdr:to>
      <xdr:col>17</xdr:col>
      <xdr:colOff>705970</xdr:colOff>
      <xdr:row>75</xdr:row>
      <xdr:rowOff>100853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E1F2AF5D-1980-4EED-A6C5-4934D92A3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33618</xdr:colOff>
      <xdr:row>91</xdr:row>
      <xdr:rowOff>56030</xdr:rowOff>
    </xdr:from>
    <xdr:to>
      <xdr:col>5</xdr:col>
      <xdr:colOff>705972</xdr:colOff>
      <xdr:row>105</xdr:row>
      <xdr:rowOff>145678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EACE35D8-D705-4EDB-A6B2-C814DE4B5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78441</xdr:colOff>
      <xdr:row>91</xdr:row>
      <xdr:rowOff>44824</xdr:rowOff>
    </xdr:from>
    <xdr:to>
      <xdr:col>11</xdr:col>
      <xdr:colOff>750795</xdr:colOff>
      <xdr:row>105</xdr:row>
      <xdr:rowOff>134472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63A36BB8-3AA8-456B-B880-98261F8E7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17</xdr:col>
      <xdr:colOff>672354</xdr:colOff>
      <xdr:row>105</xdr:row>
      <xdr:rowOff>89648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1389FA51-845D-43D4-A908-704BAE4E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56030</xdr:colOff>
      <xdr:row>76</xdr:row>
      <xdr:rowOff>56029</xdr:rowOff>
    </xdr:from>
    <xdr:to>
      <xdr:col>5</xdr:col>
      <xdr:colOff>649942</xdr:colOff>
      <xdr:row>90</xdr:row>
      <xdr:rowOff>125506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7532BD43-D5D8-4EE3-9700-F9529102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89647</xdr:colOff>
      <xdr:row>76</xdr:row>
      <xdr:rowOff>134469</xdr:rowOff>
    </xdr:from>
    <xdr:to>
      <xdr:col>11</xdr:col>
      <xdr:colOff>742950</xdr:colOff>
      <xdr:row>90</xdr:row>
      <xdr:rowOff>147917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3F3ABFD2-1416-4F9D-A1B9-FCEC9196E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56030</xdr:colOff>
      <xdr:row>76</xdr:row>
      <xdr:rowOff>78441</xdr:rowOff>
    </xdr:from>
    <xdr:to>
      <xdr:col>17</xdr:col>
      <xdr:colOff>642096</xdr:colOff>
      <xdr:row>90</xdr:row>
      <xdr:rowOff>80682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7A7C50F8-42D0-4D0E-B83A-D729BFDB5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11206</xdr:colOff>
      <xdr:row>106</xdr:row>
      <xdr:rowOff>11205</xdr:rowOff>
    </xdr:from>
    <xdr:to>
      <xdr:col>5</xdr:col>
      <xdr:colOff>731744</xdr:colOff>
      <xdr:row>120</xdr:row>
      <xdr:rowOff>125506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AE74DC6F-D481-45E9-AEE6-FC7CE0730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44823</xdr:colOff>
      <xdr:row>106</xdr:row>
      <xdr:rowOff>0</xdr:rowOff>
    </xdr:from>
    <xdr:to>
      <xdr:col>12</xdr:col>
      <xdr:colOff>3361</xdr:colOff>
      <xdr:row>120</xdr:row>
      <xdr:rowOff>114301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05B2D732-2250-4E00-9576-99BE5167B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33618</xdr:colOff>
      <xdr:row>106</xdr:row>
      <xdr:rowOff>0</xdr:rowOff>
    </xdr:from>
    <xdr:to>
      <xdr:col>17</xdr:col>
      <xdr:colOff>754156</xdr:colOff>
      <xdr:row>120</xdr:row>
      <xdr:rowOff>114301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8383D0B1-99FE-4E50-9B95-DE96AA7E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44824</xdr:colOff>
      <xdr:row>122</xdr:row>
      <xdr:rowOff>33618</xdr:rowOff>
    </xdr:from>
    <xdr:to>
      <xdr:col>11</xdr:col>
      <xdr:colOff>689163</xdr:colOff>
      <xdr:row>136</xdr:row>
      <xdr:rowOff>109818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7C97861-662F-4C94-AD1B-EC5407E75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82826</xdr:rowOff>
    </xdr:from>
    <xdr:to>
      <xdr:col>2</xdr:col>
      <xdr:colOff>256761</xdr:colOff>
      <xdr:row>1</xdr:row>
      <xdr:rowOff>321946</xdr:rowOff>
    </xdr:to>
    <xdr:pic>
      <xdr:nvPicPr>
        <xdr:cNvPr id="3" name="Picture 65" descr="LOGO TERLICA">
          <a:extLst>
            <a:ext uri="{FF2B5EF4-FFF2-40B4-BE49-F238E27FC236}">
              <a16:creationId xmlns:a16="http://schemas.microsoft.com/office/drawing/2014/main" id="{F94ECA4D-15A5-44AA-AA13-637FC9FB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05" y="82826"/>
          <a:ext cx="1615108" cy="785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</xdr:row>
      <xdr:rowOff>44824</xdr:rowOff>
    </xdr:from>
    <xdr:to>
      <xdr:col>6</xdr:col>
      <xdr:colOff>694766</xdr:colOff>
      <xdr:row>17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78EB74-96C5-4B4D-9BEA-E0B1882F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22411</xdr:colOff>
      <xdr:row>1</xdr:row>
      <xdr:rowOff>56029</xdr:rowOff>
    </xdr:from>
    <xdr:to>
      <xdr:col>13</xdr:col>
      <xdr:colOff>694764</xdr:colOff>
      <xdr:row>17</xdr:row>
      <xdr:rowOff>179293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147FAD-AFF0-4973-B89D-65A99B07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0</xdr:row>
      <xdr:rowOff>95250</xdr:rowOff>
    </xdr:from>
    <xdr:to>
      <xdr:col>0</xdr:col>
      <xdr:colOff>1076325</xdr:colOff>
      <xdr:row>1</xdr:row>
      <xdr:rowOff>312842</xdr:rowOff>
    </xdr:to>
    <xdr:pic>
      <xdr:nvPicPr>
        <xdr:cNvPr id="2" name="Picture 65" descr="LOGO TERLICA">
          <a:extLst>
            <a:ext uri="{FF2B5EF4-FFF2-40B4-BE49-F238E27FC236}">
              <a16:creationId xmlns:a16="http://schemas.microsoft.com/office/drawing/2014/main" id="{15AAD020-6F6A-4B40-9E1F-93DEDC53B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" y="95250"/>
          <a:ext cx="1008592" cy="560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1</xdr:row>
      <xdr:rowOff>56029</xdr:rowOff>
    </xdr:from>
    <xdr:to>
      <xdr:col>6</xdr:col>
      <xdr:colOff>717175</xdr:colOff>
      <xdr:row>17</xdr:row>
      <xdr:rowOff>179293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0B16C-5EDD-41A9-BC37-D501A84D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89647</xdr:colOff>
      <xdr:row>1</xdr:row>
      <xdr:rowOff>44822</xdr:rowOff>
    </xdr:from>
    <xdr:to>
      <xdr:col>13</xdr:col>
      <xdr:colOff>616323</xdr:colOff>
      <xdr:row>17</xdr:row>
      <xdr:rowOff>168086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5CFD84-CABE-4A28-856A-1FCFCBBAE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view="pageBreakPreview" zoomScale="115" zoomScaleNormal="100" zoomScaleSheetLayoutView="115" workbookViewId="0">
      <selection activeCell="L4" sqref="L4"/>
    </sheetView>
  </sheetViews>
  <sheetFormatPr baseColWidth="10" defaultRowHeight="15"/>
  <cols>
    <col min="3" max="3" width="14.140625" bestFit="1" customWidth="1"/>
    <col min="4" max="4" width="14" bestFit="1" customWidth="1"/>
  </cols>
  <sheetData>
    <row r="1" spans="1:13">
      <c r="A1" s="138" t="s">
        <v>125</v>
      </c>
      <c r="B1" s="138" t="s">
        <v>72</v>
      </c>
      <c r="C1" s="138" t="s">
        <v>73</v>
      </c>
      <c r="D1" s="138" t="s">
        <v>74</v>
      </c>
      <c r="E1" s="138" t="s">
        <v>75</v>
      </c>
      <c r="F1" s="138" t="s">
        <v>76</v>
      </c>
      <c r="G1" s="138" t="s">
        <v>77</v>
      </c>
      <c r="H1" s="138" t="s">
        <v>78</v>
      </c>
      <c r="I1" s="138" t="s">
        <v>79</v>
      </c>
      <c r="J1" s="138" t="s">
        <v>80</v>
      </c>
      <c r="K1" s="138" t="s">
        <v>81</v>
      </c>
      <c r="L1" s="138" t="s">
        <v>82</v>
      </c>
      <c r="M1" s="138" t="s">
        <v>83</v>
      </c>
    </row>
    <row r="2" spans="1:13">
      <c r="A2" s="138" t="s">
        <v>237</v>
      </c>
      <c r="B2" s="142">
        <v>19050</v>
      </c>
      <c r="C2" s="142">
        <v>25393</v>
      </c>
      <c r="D2" s="142">
        <v>7401</v>
      </c>
      <c r="E2" s="142">
        <v>9987</v>
      </c>
      <c r="F2" s="142">
        <v>0</v>
      </c>
      <c r="G2" s="142">
        <v>4000</v>
      </c>
      <c r="H2" s="142">
        <v>16854</v>
      </c>
      <c r="I2" s="142">
        <v>11300</v>
      </c>
      <c r="J2" s="142">
        <v>6985</v>
      </c>
      <c r="K2" s="142">
        <v>7004</v>
      </c>
      <c r="L2" s="142">
        <v>1998</v>
      </c>
      <c r="M2" s="142">
        <v>11201</v>
      </c>
    </row>
    <row r="3" spans="1:13">
      <c r="A3" s="138" t="s">
        <v>238</v>
      </c>
      <c r="B3" s="142">
        <v>20294</v>
      </c>
      <c r="C3" s="142">
        <v>4971</v>
      </c>
      <c r="D3" s="142">
        <v>9512</v>
      </c>
      <c r="E3" s="142">
        <v>40005</v>
      </c>
      <c r="F3" s="142">
        <v>25073</v>
      </c>
      <c r="G3" s="142">
        <v>26744</v>
      </c>
      <c r="H3" s="142">
        <v>31194</v>
      </c>
      <c r="I3" s="142">
        <v>8502</v>
      </c>
      <c r="J3" s="142">
        <v>17858</v>
      </c>
      <c r="K3" s="142">
        <v>12733</v>
      </c>
      <c r="L3" s="142">
        <v>2970</v>
      </c>
      <c r="M3" s="142">
        <v>0</v>
      </c>
    </row>
    <row r="4" spans="1:13">
      <c r="A4" s="139" t="s">
        <v>239</v>
      </c>
      <c r="B4" s="148">
        <f>SUM(B2:B3)</f>
        <v>39344</v>
      </c>
      <c r="C4" s="149">
        <f>SUM(C2:C3)</f>
        <v>30364</v>
      </c>
      <c r="D4" s="148">
        <f t="shared" ref="D4:M4" si="0">SUM(D2:D3)</f>
        <v>16913</v>
      </c>
      <c r="E4" s="149">
        <f>SUM(E2:E3)</f>
        <v>49992</v>
      </c>
      <c r="F4" s="149">
        <f t="shared" si="0"/>
        <v>25073</v>
      </c>
      <c r="G4" s="149">
        <f t="shared" si="0"/>
        <v>30744</v>
      </c>
      <c r="H4" s="149">
        <f t="shared" si="0"/>
        <v>48048</v>
      </c>
      <c r="I4" s="149">
        <f t="shared" si="0"/>
        <v>19802</v>
      </c>
      <c r="J4" s="149">
        <f t="shared" si="0"/>
        <v>24843</v>
      </c>
      <c r="K4" s="149">
        <f t="shared" si="0"/>
        <v>19737</v>
      </c>
      <c r="L4" s="149">
        <f t="shared" si="0"/>
        <v>4968</v>
      </c>
      <c r="M4" s="149">
        <f t="shared" si="0"/>
        <v>11201</v>
      </c>
    </row>
    <row r="8" spans="1:13">
      <c r="I8" s="45"/>
    </row>
    <row r="9" spans="1:13">
      <c r="I9" s="45"/>
    </row>
    <row r="10" spans="1:13">
      <c r="I10" s="45"/>
    </row>
    <row r="11" spans="1:13">
      <c r="I11" s="45"/>
    </row>
  </sheetData>
  <pageMargins left="0.7" right="0.7" top="0.75" bottom="0.75" header="0.3" footer="0.3"/>
  <pageSetup scale="5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18"/>
  <sheetViews>
    <sheetView showGridLines="0" topLeftCell="A7" zoomScale="115" zoomScaleNormal="115" zoomScaleSheetLayoutView="100" workbookViewId="0">
      <selection activeCell="E22" sqref="E22"/>
    </sheetView>
  </sheetViews>
  <sheetFormatPr baseColWidth="10" defaultRowHeight="16.5"/>
  <cols>
    <col min="1" max="1" width="17.5703125" style="68" customWidth="1"/>
    <col min="2" max="2" width="21.7109375" style="68" customWidth="1"/>
    <col min="3" max="3" width="22.5703125" style="68" customWidth="1"/>
    <col min="4" max="4" width="19.28515625" style="68" customWidth="1"/>
    <col min="5" max="5" width="22.140625" style="68" customWidth="1"/>
    <col min="6" max="6" width="15.5703125" style="68" customWidth="1"/>
    <col min="7" max="7" width="18.5703125" style="68" customWidth="1"/>
    <col min="8" max="16384" width="11.42578125" style="68"/>
  </cols>
  <sheetData>
    <row r="1" spans="1:9" ht="27" customHeight="1">
      <c r="A1" s="336"/>
      <c r="B1" s="338" t="s">
        <v>233</v>
      </c>
      <c r="C1" s="339"/>
      <c r="D1" s="339"/>
      <c r="E1" s="340"/>
      <c r="F1" s="344" t="s">
        <v>242</v>
      </c>
      <c r="G1" s="345"/>
    </row>
    <row r="2" spans="1:9" ht="33" customHeight="1">
      <c r="A2" s="337"/>
      <c r="B2" s="341"/>
      <c r="C2" s="342"/>
      <c r="D2" s="342"/>
      <c r="E2" s="343"/>
      <c r="F2" s="346"/>
      <c r="G2" s="347"/>
    </row>
    <row r="3" spans="1:9">
      <c r="A3" s="331" t="s">
        <v>163</v>
      </c>
      <c r="B3" s="333"/>
      <c r="C3" s="333"/>
      <c r="D3" s="103"/>
      <c r="E3" s="334" t="s">
        <v>232</v>
      </c>
      <c r="F3" s="333" t="s">
        <v>190</v>
      </c>
      <c r="G3" s="335"/>
    </row>
    <row r="4" spans="1:9" ht="55.5" customHeight="1">
      <c r="A4" s="332"/>
      <c r="B4" s="107" t="s">
        <v>367</v>
      </c>
      <c r="C4" s="107" t="s">
        <v>368</v>
      </c>
      <c r="D4" s="107" t="s">
        <v>369</v>
      </c>
      <c r="E4" s="305"/>
      <c r="F4" s="107" t="s">
        <v>191</v>
      </c>
      <c r="G4" s="106" t="s">
        <v>190</v>
      </c>
      <c r="H4" s="191"/>
      <c r="I4" s="193" t="s">
        <v>234</v>
      </c>
    </row>
    <row r="5" spans="1:9">
      <c r="A5" s="83" t="s">
        <v>23</v>
      </c>
      <c r="B5" s="78">
        <v>14</v>
      </c>
      <c r="C5" s="78">
        <v>10</v>
      </c>
      <c r="D5" s="143">
        <f>+C5/'TON  MOV '!B4</f>
        <v>2.5416836112240746E-4</v>
      </c>
      <c r="E5" s="78" t="str">
        <f>+IF(C5&lt;=25.8,"CUMPLE","NO CUMPLE")</f>
        <v>CUMPLE</v>
      </c>
      <c r="F5" s="78">
        <f>+C5-B5</f>
        <v>-4</v>
      </c>
      <c r="G5" s="84">
        <f>+(F5/B5)*100</f>
        <v>-28.571428571428569</v>
      </c>
      <c r="H5" s="191"/>
      <c r="I5" s="191">
        <v>25.8</v>
      </c>
    </row>
    <row r="6" spans="1:9">
      <c r="A6" s="83" t="s">
        <v>4</v>
      </c>
      <c r="B6" s="78">
        <v>14.6</v>
      </c>
      <c r="C6" s="78">
        <v>15</v>
      </c>
      <c r="D6" s="143">
        <f>+C6/'TON  MOV '!C4</f>
        <v>4.9400605980766702E-4</v>
      </c>
      <c r="E6" s="78" t="str">
        <f t="shared" ref="E6:E16" si="0">+IF(C6&lt;=25.8,"CUMPLE","NO CUMPLE")</f>
        <v>CUMPLE</v>
      </c>
      <c r="F6" s="78">
        <f>+C6-B6</f>
        <v>0.40000000000000036</v>
      </c>
      <c r="G6" s="84">
        <f t="shared" ref="G6:G17" si="1">+((F6*100)/C6)</f>
        <v>2.6666666666666692</v>
      </c>
      <c r="H6" s="191"/>
      <c r="I6" s="191">
        <v>25.8</v>
      </c>
    </row>
    <row r="7" spans="1:9">
      <c r="A7" s="83" t="s">
        <v>5</v>
      </c>
      <c r="B7" s="78">
        <v>10.7</v>
      </c>
      <c r="C7" s="78">
        <v>10</v>
      </c>
      <c r="D7" s="143">
        <f>+C7/'TON  MOV '!D4</f>
        <v>5.91261160054396E-4</v>
      </c>
      <c r="E7" s="78" t="str">
        <f t="shared" si="0"/>
        <v>CUMPLE</v>
      </c>
      <c r="F7" s="78">
        <f>+C7-B7</f>
        <v>-0.69999999999999929</v>
      </c>
      <c r="G7" s="84">
        <f t="shared" si="1"/>
        <v>-6.9999999999999929</v>
      </c>
      <c r="H7" s="191"/>
      <c r="I7" s="191">
        <v>25.8</v>
      </c>
    </row>
    <row r="8" spans="1:9">
      <c r="A8" s="83" t="s">
        <v>27</v>
      </c>
      <c r="B8" s="78">
        <v>10.9</v>
      </c>
      <c r="C8" s="78">
        <v>6</v>
      </c>
      <c r="D8" s="143">
        <f>+C8/'TON  MOV '!E4</f>
        <v>1.2001920307249159E-4</v>
      </c>
      <c r="E8" s="78" t="str">
        <f t="shared" si="0"/>
        <v>CUMPLE</v>
      </c>
      <c r="F8" s="78">
        <f>+C8-B8</f>
        <v>-4.9000000000000004</v>
      </c>
      <c r="G8" s="84">
        <f t="shared" si="1"/>
        <v>-81.666666666666671</v>
      </c>
      <c r="H8" s="191"/>
      <c r="I8" s="191">
        <v>25.8</v>
      </c>
    </row>
    <row r="9" spans="1:9">
      <c r="A9" s="83" t="s">
        <v>28</v>
      </c>
      <c r="B9" s="78">
        <v>7.1</v>
      </c>
      <c r="C9" s="78">
        <v>7</v>
      </c>
      <c r="D9" s="143">
        <f>+C9/'TON  MOV '!F4</f>
        <v>2.7918478044111194E-4</v>
      </c>
      <c r="E9" s="78" t="str">
        <f t="shared" si="0"/>
        <v>CUMPLE</v>
      </c>
      <c r="F9" s="78">
        <f t="shared" ref="F9:F16" si="2">+C9-B9</f>
        <v>-9.9999999999999645E-2</v>
      </c>
      <c r="G9" s="84">
        <f t="shared" si="1"/>
        <v>-1.4285714285714235</v>
      </c>
      <c r="H9" s="191"/>
      <c r="I9" s="191">
        <v>25.8</v>
      </c>
    </row>
    <row r="10" spans="1:9">
      <c r="A10" s="83" t="s">
        <v>29</v>
      </c>
      <c r="B10" s="78">
        <v>6.1</v>
      </c>
      <c r="C10" s="78">
        <v>7</v>
      </c>
      <c r="D10" s="143">
        <f>+C10/'TON  MOV '!G4</f>
        <v>2.2768670309653916E-4</v>
      </c>
      <c r="E10" s="78" t="str">
        <f t="shared" si="0"/>
        <v>CUMPLE</v>
      </c>
      <c r="F10" s="78">
        <f t="shared" si="2"/>
        <v>0.90000000000000036</v>
      </c>
      <c r="G10" s="84">
        <f t="shared" si="1"/>
        <v>12.857142857142861</v>
      </c>
      <c r="H10" s="191"/>
      <c r="I10" s="191">
        <v>25.8</v>
      </c>
    </row>
    <row r="11" spans="1:9">
      <c r="A11" s="83" t="s">
        <v>30</v>
      </c>
      <c r="B11" s="78">
        <v>8.8000000000000007</v>
      </c>
      <c r="C11" s="78">
        <v>9</v>
      </c>
      <c r="D11" s="143">
        <f>+C11/'TON  MOV '!H4</f>
        <v>1.8731268731268731E-4</v>
      </c>
      <c r="E11" s="78" t="str">
        <f t="shared" si="0"/>
        <v>CUMPLE</v>
      </c>
      <c r="F11" s="78">
        <f t="shared" si="2"/>
        <v>0.19999999999999929</v>
      </c>
      <c r="G11" s="84">
        <f t="shared" si="1"/>
        <v>2.2222222222222143</v>
      </c>
      <c r="H11" s="191"/>
      <c r="I11" s="191">
        <v>25.8</v>
      </c>
    </row>
    <row r="12" spans="1:9">
      <c r="A12" s="83" t="s">
        <v>31</v>
      </c>
      <c r="B12" s="78">
        <v>9</v>
      </c>
      <c r="C12" s="78">
        <v>12.2</v>
      </c>
      <c r="D12" s="143">
        <f>+C12/'TON  MOV '!I4</f>
        <v>6.160993839006161E-4</v>
      </c>
      <c r="E12" s="78" t="str">
        <f t="shared" si="0"/>
        <v>CUMPLE</v>
      </c>
      <c r="F12" s="78">
        <f t="shared" si="2"/>
        <v>3.1999999999999993</v>
      </c>
      <c r="G12" s="84">
        <f t="shared" si="1"/>
        <v>26.229508196721309</v>
      </c>
      <c r="H12" s="191"/>
      <c r="I12" s="191">
        <v>25.8</v>
      </c>
    </row>
    <row r="13" spans="1:9">
      <c r="A13" s="83" t="s">
        <v>32</v>
      </c>
      <c r="B13" s="78">
        <v>10</v>
      </c>
      <c r="C13" s="78">
        <v>10.8</v>
      </c>
      <c r="D13" s="143">
        <f>+C13/'TON  MOV '!J4</f>
        <v>4.3473010505977542E-4</v>
      </c>
      <c r="E13" s="78" t="str">
        <f t="shared" si="0"/>
        <v>CUMPLE</v>
      </c>
      <c r="F13" s="78">
        <f t="shared" si="2"/>
        <v>0.80000000000000071</v>
      </c>
      <c r="G13" s="84">
        <f t="shared" si="1"/>
        <v>7.4074074074074137</v>
      </c>
      <c r="H13" s="191"/>
      <c r="I13" s="191">
        <v>25.8</v>
      </c>
    </row>
    <row r="14" spans="1:9">
      <c r="A14" s="83" t="s">
        <v>33</v>
      </c>
      <c r="B14" s="78">
        <v>9</v>
      </c>
      <c r="C14" s="78">
        <v>10.5</v>
      </c>
      <c r="D14" s="143">
        <f>+C14/'TON  MOV '!K4</f>
        <v>5.3199574403404776E-4</v>
      </c>
      <c r="E14" s="78" t="str">
        <f t="shared" si="0"/>
        <v>CUMPLE</v>
      </c>
      <c r="F14" s="78">
        <f t="shared" si="2"/>
        <v>1.5</v>
      </c>
      <c r="G14" s="84">
        <f t="shared" si="1"/>
        <v>14.285714285714286</v>
      </c>
      <c r="H14" s="191"/>
      <c r="I14" s="191">
        <v>25.8</v>
      </c>
    </row>
    <row r="15" spans="1:9">
      <c r="A15" s="83" t="s">
        <v>34</v>
      </c>
      <c r="B15" s="78">
        <v>7</v>
      </c>
      <c r="C15" s="78">
        <v>10</v>
      </c>
      <c r="D15" s="143">
        <f>+C15/'TON  MOV '!L4</f>
        <v>2.0128824476650562E-3</v>
      </c>
      <c r="E15" s="78" t="str">
        <f t="shared" si="0"/>
        <v>CUMPLE</v>
      </c>
      <c r="F15" s="78">
        <f t="shared" si="2"/>
        <v>3</v>
      </c>
      <c r="G15" s="84">
        <f t="shared" si="1"/>
        <v>30</v>
      </c>
      <c r="H15" s="191"/>
      <c r="I15" s="191">
        <v>25.8</v>
      </c>
    </row>
    <row r="16" spans="1:9">
      <c r="A16" s="83" t="s">
        <v>35</v>
      </c>
      <c r="B16" s="78">
        <v>10</v>
      </c>
      <c r="C16" s="78">
        <v>8.6999999999999993</v>
      </c>
      <c r="D16" s="143">
        <f>+C16/'TON  MOV '!M4</f>
        <v>7.7671636461030256E-4</v>
      </c>
      <c r="E16" s="78" t="str">
        <f t="shared" si="0"/>
        <v>CUMPLE</v>
      </c>
      <c r="F16" s="78">
        <f t="shared" si="2"/>
        <v>-1.3000000000000007</v>
      </c>
      <c r="G16" s="84">
        <f t="shared" si="1"/>
        <v>-14.942528735632191</v>
      </c>
      <c r="H16" s="191"/>
      <c r="I16" s="191">
        <v>25.8</v>
      </c>
    </row>
    <row r="17" spans="1:9" ht="17.25" hidden="1" thickBot="1">
      <c r="A17" s="85" t="s">
        <v>175</v>
      </c>
      <c r="B17" s="87">
        <f>SUM(B5:B16)</f>
        <v>117.2</v>
      </c>
      <c r="C17" s="88">
        <f>SUM(C5:C16)</f>
        <v>116.2</v>
      </c>
      <c r="D17" s="195">
        <f>+C17/'RESPEL '!O38</f>
        <v>3.6196106893769724E-4</v>
      </c>
      <c r="E17" s="78" t="s">
        <v>350</v>
      </c>
      <c r="F17" s="78">
        <f>+C17-B17</f>
        <v>-1</v>
      </c>
      <c r="G17" s="89">
        <f t="shared" si="1"/>
        <v>-0.86058519793459554</v>
      </c>
      <c r="H17" s="191"/>
      <c r="I17" s="191"/>
    </row>
    <row r="18" spans="1:9">
      <c r="H18" s="191"/>
      <c r="I18" s="191"/>
    </row>
  </sheetData>
  <mergeCells count="7">
    <mergeCell ref="A3:A4"/>
    <mergeCell ref="B3:C3"/>
    <mergeCell ref="E3:E4"/>
    <mergeCell ref="F3:G3"/>
    <mergeCell ref="A1:A2"/>
    <mergeCell ref="B1:E2"/>
    <mergeCell ref="F1:G2"/>
  </mergeCells>
  <conditionalFormatting sqref="E5:E17">
    <cfRule type="containsText" dxfId="249" priority="5" operator="containsText" text="NO CUMPLE">
      <formula>NOT(ISERROR(SEARCH("NO CUMPLE",E5)))</formula>
    </cfRule>
    <cfRule type="containsText" dxfId="248" priority="6" operator="containsText" text="CUMPLE">
      <formula>NOT(ISERROR(SEARCH("CUMPLE",E5)))</formula>
    </cfRule>
    <cfRule type="containsText" dxfId="247" priority="7" operator="containsText" text="NO CUMPLE">
      <formula>NOT(ISERROR(SEARCH("NO CUMPLE",E5)))</formula>
    </cfRule>
    <cfRule type="containsText" dxfId="246" priority="8" operator="containsText" text="CUMPLE">
      <formula>NOT(ISERROR(SEARCH("CUMPLE",E5)))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N35"/>
  <sheetViews>
    <sheetView showGridLines="0" topLeftCell="A13" zoomScale="90" zoomScaleNormal="90" zoomScaleSheetLayoutView="85" workbookViewId="0">
      <selection activeCell="P2" sqref="P2:P3"/>
    </sheetView>
  </sheetViews>
  <sheetFormatPr baseColWidth="10" defaultRowHeight="15"/>
  <cols>
    <col min="1" max="1" width="14.85546875" customWidth="1"/>
    <col min="8" max="9" width="14.28515625" customWidth="1"/>
    <col min="10" max="10" width="15.5703125" customWidth="1"/>
  </cols>
  <sheetData>
    <row r="1" spans="1:14" ht="52.5" customHeight="1" thickBot="1">
      <c r="A1" s="328" t="s">
        <v>370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30"/>
    </row>
    <row r="2" spans="1:14">
      <c r="A2" s="270"/>
      <c r="B2" s="271"/>
      <c r="C2" s="271"/>
      <c r="D2" s="271"/>
      <c r="E2" s="271"/>
      <c r="F2" s="271"/>
      <c r="G2" s="272"/>
      <c r="H2" s="270"/>
      <c r="I2" s="271"/>
      <c r="J2" s="271"/>
      <c r="K2" s="271"/>
      <c r="L2" s="271"/>
      <c r="M2" s="271"/>
      <c r="N2" s="272"/>
    </row>
    <row r="3" spans="1:14">
      <c r="A3" s="273"/>
      <c r="B3" s="274"/>
      <c r="C3" s="274"/>
      <c r="D3" s="274"/>
      <c r="E3" s="274"/>
      <c r="F3" s="274"/>
      <c r="G3" s="275"/>
      <c r="H3" s="273"/>
      <c r="I3" s="274"/>
      <c r="J3" s="274"/>
      <c r="K3" s="274"/>
      <c r="L3" s="274"/>
      <c r="M3" s="274"/>
      <c r="N3" s="275"/>
    </row>
    <row r="4" spans="1:14">
      <c r="A4" s="273"/>
      <c r="B4" s="274"/>
      <c r="C4" s="274"/>
      <c r="D4" s="274"/>
      <c r="E4" s="274"/>
      <c r="F4" s="274"/>
      <c r="G4" s="275"/>
      <c r="H4" s="273"/>
      <c r="I4" s="274"/>
      <c r="J4" s="274"/>
      <c r="K4" s="274"/>
      <c r="L4" s="274"/>
      <c r="M4" s="274"/>
      <c r="N4" s="275"/>
    </row>
    <row r="5" spans="1:14">
      <c r="A5" s="273"/>
      <c r="B5" s="274"/>
      <c r="C5" s="274"/>
      <c r="D5" s="274"/>
      <c r="E5" s="274"/>
      <c r="F5" s="274"/>
      <c r="G5" s="275"/>
      <c r="H5" s="273"/>
      <c r="I5" s="274"/>
      <c r="J5" s="274"/>
      <c r="K5" s="274"/>
      <c r="L5" s="274"/>
      <c r="M5" s="274"/>
      <c r="N5" s="275"/>
    </row>
    <row r="6" spans="1:14">
      <c r="A6" s="273"/>
      <c r="B6" s="274"/>
      <c r="C6" s="274"/>
      <c r="D6" s="274"/>
      <c r="E6" s="274"/>
      <c r="F6" s="274"/>
      <c r="G6" s="275"/>
      <c r="H6" s="273"/>
      <c r="I6" s="274"/>
      <c r="J6" s="274"/>
      <c r="K6" s="274"/>
      <c r="L6" s="274"/>
      <c r="M6" s="274"/>
      <c r="N6" s="275"/>
    </row>
    <row r="7" spans="1:14">
      <c r="A7" s="273"/>
      <c r="B7" s="274"/>
      <c r="C7" s="274"/>
      <c r="D7" s="274"/>
      <c r="E7" s="274"/>
      <c r="F7" s="274"/>
      <c r="G7" s="275"/>
      <c r="H7" s="273"/>
      <c r="I7" s="274"/>
      <c r="J7" s="274"/>
      <c r="K7" s="274"/>
      <c r="L7" s="274"/>
      <c r="M7" s="274"/>
      <c r="N7" s="275"/>
    </row>
    <row r="8" spans="1:14">
      <c r="A8" s="273"/>
      <c r="B8" s="274"/>
      <c r="C8" s="274"/>
      <c r="D8" s="274"/>
      <c r="E8" s="274"/>
      <c r="F8" s="274"/>
      <c r="G8" s="275"/>
      <c r="H8" s="273"/>
      <c r="I8" s="274"/>
      <c r="J8" s="274"/>
      <c r="K8" s="274"/>
      <c r="L8" s="274"/>
      <c r="M8" s="274"/>
      <c r="N8" s="275"/>
    </row>
    <row r="9" spans="1:14">
      <c r="A9" s="273"/>
      <c r="B9" s="274"/>
      <c r="C9" s="274"/>
      <c r="D9" s="274"/>
      <c r="E9" s="274"/>
      <c r="F9" s="274"/>
      <c r="G9" s="275"/>
      <c r="H9" s="273"/>
      <c r="I9" s="274"/>
      <c r="J9" s="274"/>
      <c r="K9" s="274"/>
      <c r="L9" s="274"/>
      <c r="M9" s="274"/>
      <c r="N9" s="275"/>
    </row>
    <row r="10" spans="1:14">
      <c r="A10" s="273"/>
      <c r="B10" s="274"/>
      <c r="C10" s="274"/>
      <c r="D10" s="274"/>
      <c r="E10" s="274"/>
      <c r="F10" s="274"/>
      <c r="G10" s="275"/>
      <c r="H10" s="273"/>
      <c r="I10" s="274"/>
      <c r="J10" s="274"/>
      <c r="K10" s="274"/>
      <c r="L10" s="274"/>
      <c r="M10" s="274"/>
      <c r="N10" s="275"/>
    </row>
    <row r="11" spans="1:14">
      <c r="A11" s="273"/>
      <c r="B11" s="274"/>
      <c r="C11" s="274"/>
      <c r="D11" s="274"/>
      <c r="E11" s="274"/>
      <c r="F11" s="274"/>
      <c r="G11" s="275"/>
      <c r="H11" s="273"/>
      <c r="I11" s="274"/>
      <c r="J11" s="274"/>
      <c r="K11" s="274"/>
      <c r="L11" s="274"/>
      <c r="M11" s="274"/>
      <c r="N11" s="275"/>
    </row>
    <row r="12" spans="1:14">
      <c r="A12" s="273"/>
      <c r="B12" s="274"/>
      <c r="C12" s="274"/>
      <c r="D12" s="274"/>
      <c r="E12" s="274"/>
      <c r="F12" s="274"/>
      <c r="G12" s="275"/>
      <c r="H12" s="273"/>
      <c r="I12" s="274"/>
      <c r="J12" s="274"/>
      <c r="K12" s="274"/>
      <c r="L12" s="274"/>
      <c r="M12" s="274"/>
      <c r="N12" s="275"/>
    </row>
    <row r="13" spans="1:14">
      <c r="A13" s="273"/>
      <c r="B13" s="274"/>
      <c r="C13" s="274"/>
      <c r="D13" s="274"/>
      <c r="E13" s="274"/>
      <c r="F13" s="274"/>
      <c r="G13" s="275"/>
      <c r="H13" s="273"/>
      <c r="I13" s="274"/>
      <c r="J13" s="274"/>
      <c r="K13" s="274"/>
      <c r="L13" s="274"/>
      <c r="M13" s="274"/>
      <c r="N13" s="275"/>
    </row>
    <row r="14" spans="1:14">
      <c r="A14" s="273"/>
      <c r="B14" s="274"/>
      <c r="C14" s="274"/>
      <c r="D14" s="274"/>
      <c r="E14" s="274"/>
      <c r="F14" s="274"/>
      <c r="G14" s="275"/>
      <c r="H14" s="273"/>
      <c r="I14" s="274"/>
      <c r="J14" s="274"/>
      <c r="K14" s="274"/>
      <c r="L14" s="274"/>
      <c r="M14" s="274"/>
      <c r="N14" s="275"/>
    </row>
    <row r="15" spans="1:14">
      <c r="A15" s="273"/>
      <c r="B15" s="274"/>
      <c r="C15" s="274"/>
      <c r="D15" s="274"/>
      <c r="E15" s="274"/>
      <c r="F15" s="274"/>
      <c r="G15" s="275"/>
      <c r="H15" s="273"/>
      <c r="I15" s="274"/>
      <c r="J15" s="274"/>
      <c r="K15" s="274"/>
      <c r="L15" s="274"/>
      <c r="M15" s="274"/>
      <c r="N15" s="275"/>
    </row>
    <row r="16" spans="1:14">
      <c r="A16" s="273"/>
      <c r="B16" s="274"/>
      <c r="C16" s="274"/>
      <c r="D16" s="274"/>
      <c r="E16" s="274"/>
      <c r="F16" s="274"/>
      <c r="G16" s="275"/>
      <c r="H16" s="273"/>
      <c r="I16" s="274"/>
      <c r="J16" s="274"/>
      <c r="K16" s="274"/>
      <c r="L16" s="274"/>
      <c r="M16" s="274"/>
      <c r="N16" s="275"/>
    </row>
    <row r="17" spans="1:14">
      <c r="A17" s="273"/>
      <c r="B17" s="274"/>
      <c r="C17" s="274"/>
      <c r="D17" s="274"/>
      <c r="E17" s="274"/>
      <c r="F17" s="274"/>
      <c r="G17" s="275"/>
      <c r="H17" s="273"/>
      <c r="I17" s="274"/>
      <c r="J17" s="274"/>
      <c r="K17" s="274"/>
      <c r="L17" s="274"/>
      <c r="M17" s="274"/>
      <c r="N17" s="275"/>
    </row>
    <row r="18" spans="1:14" ht="15.75" thickBot="1">
      <c r="A18" s="276"/>
      <c r="B18" s="277"/>
      <c r="C18" s="277"/>
      <c r="D18" s="277"/>
      <c r="E18" s="277"/>
      <c r="F18" s="277"/>
      <c r="G18" s="278"/>
      <c r="H18" s="276"/>
      <c r="I18" s="277"/>
      <c r="J18" s="277"/>
      <c r="K18" s="277"/>
      <c r="L18" s="277"/>
      <c r="M18" s="277"/>
      <c r="N18" s="278"/>
    </row>
    <row r="19" spans="1:14">
      <c r="A19" s="270"/>
      <c r="B19" s="271"/>
      <c r="C19" s="271"/>
      <c r="D19" s="271"/>
      <c r="E19" s="271"/>
      <c r="F19" s="271"/>
      <c r="G19" s="272"/>
      <c r="H19" s="270"/>
      <c r="I19" s="271"/>
      <c r="J19" s="271"/>
      <c r="K19" s="271"/>
      <c r="L19" s="271"/>
      <c r="M19" s="271"/>
      <c r="N19" s="272"/>
    </row>
    <row r="20" spans="1:14">
      <c r="A20" s="273"/>
      <c r="B20" s="274"/>
      <c r="C20" s="274"/>
      <c r="D20" s="274"/>
      <c r="E20" s="274"/>
      <c r="F20" s="274"/>
      <c r="G20" s="275"/>
      <c r="H20" s="273"/>
      <c r="I20" s="274"/>
      <c r="J20" s="274"/>
      <c r="K20" s="274"/>
      <c r="L20" s="274"/>
      <c r="M20" s="274"/>
      <c r="N20" s="275"/>
    </row>
    <row r="21" spans="1:14">
      <c r="A21" s="273"/>
      <c r="B21" s="274"/>
      <c r="C21" s="274"/>
      <c r="D21" s="274"/>
      <c r="E21" s="274"/>
      <c r="F21" s="274"/>
      <c r="G21" s="275"/>
      <c r="H21" s="273"/>
      <c r="I21" s="274"/>
      <c r="J21" s="274"/>
      <c r="K21" s="274"/>
      <c r="L21" s="274"/>
      <c r="M21" s="274"/>
      <c r="N21" s="275"/>
    </row>
    <row r="22" spans="1:14">
      <c r="A22" s="273"/>
      <c r="B22" s="274"/>
      <c r="C22" s="274"/>
      <c r="D22" s="274"/>
      <c r="E22" s="274"/>
      <c r="F22" s="274"/>
      <c r="G22" s="275"/>
      <c r="H22" s="273"/>
      <c r="I22" s="274"/>
      <c r="J22" s="274"/>
      <c r="K22" s="274"/>
      <c r="L22" s="274"/>
      <c r="M22" s="274"/>
      <c r="N22" s="275"/>
    </row>
    <row r="23" spans="1:14">
      <c r="A23" s="273"/>
      <c r="B23" s="274"/>
      <c r="C23" s="274"/>
      <c r="D23" s="274"/>
      <c r="E23" s="274"/>
      <c r="F23" s="274"/>
      <c r="G23" s="275"/>
      <c r="H23" s="273"/>
      <c r="I23" s="274"/>
      <c r="J23" s="274"/>
      <c r="K23" s="274"/>
      <c r="L23" s="274"/>
      <c r="M23" s="274"/>
      <c r="N23" s="275"/>
    </row>
    <row r="24" spans="1:14">
      <c r="A24" s="273"/>
      <c r="B24" s="274"/>
      <c r="C24" s="274"/>
      <c r="D24" s="274"/>
      <c r="E24" s="274"/>
      <c r="F24" s="274"/>
      <c r="G24" s="275"/>
      <c r="H24" s="273"/>
      <c r="I24" s="274"/>
      <c r="J24" s="274"/>
      <c r="K24" s="274"/>
      <c r="L24" s="274"/>
      <c r="M24" s="274"/>
      <c r="N24" s="275"/>
    </row>
    <row r="25" spans="1:14">
      <c r="A25" s="273"/>
      <c r="B25" s="274"/>
      <c r="C25" s="274"/>
      <c r="D25" s="274"/>
      <c r="E25" s="274"/>
      <c r="F25" s="274"/>
      <c r="G25" s="275"/>
      <c r="H25" s="273"/>
      <c r="I25" s="274"/>
      <c r="J25" s="274"/>
      <c r="K25" s="274"/>
      <c r="L25" s="274"/>
      <c r="M25" s="274"/>
      <c r="N25" s="275"/>
    </row>
    <row r="26" spans="1:14">
      <c r="A26" s="273"/>
      <c r="B26" s="274"/>
      <c r="C26" s="274"/>
      <c r="D26" s="274"/>
      <c r="E26" s="274"/>
      <c r="F26" s="274"/>
      <c r="G26" s="275"/>
      <c r="H26" s="273"/>
      <c r="I26" s="274"/>
      <c r="J26" s="274"/>
      <c r="K26" s="274"/>
      <c r="L26" s="274"/>
      <c r="M26" s="274"/>
      <c r="N26" s="275"/>
    </row>
    <row r="27" spans="1:14">
      <c r="A27" s="273"/>
      <c r="B27" s="274"/>
      <c r="C27" s="274"/>
      <c r="D27" s="274"/>
      <c r="E27" s="274"/>
      <c r="F27" s="274"/>
      <c r="G27" s="275"/>
      <c r="H27" s="273"/>
      <c r="I27" s="274"/>
      <c r="J27" s="274"/>
      <c r="K27" s="274"/>
      <c r="L27" s="274"/>
      <c r="M27" s="274"/>
      <c r="N27" s="275"/>
    </row>
    <row r="28" spans="1:14">
      <c r="A28" s="273"/>
      <c r="B28" s="274"/>
      <c r="C28" s="274"/>
      <c r="D28" s="274"/>
      <c r="E28" s="274"/>
      <c r="F28" s="274"/>
      <c r="G28" s="275"/>
      <c r="H28" s="273"/>
      <c r="I28" s="274"/>
      <c r="J28" s="274"/>
      <c r="K28" s="274"/>
      <c r="L28" s="274"/>
      <c r="M28" s="274"/>
      <c r="N28" s="275"/>
    </row>
    <row r="29" spans="1:14">
      <c r="A29" s="273"/>
      <c r="B29" s="274"/>
      <c r="C29" s="274"/>
      <c r="D29" s="274"/>
      <c r="E29" s="274"/>
      <c r="F29" s="274"/>
      <c r="G29" s="275"/>
      <c r="H29" s="273"/>
      <c r="I29" s="274"/>
      <c r="J29" s="274"/>
      <c r="K29" s="274"/>
      <c r="L29" s="274"/>
      <c r="M29" s="274"/>
      <c r="N29" s="275"/>
    </row>
    <row r="30" spans="1:14">
      <c r="A30" s="273"/>
      <c r="B30" s="274"/>
      <c r="C30" s="274"/>
      <c r="D30" s="274"/>
      <c r="E30" s="274"/>
      <c r="F30" s="274"/>
      <c r="G30" s="275"/>
      <c r="H30" s="273"/>
      <c r="I30" s="274"/>
      <c r="J30" s="274"/>
      <c r="K30" s="274"/>
      <c r="L30" s="274"/>
      <c r="M30" s="274"/>
      <c r="N30" s="275"/>
    </row>
    <row r="31" spans="1:14">
      <c r="A31" s="273"/>
      <c r="B31" s="274"/>
      <c r="C31" s="274"/>
      <c r="D31" s="274"/>
      <c r="E31" s="274"/>
      <c r="F31" s="274"/>
      <c r="G31" s="275"/>
      <c r="H31" s="273"/>
      <c r="I31" s="274"/>
      <c r="J31" s="274"/>
      <c r="K31" s="274"/>
      <c r="L31" s="274"/>
      <c r="M31" s="274"/>
      <c r="N31" s="275"/>
    </row>
    <row r="32" spans="1:14">
      <c r="A32" s="273"/>
      <c r="B32" s="274"/>
      <c r="C32" s="274"/>
      <c r="D32" s="274"/>
      <c r="E32" s="274"/>
      <c r="F32" s="274"/>
      <c r="G32" s="275"/>
      <c r="H32" s="273"/>
      <c r="I32" s="274"/>
      <c r="J32" s="274"/>
      <c r="K32" s="274"/>
      <c r="L32" s="274"/>
      <c r="M32" s="274"/>
      <c r="N32" s="275"/>
    </row>
    <row r="33" spans="1:14">
      <c r="A33" s="273"/>
      <c r="B33" s="274"/>
      <c r="C33" s="274"/>
      <c r="D33" s="274"/>
      <c r="E33" s="274"/>
      <c r="F33" s="274"/>
      <c r="G33" s="275"/>
      <c r="H33" s="273"/>
      <c r="I33" s="274"/>
      <c r="J33" s="274"/>
      <c r="K33" s="274"/>
      <c r="L33" s="274"/>
      <c r="M33" s="274"/>
      <c r="N33" s="275"/>
    </row>
    <row r="34" spans="1:14">
      <c r="A34" s="273"/>
      <c r="B34" s="274"/>
      <c r="C34" s="274"/>
      <c r="D34" s="274"/>
      <c r="E34" s="274"/>
      <c r="F34" s="274"/>
      <c r="G34" s="275"/>
      <c r="H34" s="273"/>
      <c r="I34" s="274"/>
      <c r="J34" s="274"/>
      <c r="K34" s="274"/>
      <c r="L34" s="274"/>
      <c r="M34" s="274"/>
      <c r="N34" s="275"/>
    </row>
    <row r="35" spans="1:14" ht="15.75" thickBot="1">
      <c r="A35" s="276"/>
      <c r="B35" s="277"/>
      <c r="C35" s="277"/>
      <c r="D35" s="277"/>
      <c r="E35" s="277"/>
      <c r="F35" s="277"/>
      <c r="G35" s="278"/>
      <c r="H35" s="276"/>
      <c r="I35" s="277"/>
      <c r="J35" s="277"/>
      <c r="K35" s="277"/>
      <c r="L35" s="277"/>
      <c r="M35" s="277"/>
      <c r="N35" s="278"/>
    </row>
  </sheetData>
  <mergeCells count="5">
    <mergeCell ref="A1:N1"/>
    <mergeCell ref="A2:G18"/>
    <mergeCell ref="H2:N18"/>
    <mergeCell ref="A19:G35"/>
    <mergeCell ref="H19:N35"/>
  </mergeCells>
  <pageMargins left="0.7" right="0.7" top="0.75" bottom="0.75" header="0.3" footer="0.3"/>
  <pageSetup scale="5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17"/>
  <sheetViews>
    <sheetView showGridLines="0" zoomScale="90" zoomScaleNormal="90" zoomScaleSheetLayoutView="100" workbookViewId="0">
      <selection activeCell="F16" sqref="F16"/>
    </sheetView>
  </sheetViews>
  <sheetFormatPr baseColWidth="10" defaultRowHeight="16.5"/>
  <cols>
    <col min="1" max="1" width="14.85546875" style="68" customWidth="1"/>
    <col min="2" max="3" width="11.42578125" style="68"/>
    <col min="4" max="4" width="13.85546875" style="68" customWidth="1"/>
    <col min="5" max="6" width="11.42578125" style="68"/>
    <col min="7" max="7" width="14.28515625" style="68" customWidth="1"/>
    <col min="8" max="8" width="15" style="68" customWidth="1"/>
    <col min="9" max="9" width="15.5703125" style="68" customWidth="1"/>
    <col min="10" max="10" width="18.5703125" style="68" customWidth="1"/>
    <col min="11" max="16384" width="11.42578125" style="68"/>
  </cols>
  <sheetData>
    <row r="1" spans="1:10" ht="33.75" customHeight="1">
      <c r="A1" s="241"/>
      <c r="B1" s="242"/>
      <c r="C1" s="242"/>
      <c r="D1" s="338" t="s">
        <v>193</v>
      </c>
      <c r="E1" s="339"/>
      <c r="F1" s="339"/>
      <c r="G1" s="339"/>
      <c r="H1" s="339"/>
      <c r="I1" s="309" t="s">
        <v>241</v>
      </c>
      <c r="J1" s="310"/>
    </row>
    <row r="2" spans="1:10" ht="33" customHeight="1" thickBot="1">
      <c r="A2" s="243"/>
      <c r="B2" s="244"/>
      <c r="C2" s="244"/>
      <c r="D2" s="341"/>
      <c r="E2" s="342"/>
      <c r="F2" s="342"/>
      <c r="G2" s="342"/>
      <c r="H2" s="342"/>
      <c r="I2" s="311"/>
      <c r="J2" s="312"/>
    </row>
    <row r="3" spans="1:10">
      <c r="A3" s="331" t="s">
        <v>163</v>
      </c>
      <c r="B3" s="333" t="s">
        <v>351</v>
      </c>
      <c r="C3" s="333"/>
      <c r="D3" s="333"/>
      <c r="E3" s="348" t="s">
        <v>371</v>
      </c>
      <c r="F3" s="349"/>
      <c r="G3" s="350"/>
      <c r="H3" s="334" t="s">
        <v>343</v>
      </c>
      <c r="I3" s="333" t="s">
        <v>190</v>
      </c>
      <c r="J3" s="335"/>
    </row>
    <row r="4" spans="1:10" ht="33">
      <c r="A4" s="332"/>
      <c r="B4" s="104" t="s">
        <v>185</v>
      </c>
      <c r="C4" s="104" t="s">
        <v>186</v>
      </c>
      <c r="D4" s="104" t="s">
        <v>187</v>
      </c>
      <c r="E4" s="104" t="s">
        <v>189</v>
      </c>
      <c r="F4" s="104" t="s">
        <v>186</v>
      </c>
      <c r="G4" s="104" t="s">
        <v>187</v>
      </c>
      <c r="H4" s="305"/>
      <c r="I4" s="105" t="s">
        <v>191</v>
      </c>
      <c r="J4" s="106" t="s">
        <v>190</v>
      </c>
    </row>
    <row r="5" spans="1:10">
      <c r="A5" s="83" t="s">
        <v>23</v>
      </c>
      <c r="B5" s="79">
        <v>35071.997000000003</v>
      </c>
      <c r="C5" s="231">
        <v>28600</v>
      </c>
      <c r="D5" s="78">
        <f>C5/B5</f>
        <v>0.8154653982206943</v>
      </c>
      <c r="E5" s="80">
        <f>+'TON  MOV '!B4</f>
        <v>39344</v>
      </c>
      <c r="F5" s="76">
        <v>19800</v>
      </c>
      <c r="G5" s="78">
        <f>F5/E5</f>
        <v>0.50325335502236679</v>
      </c>
      <c r="H5" s="78" t="str">
        <f>+IF(G5&lt;=1.8,"CUMPLE","NO CUMPLE")</f>
        <v>CUMPLE</v>
      </c>
      <c r="I5" s="78">
        <f t="shared" ref="I5:I17" si="0">+G5-D5</f>
        <v>-0.31221204319832752</v>
      </c>
      <c r="J5" s="84">
        <f>+((I5*100)/D5)</f>
        <v>-38.286363085369281</v>
      </c>
    </row>
    <row r="6" spans="1:10">
      <c r="A6" s="83" t="s">
        <v>4</v>
      </c>
      <c r="B6" s="79">
        <v>32688.387999999999</v>
      </c>
      <c r="C6" s="231">
        <v>28600</v>
      </c>
      <c r="D6" s="78">
        <f t="shared" ref="D6:D16" si="1">C6/B6</f>
        <v>0.87492843024256817</v>
      </c>
      <c r="E6" s="80">
        <f>+'TON  MOV '!C4</f>
        <v>30364</v>
      </c>
      <c r="F6" s="76">
        <v>22000</v>
      </c>
      <c r="G6" s="78">
        <f t="shared" ref="G6:G16" si="2">F6/E6</f>
        <v>0.72454222105124488</v>
      </c>
      <c r="H6" s="78" t="str">
        <f t="shared" ref="H6:H16" si="3">+IF(G6&lt;=1.8,"CUMPLE","NO CUMPLE")</f>
        <v>CUMPLE</v>
      </c>
      <c r="I6" s="78">
        <f t="shared" si="0"/>
        <v>-0.15038620919132328</v>
      </c>
      <c r="J6" s="84">
        <f t="shared" ref="J6:J17" si="4">+((I6*100)/D6)</f>
        <v>-17.188401244388604</v>
      </c>
    </row>
    <row r="7" spans="1:10">
      <c r="A7" s="83" t="s">
        <v>5</v>
      </c>
      <c r="B7" s="79">
        <v>40641</v>
      </c>
      <c r="C7" s="231">
        <v>26400</v>
      </c>
      <c r="D7" s="78">
        <f t="shared" si="1"/>
        <v>0.64959031519893706</v>
      </c>
      <c r="E7" s="80">
        <f>+'TON  MOV '!D4</f>
        <v>16913</v>
      </c>
      <c r="F7" s="76">
        <v>19800</v>
      </c>
      <c r="G7" s="78">
        <f t="shared" si="2"/>
        <v>1.1706970969077042</v>
      </c>
      <c r="H7" s="78" t="str">
        <f t="shared" si="3"/>
        <v>CUMPLE</v>
      </c>
      <c r="I7" s="78">
        <f t="shared" si="0"/>
        <v>0.52110678170876712</v>
      </c>
      <c r="J7" s="84">
        <f t="shared" si="4"/>
        <v>80.220836043280315</v>
      </c>
    </row>
    <row r="8" spans="1:10">
      <c r="A8" s="83" t="s">
        <v>27</v>
      </c>
      <c r="B8" s="79">
        <v>40692</v>
      </c>
      <c r="C8" s="231">
        <v>28600</v>
      </c>
      <c r="D8" s="78">
        <f t="shared" si="1"/>
        <v>0.70284085323896583</v>
      </c>
      <c r="E8" s="76">
        <f>+'TON  MOV '!E4</f>
        <v>49992</v>
      </c>
      <c r="F8" s="76">
        <v>24200</v>
      </c>
      <c r="G8" s="78">
        <f t="shared" si="2"/>
        <v>0.48407745239238276</v>
      </c>
      <c r="H8" s="78" t="str">
        <f t="shared" si="3"/>
        <v>CUMPLE</v>
      </c>
      <c r="I8" s="78">
        <f t="shared" si="0"/>
        <v>-0.21876340084658308</v>
      </c>
      <c r="J8" s="84">
        <f t="shared" si="4"/>
        <v>-31.125595479892169</v>
      </c>
    </row>
    <row r="9" spans="1:10">
      <c r="A9" s="83" t="s">
        <v>28</v>
      </c>
      <c r="B9" s="79">
        <v>42568</v>
      </c>
      <c r="C9" s="231">
        <v>35200</v>
      </c>
      <c r="D9" s="78">
        <f t="shared" si="1"/>
        <v>0.82691223454237928</v>
      </c>
      <c r="E9" s="76">
        <f>+'TON  MOV '!F4</f>
        <v>25073</v>
      </c>
      <c r="F9" s="76">
        <v>30800</v>
      </c>
      <c r="G9" s="78">
        <f t="shared" si="2"/>
        <v>1.2284130339408925</v>
      </c>
      <c r="H9" s="78" t="str">
        <f t="shared" si="3"/>
        <v>CUMPLE</v>
      </c>
      <c r="I9" s="78">
        <f t="shared" si="0"/>
        <v>0.40150079939851324</v>
      </c>
      <c r="J9" s="84">
        <f t="shared" si="4"/>
        <v>48.554221672715656</v>
      </c>
    </row>
    <row r="10" spans="1:10">
      <c r="A10" s="83" t="s">
        <v>29</v>
      </c>
      <c r="B10" s="79">
        <v>31981.459000000003</v>
      </c>
      <c r="C10" s="231">
        <v>30800</v>
      </c>
      <c r="D10" s="78">
        <f t="shared" si="1"/>
        <v>0.96305800182537005</v>
      </c>
      <c r="E10" s="80">
        <f>+'TON  MOV '!G4</f>
        <v>30744</v>
      </c>
      <c r="F10" s="76">
        <v>33000</v>
      </c>
      <c r="G10" s="78">
        <f t="shared" si="2"/>
        <v>1.0733801717408276</v>
      </c>
      <c r="H10" s="78" t="str">
        <f t="shared" si="3"/>
        <v>CUMPLE</v>
      </c>
      <c r="I10" s="78">
        <f t="shared" si="0"/>
        <v>0.11032216991545751</v>
      </c>
      <c r="J10" s="84">
        <f t="shared" si="4"/>
        <v>11.45540244786441</v>
      </c>
    </row>
    <row r="11" spans="1:10">
      <c r="A11" s="83" t="s">
        <v>30</v>
      </c>
      <c r="B11" s="79">
        <v>9921</v>
      </c>
      <c r="C11" s="231">
        <v>24200</v>
      </c>
      <c r="D11" s="78">
        <f t="shared" si="1"/>
        <v>2.4392702348553574</v>
      </c>
      <c r="E11" s="76">
        <f>+'TON  MOV '!H4</f>
        <v>48048</v>
      </c>
      <c r="F11" s="76">
        <v>26400</v>
      </c>
      <c r="G11" s="78">
        <f t="shared" si="2"/>
        <v>0.5494505494505495</v>
      </c>
      <c r="H11" s="78" t="str">
        <f>+IF(G11&lt;=1.8,"CUMPLE","NO CUMPLE")</f>
        <v>CUMPLE</v>
      </c>
      <c r="I11" s="78">
        <f t="shared" si="0"/>
        <v>-1.8898196854048079</v>
      </c>
      <c r="J11" s="84">
        <f t="shared" si="4"/>
        <v>-77.474797929343381</v>
      </c>
    </row>
    <row r="12" spans="1:10">
      <c r="A12" s="83" t="s">
        <v>31</v>
      </c>
      <c r="B12" s="79">
        <v>14295</v>
      </c>
      <c r="C12" s="231">
        <v>17600</v>
      </c>
      <c r="D12" s="78">
        <f t="shared" si="1"/>
        <v>1.2311997201818818</v>
      </c>
      <c r="E12" s="76">
        <f>+'TON  MOV '!I4</f>
        <v>19802</v>
      </c>
      <c r="F12" s="76">
        <v>28600</v>
      </c>
      <c r="G12" s="78">
        <f t="shared" si="2"/>
        <v>1.4442985557014443</v>
      </c>
      <c r="H12" s="78" t="str">
        <f t="shared" si="3"/>
        <v>CUMPLE</v>
      </c>
      <c r="I12" s="78">
        <f t="shared" si="0"/>
        <v>0.21309883551956244</v>
      </c>
      <c r="J12" s="84">
        <f t="shared" si="4"/>
        <v>17.308226441773549</v>
      </c>
    </row>
    <row r="13" spans="1:10">
      <c r="A13" s="83" t="s">
        <v>32</v>
      </c>
      <c r="B13" s="79">
        <v>27912</v>
      </c>
      <c r="C13" s="231">
        <v>15400</v>
      </c>
      <c r="D13" s="78">
        <f t="shared" si="1"/>
        <v>0.55173402120951565</v>
      </c>
      <c r="E13" s="76">
        <f>+'TON  MOV '!J4</f>
        <v>24843</v>
      </c>
      <c r="F13" s="76">
        <v>17600</v>
      </c>
      <c r="G13" s="78">
        <f t="shared" si="2"/>
        <v>0.70844906009741171</v>
      </c>
      <c r="H13" s="78" t="str">
        <f t="shared" si="3"/>
        <v>CUMPLE</v>
      </c>
      <c r="I13" s="78">
        <f t="shared" si="0"/>
        <v>0.15671503888789606</v>
      </c>
      <c r="J13" s="84">
        <f t="shared" si="4"/>
        <v>28.404091983369838</v>
      </c>
    </row>
    <row r="14" spans="1:10">
      <c r="A14" s="83" t="s">
        <v>33</v>
      </c>
      <c r="B14" s="79">
        <v>13991</v>
      </c>
      <c r="C14" s="231">
        <v>19800</v>
      </c>
      <c r="D14" s="78">
        <f t="shared" si="1"/>
        <v>1.4151954828103781</v>
      </c>
      <c r="E14" s="76">
        <f>+'TON  MOV '!K4</f>
        <v>19737</v>
      </c>
      <c r="F14" s="76">
        <v>22000</v>
      </c>
      <c r="G14" s="78">
        <f t="shared" si="2"/>
        <v>1.1146577494046714</v>
      </c>
      <c r="H14" s="78" t="str">
        <f t="shared" si="3"/>
        <v>CUMPLE</v>
      </c>
      <c r="I14" s="78">
        <f t="shared" si="0"/>
        <v>-0.30053773340570666</v>
      </c>
      <c r="J14" s="84">
        <f t="shared" si="4"/>
        <v>-21.236481959996169</v>
      </c>
    </row>
    <row r="15" spans="1:10">
      <c r="A15" s="83" t="s">
        <v>34</v>
      </c>
      <c r="B15" s="79">
        <v>31251</v>
      </c>
      <c r="C15" s="231">
        <v>15400</v>
      </c>
      <c r="D15" s="78">
        <f t="shared" si="1"/>
        <v>0.49278423090461104</v>
      </c>
      <c r="E15" s="80">
        <f>+'TON  MOV '!L4</f>
        <v>4968</v>
      </c>
      <c r="F15" s="76">
        <v>17600</v>
      </c>
      <c r="G15" s="78">
        <f t="shared" si="2"/>
        <v>3.5426731078904994</v>
      </c>
      <c r="H15" s="78" t="str">
        <f t="shared" si="3"/>
        <v>NO CUMPLE</v>
      </c>
      <c r="I15" s="78">
        <f t="shared" si="0"/>
        <v>3.0498888769858885</v>
      </c>
      <c r="J15" s="84">
        <f t="shared" si="4"/>
        <v>618.90959282263634</v>
      </c>
    </row>
    <row r="16" spans="1:10">
      <c r="A16" s="83" t="s">
        <v>35</v>
      </c>
      <c r="B16" s="79">
        <v>14743</v>
      </c>
      <c r="C16" s="231">
        <v>19800</v>
      </c>
      <c r="D16" s="78">
        <f t="shared" si="1"/>
        <v>1.3430102421488164</v>
      </c>
      <c r="E16" s="76">
        <f>+'TON  MOV '!M4</f>
        <v>11201</v>
      </c>
      <c r="F16" s="76">
        <v>13200</v>
      </c>
      <c r="G16" s="78">
        <f t="shared" si="2"/>
        <v>1.1784662083742523</v>
      </c>
      <c r="H16" s="78" t="str">
        <f t="shared" si="3"/>
        <v>CUMPLE</v>
      </c>
      <c r="I16" s="78">
        <f t="shared" si="0"/>
        <v>-0.16454403377456406</v>
      </c>
      <c r="J16" s="84">
        <f t="shared" si="4"/>
        <v>-12.25188227241615</v>
      </c>
    </row>
    <row r="17" spans="1:10" ht="17.25" hidden="1" thickBot="1">
      <c r="A17" s="85" t="s">
        <v>175</v>
      </c>
      <c r="B17" s="86">
        <f>SUM(B5:B16)</f>
        <v>335755.84400000004</v>
      </c>
      <c r="C17" s="87">
        <f>SUM(C5:C16)</f>
        <v>290400</v>
      </c>
      <c r="D17" s="88">
        <f>+C17/B17</f>
        <v>0.86491420831382448</v>
      </c>
      <c r="E17" s="87">
        <f>SUM(E5:E16)</f>
        <v>321029</v>
      </c>
      <c r="F17" s="87">
        <f>SUM(F5:F16)</f>
        <v>275000</v>
      </c>
      <c r="G17" s="88">
        <f>+F17/E17</f>
        <v>0.85662042993000631</v>
      </c>
      <c r="H17" s="88" t="str">
        <f t="shared" ref="H17" si="5">+IF(G17&lt;=1.2,"CUMPLE","NO CUMPLE")</f>
        <v>CUMPLE</v>
      </c>
      <c r="I17" s="88">
        <f t="shared" si="0"/>
        <v>-8.2937783838181733E-3</v>
      </c>
      <c r="J17" s="89">
        <f t="shared" si="4"/>
        <v>-0.95891341639387984</v>
      </c>
    </row>
  </sheetData>
  <mergeCells count="8">
    <mergeCell ref="A1:C2"/>
    <mergeCell ref="D1:H2"/>
    <mergeCell ref="I1:J2"/>
    <mergeCell ref="A3:A4"/>
    <mergeCell ref="B3:D3"/>
    <mergeCell ref="I3:J3"/>
    <mergeCell ref="H3:H4"/>
    <mergeCell ref="E3:G3"/>
  </mergeCells>
  <conditionalFormatting sqref="H5:H16">
    <cfRule type="containsText" dxfId="245" priority="5" operator="containsText" text="NO CUMPLE">
      <formula>NOT(ISERROR(SEARCH("NO CUMPLE",H5)))</formula>
    </cfRule>
    <cfRule type="containsText" dxfId="244" priority="6" operator="containsText" text="CUMPLE">
      <formula>NOT(ISERROR(SEARCH("CUMPLE",H5)))</formula>
    </cfRule>
    <cfRule type="containsText" dxfId="243" priority="9" operator="containsText" text="NO CUMPLE">
      <formula>NOT(ISERROR(SEARCH("NO CUMPLE",H5)))</formula>
    </cfRule>
    <cfRule type="containsText" dxfId="242" priority="10" operator="containsText" text="CUMPLE">
      <formula>NOT(ISERROR(SEARCH("CUMPLE",H5)))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N49"/>
  <sheetViews>
    <sheetView showGridLines="0" topLeftCell="A13" zoomScale="90" zoomScaleNormal="90" zoomScaleSheetLayoutView="85" workbookViewId="0">
      <selection activeCell="P25" sqref="P25:P26"/>
    </sheetView>
  </sheetViews>
  <sheetFormatPr baseColWidth="10" defaultRowHeight="15"/>
  <cols>
    <col min="1" max="1" width="14.85546875" customWidth="1"/>
    <col min="8" max="9" width="14.28515625" customWidth="1"/>
    <col min="10" max="10" width="15.5703125" customWidth="1"/>
  </cols>
  <sheetData>
    <row r="1" spans="1:14" ht="52.5" customHeight="1" thickBot="1">
      <c r="A1" s="351" t="s">
        <v>192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3"/>
    </row>
    <row r="2" spans="1:14">
      <c r="A2" s="270"/>
      <c r="B2" s="271"/>
      <c r="C2" s="271"/>
      <c r="D2" s="271"/>
      <c r="E2" s="271"/>
      <c r="F2" s="271"/>
      <c r="G2" s="272"/>
      <c r="H2" s="270"/>
      <c r="I2" s="271"/>
      <c r="J2" s="271"/>
      <c r="K2" s="271"/>
      <c r="L2" s="271"/>
      <c r="M2" s="271"/>
      <c r="N2" s="272"/>
    </row>
    <row r="3" spans="1:14">
      <c r="A3" s="273"/>
      <c r="B3" s="274"/>
      <c r="C3" s="274"/>
      <c r="D3" s="274"/>
      <c r="E3" s="274"/>
      <c r="F3" s="274"/>
      <c r="G3" s="275"/>
      <c r="H3" s="273"/>
      <c r="I3" s="274"/>
      <c r="J3" s="274"/>
      <c r="K3" s="274"/>
      <c r="L3" s="274"/>
      <c r="M3" s="274"/>
      <c r="N3" s="275"/>
    </row>
    <row r="4" spans="1:14">
      <c r="A4" s="273"/>
      <c r="B4" s="274"/>
      <c r="C4" s="274"/>
      <c r="D4" s="274"/>
      <c r="E4" s="274"/>
      <c r="F4" s="274"/>
      <c r="G4" s="275"/>
      <c r="H4" s="273"/>
      <c r="I4" s="274"/>
      <c r="J4" s="274"/>
      <c r="K4" s="274"/>
      <c r="L4" s="274"/>
      <c r="M4" s="274"/>
      <c r="N4" s="275"/>
    </row>
    <row r="5" spans="1:14">
      <c r="A5" s="273"/>
      <c r="B5" s="274"/>
      <c r="C5" s="274"/>
      <c r="D5" s="274"/>
      <c r="E5" s="274"/>
      <c r="F5" s="274"/>
      <c r="G5" s="275"/>
      <c r="H5" s="273"/>
      <c r="I5" s="274"/>
      <c r="J5" s="274"/>
      <c r="K5" s="274"/>
      <c r="L5" s="274"/>
      <c r="M5" s="274"/>
      <c r="N5" s="275"/>
    </row>
    <row r="6" spans="1:14">
      <c r="A6" s="273"/>
      <c r="B6" s="274"/>
      <c r="C6" s="274"/>
      <c r="D6" s="274"/>
      <c r="E6" s="274"/>
      <c r="F6" s="274"/>
      <c r="G6" s="275"/>
      <c r="H6" s="273"/>
      <c r="I6" s="274"/>
      <c r="J6" s="274"/>
      <c r="K6" s="274"/>
      <c r="L6" s="274"/>
      <c r="M6" s="274"/>
      <c r="N6" s="275"/>
    </row>
    <row r="7" spans="1:14">
      <c r="A7" s="273"/>
      <c r="B7" s="274"/>
      <c r="C7" s="274"/>
      <c r="D7" s="274"/>
      <c r="E7" s="274"/>
      <c r="F7" s="274"/>
      <c r="G7" s="275"/>
      <c r="H7" s="273"/>
      <c r="I7" s="274"/>
      <c r="J7" s="274"/>
      <c r="K7" s="274"/>
      <c r="L7" s="274"/>
      <c r="M7" s="274"/>
      <c r="N7" s="275"/>
    </row>
    <row r="8" spans="1:14">
      <c r="A8" s="273"/>
      <c r="B8" s="274"/>
      <c r="C8" s="274"/>
      <c r="D8" s="274"/>
      <c r="E8" s="274"/>
      <c r="F8" s="274"/>
      <c r="G8" s="275"/>
      <c r="H8" s="273"/>
      <c r="I8" s="274"/>
      <c r="J8" s="274"/>
      <c r="K8" s="274"/>
      <c r="L8" s="274"/>
      <c r="M8" s="274"/>
      <c r="N8" s="275"/>
    </row>
    <row r="9" spans="1:14">
      <c r="A9" s="273"/>
      <c r="B9" s="274"/>
      <c r="C9" s="274"/>
      <c r="D9" s="274"/>
      <c r="E9" s="274"/>
      <c r="F9" s="274"/>
      <c r="G9" s="275"/>
      <c r="H9" s="273"/>
      <c r="I9" s="274"/>
      <c r="J9" s="274"/>
      <c r="K9" s="274"/>
      <c r="L9" s="274"/>
      <c r="M9" s="274"/>
      <c r="N9" s="275"/>
    </row>
    <row r="10" spans="1:14">
      <c r="A10" s="273"/>
      <c r="B10" s="274"/>
      <c r="C10" s="274"/>
      <c r="D10" s="274"/>
      <c r="E10" s="274"/>
      <c r="F10" s="274"/>
      <c r="G10" s="275"/>
      <c r="H10" s="273"/>
      <c r="I10" s="274"/>
      <c r="J10" s="274"/>
      <c r="K10" s="274"/>
      <c r="L10" s="274"/>
      <c r="M10" s="274"/>
      <c r="N10" s="275"/>
    </row>
    <row r="11" spans="1:14">
      <c r="A11" s="273"/>
      <c r="B11" s="274"/>
      <c r="C11" s="274"/>
      <c r="D11" s="274"/>
      <c r="E11" s="274"/>
      <c r="F11" s="274"/>
      <c r="G11" s="275"/>
      <c r="H11" s="273"/>
      <c r="I11" s="274"/>
      <c r="J11" s="274"/>
      <c r="K11" s="274"/>
      <c r="L11" s="274"/>
      <c r="M11" s="274"/>
      <c r="N11" s="275"/>
    </row>
    <row r="12" spans="1:14">
      <c r="A12" s="273"/>
      <c r="B12" s="274"/>
      <c r="C12" s="274"/>
      <c r="D12" s="274"/>
      <c r="E12" s="274"/>
      <c r="F12" s="274"/>
      <c r="G12" s="275"/>
      <c r="H12" s="273"/>
      <c r="I12" s="274"/>
      <c r="J12" s="274"/>
      <c r="K12" s="274"/>
      <c r="L12" s="274"/>
      <c r="M12" s="274"/>
      <c r="N12" s="275"/>
    </row>
    <row r="13" spans="1:14">
      <c r="A13" s="273"/>
      <c r="B13" s="274"/>
      <c r="C13" s="274"/>
      <c r="D13" s="274"/>
      <c r="E13" s="274"/>
      <c r="F13" s="274"/>
      <c r="G13" s="275"/>
      <c r="H13" s="273"/>
      <c r="I13" s="274"/>
      <c r="J13" s="274"/>
      <c r="K13" s="274"/>
      <c r="L13" s="274"/>
      <c r="M13" s="274"/>
      <c r="N13" s="275"/>
    </row>
    <row r="14" spans="1:14">
      <c r="A14" s="273"/>
      <c r="B14" s="274"/>
      <c r="C14" s="274"/>
      <c r="D14" s="274"/>
      <c r="E14" s="274"/>
      <c r="F14" s="274"/>
      <c r="G14" s="275"/>
      <c r="H14" s="273"/>
      <c r="I14" s="274"/>
      <c r="J14" s="274"/>
      <c r="K14" s="274"/>
      <c r="L14" s="274"/>
      <c r="M14" s="274"/>
      <c r="N14" s="275"/>
    </row>
    <row r="15" spans="1:14">
      <c r="A15" s="273"/>
      <c r="B15" s="274"/>
      <c r="C15" s="274"/>
      <c r="D15" s="274"/>
      <c r="E15" s="274"/>
      <c r="F15" s="274"/>
      <c r="G15" s="275"/>
      <c r="H15" s="273"/>
      <c r="I15" s="274"/>
      <c r="J15" s="274"/>
      <c r="K15" s="274"/>
      <c r="L15" s="274"/>
      <c r="M15" s="274"/>
      <c r="N15" s="275"/>
    </row>
    <row r="16" spans="1:14">
      <c r="A16" s="273"/>
      <c r="B16" s="274"/>
      <c r="C16" s="274"/>
      <c r="D16" s="274"/>
      <c r="E16" s="274"/>
      <c r="F16" s="274"/>
      <c r="G16" s="275"/>
      <c r="H16" s="273"/>
      <c r="I16" s="274"/>
      <c r="J16" s="274"/>
      <c r="K16" s="274"/>
      <c r="L16" s="274"/>
      <c r="M16" s="274"/>
      <c r="N16" s="275"/>
    </row>
    <row r="17" spans="1:14">
      <c r="A17" s="273"/>
      <c r="B17" s="274"/>
      <c r="C17" s="274"/>
      <c r="D17" s="274"/>
      <c r="E17" s="274"/>
      <c r="F17" s="274"/>
      <c r="G17" s="275"/>
      <c r="H17" s="273"/>
      <c r="I17" s="274"/>
      <c r="J17" s="274"/>
      <c r="K17" s="274"/>
      <c r="L17" s="274"/>
      <c r="M17" s="274"/>
      <c r="N17" s="275"/>
    </row>
    <row r="18" spans="1:14" ht="15.75" thickBot="1">
      <c r="A18" s="276"/>
      <c r="B18" s="277"/>
      <c r="C18" s="277"/>
      <c r="D18" s="277"/>
      <c r="E18" s="277"/>
      <c r="F18" s="277"/>
      <c r="G18" s="278"/>
      <c r="H18" s="276"/>
      <c r="I18" s="277"/>
      <c r="J18" s="277"/>
      <c r="K18" s="277"/>
      <c r="L18" s="277"/>
      <c r="M18" s="277"/>
      <c r="N18" s="278"/>
    </row>
    <row r="19" spans="1:14">
      <c r="A19" s="270"/>
      <c r="B19" s="271"/>
      <c r="C19" s="271"/>
      <c r="D19" s="271"/>
      <c r="E19" s="271"/>
      <c r="F19" s="271"/>
      <c r="G19" s="272"/>
      <c r="H19" s="270"/>
      <c r="I19" s="271"/>
      <c r="J19" s="271"/>
      <c r="K19" s="271"/>
      <c r="L19" s="271"/>
      <c r="M19" s="271"/>
      <c r="N19" s="272"/>
    </row>
    <row r="20" spans="1:14">
      <c r="A20" s="273"/>
      <c r="B20" s="274"/>
      <c r="C20" s="274"/>
      <c r="D20" s="274"/>
      <c r="E20" s="274"/>
      <c r="F20" s="274"/>
      <c r="G20" s="275"/>
      <c r="H20" s="273"/>
      <c r="I20" s="274"/>
      <c r="J20" s="274"/>
      <c r="K20" s="274"/>
      <c r="L20" s="274"/>
      <c r="M20" s="274"/>
      <c r="N20" s="275"/>
    </row>
    <row r="21" spans="1:14">
      <c r="A21" s="273"/>
      <c r="B21" s="274"/>
      <c r="C21" s="274"/>
      <c r="D21" s="274"/>
      <c r="E21" s="274"/>
      <c r="F21" s="274"/>
      <c r="G21" s="275"/>
      <c r="H21" s="273"/>
      <c r="I21" s="274"/>
      <c r="J21" s="274"/>
      <c r="K21" s="274"/>
      <c r="L21" s="274"/>
      <c r="M21" s="274"/>
      <c r="N21" s="275"/>
    </row>
    <row r="22" spans="1:14">
      <c r="A22" s="273"/>
      <c r="B22" s="274"/>
      <c r="C22" s="274"/>
      <c r="D22" s="274"/>
      <c r="E22" s="274"/>
      <c r="F22" s="274"/>
      <c r="G22" s="275"/>
      <c r="H22" s="273"/>
      <c r="I22" s="274"/>
      <c r="J22" s="274"/>
      <c r="K22" s="274"/>
      <c r="L22" s="274"/>
      <c r="M22" s="274"/>
      <c r="N22" s="275"/>
    </row>
    <row r="23" spans="1:14">
      <c r="A23" s="273"/>
      <c r="B23" s="274"/>
      <c r="C23" s="274"/>
      <c r="D23" s="274"/>
      <c r="E23" s="274"/>
      <c r="F23" s="274"/>
      <c r="G23" s="275"/>
      <c r="H23" s="273"/>
      <c r="I23" s="274"/>
      <c r="J23" s="274"/>
      <c r="K23" s="274"/>
      <c r="L23" s="274"/>
      <c r="M23" s="274"/>
      <c r="N23" s="275"/>
    </row>
    <row r="24" spans="1:14">
      <c r="A24" s="273"/>
      <c r="B24" s="274"/>
      <c r="C24" s="274"/>
      <c r="D24" s="274"/>
      <c r="E24" s="274"/>
      <c r="F24" s="274"/>
      <c r="G24" s="275"/>
      <c r="H24" s="273"/>
      <c r="I24" s="274"/>
      <c r="J24" s="274"/>
      <c r="K24" s="274"/>
      <c r="L24" s="274"/>
      <c r="M24" s="274"/>
      <c r="N24" s="275"/>
    </row>
    <row r="25" spans="1:14">
      <c r="A25" s="273"/>
      <c r="B25" s="274"/>
      <c r="C25" s="274"/>
      <c r="D25" s="274"/>
      <c r="E25" s="274"/>
      <c r="F25" s="274"/>
      <c r="G25" s="275"/>
      <c r="H25" s="273"/>
      <c r="I25" s="274"/>
      <c r="J25" s="274"/>
      <c r="K25" s="274"/>
      <c r="L25" s="274"/>
      <c r="M25" s="274"/>
      <c r="N25" s="275"/>
    </row>
    <row r="26" spans="1:14">
      <c r="A26" s="273"/>
      <c r="B26" s="274"/>
      <c r="C26" s="274"/>
      <c r="D26" s="274"/>
      <c r="E26" s="274"/>
      <c r="F26" s="274"/>
      <c r="G26" s="275"/>
      <c r="H26" s="273"/>
      <c r="I26" s="274"/>
      <c r="J26" s="274"/>
      <c r="K26" s="274"/>
      <c r="L26" s="274"/>
      <c r="M26" s="274"/>
      <c r="N26" s="275"/>
    </row>
    <row r="27" spans="1:14">
      <c r="A27" s="273"/>
      <c r="B27" s="274"/>
      <c r="C27" s="274"/>
      <c r="D27" s="274"/>
      <c r="E27" s="274"/>
      <c r="F27" s="274"/>
      <c r="G27" s="275"/>
      <c r="H27" s="273"/>
      <c r="I27" s="274"/>
      <c r="J27" s="274"/>
      <c r="K27" s="274"/>
      <c r="L27" s="274"/>
      <c r="M27" s="274"/>
      <c r="N27" s="275"/>
    </row>
    <row r="28" spans="1:14">
      <c r="A28" s="273"/>
      <c r="B28" s="274"/>
      <c r="C28" s="274"/>
      <c r="D28" s="274"/>
      <c r="E28" s="274"/>
      <c r="F28" s="274"/>
      <c r="G28" s="275"/>
      <c r="H28" s="273"/>
      <c r="I28" s="274"/>
      <c r="J28" s="274"/>
      <c r="K28" s="274"/>
      <c r="L28" s="274"/>
      <c r="M28" s="274"/>
      <c r="N28" s="275"/>
    </row>
    <row r="29" spans="1:14">
      <c r="A29" s="273"/>
      <c r="B29" s="274"/>
      <c r="C29" s="274"/>
      <c r="D29" s="274"/>
      <c r="E29" s="274"/>
      <c r="F29" s="274"/>
      <c r="G29" s="275"/>
      <c r="H29" s="273"/>
      <c r="I29" s="274"/>
      <c r="J29" s="274"/>
      <c r="K29" s="274"/>
      <c r="L29" s="274"/>
      <c r="M29" s="274"/>
      <c r="N29" s="275"/>
    </row>
    <row r="30" spans="1:14">
      <c r="A30" s="273"/>
      <c r="B30" s="274"/>
      <c r="C30" s="274"/>
      <c r="D30" s="274"/>
      <c r="E30" s="274"/>
      <c r="F30" s="274"/>
      <c r="G30" s="275"/>
      <c r="H30" s="273"/>
      <c r="I30" s="274"/>
      <c r="J30" s="274"/>
      <c r="K30" s="274"/>
      <c r="L30" s="274"/>
      <c r="M30" s="274"/>
      <c r="N30" s="275"/>
    </row>
    <row r="31" spans="1:14">
      <c r="A31" s="273"/>
      <c r="B31" s="274"/>
      <c r="C31" s="274"/>
      <c r="D31" s="274"/>
      <c r="E31" s="274"/>
      <c r="F31" s="274"/>
      <c r="G31" s="275"/>
      <c r="H31" s="273"/>
      <c r="I31" s="274"/>
      <c r="J31" s="274"/>
      <c r="K31" s="274"/>
      <c r="L31" s="274"/>
      <c r="M31" s="274"/>
      <c r="N31" s="275"/>
    </row>
    <row r="32" spans="1:14">
      <c r="A32" s="273"/>
      <c r="B32" s="274"/>
      <c r="C32" s="274"/>
      <c r="D32" s="274"/>
      <c r="E32" s="274"/>
      <c r="F32" s="274"/>
      <c r="G32" s="275"/>
      <c r="H32" s="273"/>
      <c r="I32" s="274"/>
      <c r="J32" s="274"/>
      <c r="K32" s="274"/>
      <c r="L32" s="274"/>
      <c r="M32" s="274"/>
      <c r="N32" s="275"/>
    </row>
    <row r="33" spans="1:14">
      <c r="A33" s="273"/>
      <c r="B33" s="274"/>
      <c r="C33" s="274"/>
      <c r="D33" s="274"/>
      <c r="E33" s="274"/>
      <c r="F33" s="274"/>
      <c r="G33" s="275"/>
      <c r="H33" s="273"/>
      <c r="I33" s="274"/>
      <c r="J33" s="274"/>
      <c r="K33" s="274"/>
      <c r="L33" s="274"/>
      <c r="M33" s="274"/>
      <c r="N33" s="275"/>
    </row>
    <row r="34" spans="1:14">
      <c r="A34" s="273"/>
      <c r="B34" s="274"/>
      <c r="C34" s="274"/>
      <c r="D34" s="274"/>
      <c r="E34" s="274"/>
      <c r="F34" s="274"/>
      <c r="G34" s="275"/>
      <c r="H34" s="273"/>
      <c r="I34" s="274"/>
      <c r="J34" s="274"/>
      <c r="K34" s="274"/>
      <c r="L34" s="274"/>
      <c r="M34" s="274"/>
      <c r="N34" s="275"/>
    </row>
    <row r="35" spans="1:14" ht="15.75" thickBot="1">
      <c r="A35" s="276"/>
      <c r="B35" s="277"/>
      <c r="C35" s="277"/>
      <c r="D35" s="277"/>
      <c r="E35" s="277"/>
      <c r="F35" s="277"/>
      <c r="G35" s="278"/>
      <c r="H35" s="276"/>
      <c r="I35" s="277"/>
      <c r="J35" s="277"/>
      <c r="K35" s="277"/>
      <c r="L35" s="277"/>
      <c r="M35" s="277"/>
      <c r="N35" s="278"/>
    </row>
    <row r="37" spans="1:14">
      <c r="B37" s="192">
        <v>1.8</v>
      </c>
    </row>
    <row r="38" spans="1:14">
      <c r="B38" s="192">
        <v>1.8</v>
      </c>
    </row>
    <row r="39" spans="1:14">
      <c r="B39" s="192">
        <v>1.8</v>
      </c>
    </row>
    <row r="40" spans="1:14">
      <c r="B40" s="192">
        <v>1.8</v>
      </c>
    </row>
    <row r="41" spans="1:14">
      <c r="B41" s="192">
        <v>1.8</v>
      </c>
    </row>
    <row r="42" spans="1:14">
      <c r="B42" s="192">
        <v>1.8</v>
      </c>
    </row>
    <row r="43" spans="1:14">
      <c r="B43" s="192">
        <v>1.8</v>
      </c>
    </row>
    <row r="44" spans="1:14">
      <c r="B44" s="192">
        <v>1.8</v>
      </c>
    </row>
    <row r="45" spans="1:14">
      <c r="B45" s="192">
        <v>1.8</v>
      </c>
    </row>
    <row r="46" spans="1:14">
      <c r="B46" s="192">
        <v>1.8</v>
      </c>
    </row>
    <row r="47" spans="1:14">
      <c r="B47" s="192">
        <v>1.8</v>
      </c>
    </row>
    <row r="48" spans="1:14">
      <c r="B48" s="192">
        <v>1.8</v>
      </c>
    </row>
    <row r="49" spans="2:2">
      <c r="B49" s="192"/>
    </row>
  </sheetData>
  <mergeCells count="5">
    <mergeCell ref="A19:G35"/>
    <mergeCell ref="H19:N35"/>
    <mergeCell ref="A1:N1"/>
    <mergeCell ref="A2:G18"/>
    <mergeCell ref="H2:N18"/>
  </mergeCells>
  <pageMargins left="0.7" right="0.7" top="0.75" bottom="0.75" header="0.3" footer="0.3"/>
  <pageSetup scale="5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J17"/>
  <sheetViews>
    <sheetView showGridLines="0" zoomScale="90" zoomScaleNormal="90" zoomScaleSheetLayoutView="115" workbookViewId="0">
      <selection activeCell="F16" sqref="F16"/>
    </sheetView>
  </sheetViews>
  <sheetFormatPr baseColWidth="10" defaultRowHeight="16.5"/>
  <cols>
    <col min="1" max="1" width="14.85546875" style="68" customWidth="1"/>
    <col min="2" max="3" width="11.42578125" style="68"/>
    <col min="4" max="4" width="13.85546875" style="68" customWidth="1"/>
    <col min="5" max="6" width="11.42578125" style="68"/>
    <col min="7" max="7" width="14.28515625" style="68" customWidth="1"/>
    <col min="8" max="8" width="15.7109375" style="68" customWidth="1"/>
    <col min="9" max="9" width="15.5703125" style="68" customWidth="1"/>
    <col min="10" max="10" width="18.5703125" style="68" customWidth="1"/>
    <col min="11" max="16384" width="11.42578125" style="68"/>
  </cols>
  <sheetData>
    <row r="1" spans="1:10" ht="27" customHeight="1">
      <c r="A1" s="241"/>
      <c r="B1" s="242"/>
      <c r="C1" s="324"/>
      <c r="D1" s="354" t="s">
        <v>194</v>
      </c>
      <c r="E1" s="339"/>
      <c r="F1" s="339"/>
      <c r="G1" s="339"/>
      <c r="H1" s="355"/>
      <c r="I1" s="309" t="s">
        <v>241</v>
      </c>
      <c r="J1" s="310"/>
    </row>
    <row r="2" spans="1:10" ht="33" customHeight="1" thickBot="1">
      <c r="A2" s="325"/>
      <c r="B2" s="326"/>
      <c r="C2" s="327"/>
      <c r="D2" s="356"/>
      <c r="E2" s="357"/>
      <c r="F2" s="357"/>
      <c r="G2" s="357"/>
      <c r="H2" s="358"/>
      <c r="I2" s="311"/>
      <c r="J2" s="312"/>
    </row>
    <row r="3" spans="1:10">
      <c r="A3" s="359" t="s">
        <v>163</v>
      </c>
      <c r="B3" s="361" t="s">
        <v>351</v>
      </c>
      <c r="C3" s="361"/>
      <c r="D3" s="361"/>
      <c r="E3" s="363" t="s">
        <v>371</v>
      </c>
      <c r="F3" s="364"/>
      <c r="G3" s="365"/>
      <c r="H3" s="366" t="s">
        <v>346</v>
      </c>
      <c r="I3" s="361" t="s">
        <v>208</v>
      </c>
      <c r="J3" s="362"/>
    </row>
    <row r="4" spans="1:10" ht="50.25" thickBot="1">
      <c r="A4" s="360"/>
      <c r="B4" s="112" t="s">
        <v>372</v>
      </c>
      <c r="C4" s="112" t="s">
        <v>353</v>
      </c>
      <c r="D4" s="112" t="s">
        <v>352</v>
      </c>
      <c r="E4" s="112" t="s">
        <v>373</v>
      </c>
      <c r="F4" s="112" t="s">
        <v>374</v>
      </c>
      <c r="G4" s="112" t="s">
        <v>375</v>
      </c>
      <c r="H4" s="367"/>
      <c r="I4" s="112" t="s">
        <v>191</v>
      </c>
      <c r="J4" s="211" t="s">
        <v>190</v>
      </c>
    </row>
    <row r="5" spans="1:10">
      <c r="A5" s="206" t="s">
        <v>23</v>
      </c>
      <c r="B5" s="207">
        <v>35071.997000000003</v>
      </c>
      <c r="C5" s="208">
        <v>21267</v>
      </c>
      <c r="D5" s="209">
        <f>C5/B5</f>
        <v>0.6063812106279548</v>
      </c>
      <c r="E5" s="212">
        <f>+'TON  MOV '!B4</f>
        <v>39344</v>
      </c>
      <c r="F5" s="208">
        <v>27080</v>
      </c>
      <c r="G5" s="209">
        <f>+F5/E5</f>
        <v>0.68828792191947952</v>
      </c>
      <c r="H5" s="209" t="str">
        <f>+IF(G5&lt;=2,"CUMPLE","NO CUMPLE")</f>
        <v>CUMPLE</v>
      </c>
      <c r="I5" s="209">
        <f t="shared" ref="I5:I17" si="0">+G5-D5</f>
        <v>8.1906711291524714E-2</v>
      </c>
      <c r="J5" s="210">
        <f t="shared" ref="J5:J17" si="1">+((I5*100)/D5)</f>
        <v>13.507461949011244</v>
      </c>
    </row>
    <row r="6" spans="1:10">
      <c r="A6" s="83" t="s">
        <v>4</v>
      </c>
      <c r="B6" s="79">
        <v>32688.387999999999</v>
      </c>
      <c r="C6" s="231">
        <v>46537</v>
      </c>
      <c r="D6" s="209">
        <f>C6/B6</f>
        <v>1.423655397139804</v>
      </c>
      <c r="E6" s="80">
        <f>+'TON  MOV '!C4</f>
        <v>30364</v>
      </c>
      <c r="F6" s="76">
        <v>23016</v>
      </c>
      <c r="G6" s="209">
        <f t="shared" ref="G6:G16" si="2">+F6/E6</f>
        <v>0.75800289816888422</v>
      </c>
      <c r="H6" s="78" t="str">
        <f t="shared" ref="H6:H16" si="3">+IF(G6&lt;=2,"CUMPLE","NO CUMPLE")</f>
        <v>CUMPLE</v>
      </c>
      <c r="I6" s="78">
        <f>+G6-D6</f>
        <v>-0.66565249897091983</v>
      </c>
      <c r="J6" s="84">
        <f>+((I6*100)/D6)</f>
        <v>-46.756574681502947</v>
      </c>
    </row>
    <row r="7" spans="1:10">
      <c r="A7" s="83" t="s">
        <v>5</v>
      </c>
      <c r="B7" s="79">
        <v>40641</v>
      </c>
      <c r="C7" s="231">
        <v>20219</v>
      </c>
      <c r="D7" s="209">
        <f t="shared" ref="D7:D17" si="4">C7/B7</f>
        <v>0.49750252208361012</v>
      </c>
      <c r="E7" s="80">
        <f>+'TON  MOV '!D4</f>
        <v>16913</v>
      </c>
      <c r="F7" s="219">
        <v>29777</v>
      </c>
      <c r="G7" s="209">
        <f t="shared" si="2"/>
        <v>1.7605983562939751</v>
      </c>
      <c r="H7" s="78" t="str">
        <f t="shared" si="3"/>
        <v>CUMPLE</v>
      </c>
      <c r="I7" s="78">
        <f t="shared" si="0"/>
        <v>1.2630958342103651</v>
      </c>
      <c r="J7" s="84">
        <f t="shared" si="1"/>
        <v>253.88732280599163</v>
      </c>
    </row>
    <row r="8" spans="1:10">
      <c r="A8" s="83" t="s">
        <v>27</v>
      </c>
      <c r="B8" s="79">
        <v>40692</v>
      </c>
      <c r="C8" s="231">
        <v>25548</v>
      </c>
      <c r="D8" s="209">
        <f t="shared" si="4"/>
        <v>0.62783839575346501</v>
      </c>
      <c r="E8" s="82">
        <f>+'TON  MOV '!E4</f>
        <v>49992</v>
      </c>
      <c r="F8" s="76">
        <v>50682</v>
      </c>
      <c r="G8" s="209">
        <f t="shared" si="2"/>
        <v>1.0138022083533365</v>
      </c>
      <c r="H8" s="78" t="str">
        <f t="shared" si="3"/>
        <v>CUMPLE</v>
      </c>
      <c r="I8" s="78">
        <f t="shared" si="0"/>
        <v>0.38596381259987145</v>
      </c>
      <c r="J8" s="84">
        <f t="shared" si="1"/>
        <v>61.475025294794001</v>
      </c>
    </row>
    <row r="9" spans="1:10">
      <c r="A9" s="83" t="s">
        <v>28</v>
      </c>
      <c r="B9" s="79">
        <v>42568</v>
      </c>
      <c r="C9" s="231">
        <v>20863</v>
      </c>
      <c r="D9" s="209">
        <f t="shared" si="4"/>
        <v>0.49010994174027439</v>
      </c>
      <c r="E9" s="82">
        <f>+'TON  MOV '!F4</f>
        <v>25073</v>
      </c>
      <c r="F9" s="76">
        <v>50344</v>
      </c>
      <c r="G9" s="209">
        <f t="shared" si="2"/>
        <v>2.0078969409324769</v>
      </c>
      <c r="H9" s="78" t="str">
        <f t="shared" si="3"/>
        <v>NO CUMPLE</v>
      </c>
      <c r="I9" s="78">
        <f t="shared" si="0"/>
        <v>1.5177869991922026</v>
      </c>
      <c r="J9" s="84">
        <f t="shared" si="1"/>
        <v>309.68296496962893</v>
      </c>
    </row>
    <row r="10" spans="1:10">
      <c r="A10" s="83" t="s">
        <v>29</v>
      </c>
      <c r="B10" s="79">
        <v>31981.459000000003</v>
      </c>
      <c r="C10" s="231">
        <v>14351</v>
      </c>
      <c r="D10" s="209">
        <f t="shared" si="4"/>
        <v>0.44872874624012615</v>
      </c>
      <c r="E10" s="82">
        <f>+'TON  MOV '!G4</f>
        <v>30744</v>
      </c>
      <c r="F10" s="76">
        <v>44924</v>
      </c>
      <c r="G10" s="209">
        <f t="shared" si="2"/>
        <v>1.4612282071298466</v>
      </c>
      <c r="H10" s="78" t="str">
        <f t="shared" si="3"/>
        <v>CUMPLE</v>
      </c>
      <c r="I10" s="78">
        <f t="shared" si="0"/>
        <v>1.0124994608897204</v>
      </c>
      <c r="J10" s="84">
        <f t="shared" si="1"/>
        <v>225.63730747659883</v>
      </c>
    </row>
    <row r="11" spans="1:10">
      <c r="A11" s="83" t="s">
        <v>30</v>
      </c>
      <c r="B11" s="79">
        <v>9921</v>
      </c>
      <c r="C11" s="231">
        <v>13603</v>
      </c>
      <c r="D11" s="209">
        <f t="shared" si="4"/>
        <v>1.3711319423445216</v>
      </c>
      <c r="E11" s="82">
        <f>+'TON  MOV '!H4</f>
        <v>48048</v>
      </c>
      <c r="F11" s="227">
        <v>33042</v>
      </c>
      <c r="G11" s="209">
        <f t="shared" si="2"/>
        <v>0.68768731268731265</v>
      </c>
      <c r="H11" s="78" t="str">
        <f>+IF(G11&lt;=2,"CUMPLE","NO CUMPLE")</f>
        <v>CUMPLE</v>
      </c>
      <c r="I11" s="78">
        <f t="shared" si="0"/>
        <v>-0.68344462965720898</v>
      </c>
      <c r="J11" s="84">
        <f t="shared" si="1"/>
        <v>-49.845285384320889</v>
      </c>
    </row>
    <row r="12" spans="1:10">
      <c r="A12" s="83" t="s">
        <v>31</v>
      </c>
      <c r="B12" s="79">
        <v>14295</v>
      </c>
      <c r="C12" s="231">
        <v>19935</v>
      </c>
      <c r="D12" s="209">
        <f t="shared" si="4"/>
        <v>1.3945435466946485</v>
      </c>
      <c r="E12" s="82">
        <f>+'TON  MOV '!I4</f>
        <v>19802</v>
      </c>
      <c r="F12" s="227">
        <v>45476</v>
      </c>
      <c r="G12" s="209">
        <f t="shared" si="2"/>
        <v>2.2965357034642966</v>
      </c>
      <c r="H12" s="78" t="str">
        <f t="shared" si="3"/>
        <v>NO CUMPLE</v>
      </c>
      <c r="I12" s="78">
        <f t="shared" si="0"/>
        <v>0.90199215676964806</v>
      </c>
      <c r="J12" s="84">
        <f>+((I12*100)/D12)</f>
        <v>64.680099729230591</v>
      </c>
    </row>
    <row r="13" spans="1:10">
      <c r="A13" s="83" t="s">
        <v>32</v>
      </c>
      <c r="B13" s="79">
        <v>27912</v>
      </c>
      <c r="C13" s="231">
        <v>18562</v>
      </c>
      <c r="D13" s="209">
        <f t="shared" si="4"/>
        <v>0.66501862997993699</v>
      </c>
      <c r="E13" s="82">
        <f>+'TON  MOV '!I4</f>
        <v>19802</v>
      </c>
      <c r="F13" s="238">
        <v>15692</v>
      </c>
      <c r="G13" s="209">
        <f t="shared" si="2"/>
        <v>0.79244520755479242</v>
      </c>
      <c r="H13" s="78" t="str">
        <f t="shared" si="3"/>
        <v>CUMPLE</v>
      </c>
      <c r="I13" s="78">
        <f t="shared" si="0"/>
        <v>0.12742657757485543</v>
      </c>
      <c r="J13" s="84">
        <f t="shared" si="1"/>
        <v>19.161354559149682</v>
      </c>
    </row>
    <row r="14" spans="1:10">
      <c r="A14" s="83" t="s">
        <v>33</v>
      </c>
      <c r="B14" s="79">
        <v>13991</v>
      </c>
      <c r="C14" s="231">
        <v>15269</v>
      </c>
      <c r="D14" s="209">
        <f t="shared" si="4"/>
        <v>1.0913444357086699</v>
      </c>
      <c r="E14" s="82">
        <f>+'TON  MOV '!K4</f>
        <v>19737</v>
      </c>
      <c r="F14" s="238">
        <v>9751</v>
      </c>
      <c r="G14" s="209">
        <f t="shared" si="2"/>
        <v>0.49404671429295233</v>
      </c>
      <c r="H14" s="78" t="str">
        <f t="shared" si="3"/>
        <v>CUMPLE</v>
      </c>
      <c r="I14" s="78">
        <f t="shared" si="0"/>
        <v>-0.59729772141571758</v>
      </c>
      <c r="J14" s="84">
        <f t="shared" si="1"/>
        <v>-54.73045006436115</v>
      </c>
    </row>
    <row r="15" spans="1:10">
      <c r="A15" s="83" t="s">
        <v>34</v>
      </c>
      <c r="B15" s="79">
        <v>31251</v>
      </c>
      <c r="C15" s="231">
        <v>24319</v>
      </c>
      <c r="D15" s="209">
        <f t="shared" si="4"/>
        <v>0.77818309814085951</v>
      </c>
      <c r="E15" s="82">
        <f>+'TON  MOV '!L4</f>
        <v>4968</v>
      </c>
      <c r="F15" s="240">
        <v>3939</v>
      </c>
      <c r="G15" s="209">
        <f t="shared" si="2"/>
        <v>0.79287439613526567</v>
      </c>
      <c r="H15" s="78" t="str">
        <f t="shared" si="3"/>
        <v>CUMPLE</v>
      </c>
      <c r="I15" s="78">
        <f t="shared" si="0"/>
        <v>1.4691297994406161E-2</v>
      </c>
      <c r="J15" s="84">
        <f t="shared" si="1"/>
        <v>1.8878973379793038</v>
      </c>
    </row>
    <row r="16" spans="1:10">
      <c r="A16" s="83" t="s">
        <v>35</v>
      </c>
      <c r="B16" s="79">
        <v>14743</v>
      </c>
      <c r="C16" s="231">
        <v>27483</v>
      </c>
      <c r="D16" s="209">
        <f t="shared" si="4"/>
        <v>1.8641389133826223</v>
      </c>
      <c r="E16" s="80">
        <f>+'TON  MOV '!M4</f>
        <v>11201</v>
      </c>
      <c r="F16" s="76">
        <v>12323</v>
      </c>
      <c r="G16" s="209">
        <f t="shared" si="2"/>
        <v>1.1001696277118114</v>
      </c>
      <c r="H16" s="78" t="str">
        <f t="shared" si="3"/>
        <v>CUMPLE</v>
      </c>
      <c r="I16" s="78">
        <f t="shared" si="0"/>
        <v>-0.7639692856708109</v>
      </c>
      <c r="J16" s="84">
        <f t="shared" si="1"/>
        <v>-40.982422510805826</v>
      </c>
    </row>
    <row r="17" spans="1:10" ht="17.25" hidden="1" thickBot="1">
      <c r="A17" s="85" t="s">
        <v>175</v>
      </c>
      <c r="B17" s="86">
        <f>SUM(B5:B16)</f>
        <v>335755.84400000004</v>
      </c>
      <c r="C17" s="87">
        <f>SUM(C5:C16)</f>
        <v>267956</v>
      </c>
      <c r="D17" s="209">
        <f t="shared" si="4"/>
        <v>0.79806801516163628</v>
      </c>
      <c r="E17" s="87">
        <f>SUM(E5:E16)</f>
        <v>315988</v>
      </c>
      <c r="F17" s="87">
        <f>SUM(F5:F16)</f>
        <v>346046</v>
      </c>
      <c r="G17" s="87">
        <f>+F17/E17</f>
        <v>1.0951238654632454</v>
      </c>
      <c r="H17" s="88" t="str">
        <f t="shared" ref="H17" si="5">+IF(G17&lt;=1.5,"CUMPLE","NO CUMPLE")</f>
        <v>CUMPLE</v>
      </c>
      <c r="I17" s="88">
        <f t="shared" si="0"/>
        <v>0.29705585030160908</v>
      </c>
      <c r="J17" s="89">
        <f t="shared" si="1"/>
        <v>37.221871401705656</v>
      </c>
    </row>
  </sheetData>
  <mergeCells count="8">
    <mergeCell ref="A1:C2"/>
    <mergeCell ref="D1:H2"/>
    <mergeCell ref="A3:A4"/>
    <mergeCell ref="B3:D3"/>
    <mergeCell ref="I3:J3"/>
    <mergeCell ref="E3:G3"/>
    <mergeCell ref="H3:H4"/>
    <mergeCell ref="I1:J2"/>
  </mergeCells>
  <conditionalFormatting sqref="H5:H16">
    <cfRule type="containsText" dxfId="241" priority="3" operator="containsText" text="NO CUMPLE">
      <formula>NOT(ISERROR(SEARCH("NO CUMPLE",H5)))</formula>
    </cfRule>
    <cfRule type="containsText" dxfId="240" priority="4" operator="containsText" text="CUMPLE">
      <formula>NOT(ISERROR(SEARCH("CUMPLE",H5)))</formula>
    </cfRule>
  </conditionalFormatting>
  <pageMargins left="0.7" right="0.7" top="0.75" bottom="0.75" header="0.3" footer="0.3"/>
  <pageSetup scale="6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52"/>
  <sheetViews>
    <sheetView showGridLines="0" zoomScale="90" zoomScaleNormal="90" zoomScaleSheetLayoutView="100" workbookViewId="0">
      <selection activeCell="O12" sqref="O12"/>
    </sheetView>
  </sheetViews>
  <sheetFormatPr baseColWidth="10" defaultRowHeight="15"/>
  <cols>
    <col min="1" max="1" width="14.85546875" customWidth="1"/>
    <col min="8" max="9" width="14.28515625" customWidth="1"/>
    <col min="10" max="10" width="15.5703125" customWidth="1"/>
  </cols>
  <sheetData>
    <row r="1" spans="1:14" ht="52.5" customHeight="1" thickBot="1">
      <c r="A1" s="351" t="s">
        <v>195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3"/>
    </row>
    <row r="2" spans="1:14">
      <c r="A2" s="270"/>
      <c r="B2" s="271"/>
      <c r="C2" s="271"/>
      <c r="D2" s="271"/>
      <c r="E2" s="271"/>
      <c r="F2" s="271"/>
      <c r="G2" s="272"/>
      <c r="H2" s="270"/>
      <c r="I2" s="271"/>
      <c r="J2" s="271"/>
      <c r="K2" s="271"/>
      <c r="L2" s="271"/>
      <c r="M2" s="271"/>
      <c r="N2" s="272"/>
    </row>
    <row r="3" spans="1:14">
      <c r="A3" s="273"/>
      <c r="B3" s="274"/>
      <c r="C3" s="274"/>
      <c r="D3" s="274"/>
      <c r="E3" s="274"/>
      <c r="F3" s="274"/>
      <c r="G3" s="275"/>
      <c r="H3" s="273"/>
      <c r="I3" s="274"/>
      <c r="J3" s="274"/>
      <c r="K3" s="274"/>
      <c r="L3" s="274"/>
      <c r="M3" s="274"/>
      <c r="N3" s="275"/>
    </row>
    <row r="4" spans="1:14">
      <c r="A4" s="273"/>
      <c r="B4" s="274"/>
      <c r="C4" s="274"/>
      <c r="D4" s="274"/>
      <c r="E4" s="274"/>
      <c r="F4" s="274"/>
      <c r="G4" s="275"/>
      <c r="H4" s="273"/>
      <c r="I4" s="274"/>
      <c r="J4" s="274"/>
      <c r="K4" s="274"/>
      <c r="L4" s="274"/>
      <c r="M4" s="274"/>
      <c r="N4" s="275"/>
    </row>
    <row r="5" spans="1:14">
      <c r="A5" s="273"/>
      <c r="B5" s="274"/>
      <c r="C5" s="274"/>
      <c r="D5" s="274"/>
      <c r="E5" s="274"/>
      <c r="F5" s="274"/>
      <c r="G5" s="275"/>
      <c r="H5" s="273"/>
      <c r="I5" s="274"/>
      <c r="J5" s="274"/>
      <c r="K5" s="274"/>
      <c r="L5" s="274"/>
      <c r="M5" s="274"/>
      <c r="N5" s="275"/>
    </row>
    <row r="6" spans="1:14">
      <c r="A6" s="273"/>
      <c r="B6" s="274"/>
      <c r="C6" s="274"/>
      <c r="D6" s="274"/>
      <c r="E6" s="274"/>
      <c r="F6" s="274"/>
      <c r="G6" s="275"/>
      <c r="H6" s="273"/>
      <c r="I6" s="274"/>
      <c r="J6" s="274"/>
      <c r="K6" s="274"/>
      <c r="L6" s="274"/>
      <c r="M6" s="274"/>
      <c r="N6" s="275"/>
    </row>
    <row r="7" spans="1:14">
      <c r="A7" s="273"/>
      <c r="B7" s="274"/>
      <c r="C7" s="274"/>
      <c r="D7" s="274"/>
      <c r="E7" s="274"/>
      <c r="F7" s="274"/>
      <c r="G7" s="275"/>
      <c r="H7" s="273"/>
      <c r="I7" s="274"/>
      <c r="J7" s="274"/>
      <c r="K7" s="274"/>
      <c r="L7" s="274"/>
      <c r="M7" s="274"/>
      <c r="N7" s="275"/>
    </row>
    <row r="8" spans="1:14">
      <c r="A8" s="273"/>
      <c r="B8" s="274"/>
      <c r="C8" s="274"/>
      <c r="D8" s="274"/>
      <c r="E8" s="274"/>
      <c r="F8" s="274"/>
      <c r="G8" s="275"/>
      <c r="H8" s="273"/>
      <c r="I8" s="274"/>
      <c r="J8" s="274"/>
      <c r="K8" s="274"/>
      <c r="L8" s="274"/>
      <c r="M8" s="274"/>
      <c r="N8" s="275"/>
    </row>
    <row r="9" spans="1:14">
      <c r="A9" s="273"/>
      <c r="B9" s="274"/>
      <c r="C9" s="274"/>
      <c r="D9" s="274"/>
      <c r="E9" s="274"/>
      <c r="F9" s="274"/>
      <c r="G9" s="275"/>
      <c r="H9" s="273"/>
      <c r="I9" s="274"/>
      <c r="J9" s="274"/>
      <c r="K9" s="274"/>
      <c r="L9" s="274"/>
      <c r="M9" s="274"/>
      <c r="N9" s="275"/>
    </row>
    <row r="10" spans="1:14">
      <c r="A10" s="273"/>
      <c r="B10" s="274"/>
      <c r="C10" s="274"/>
      <c r="D10" s="274"/>
      <c r="E10" s="274"/>
      <c r="F10" s="274"/>
      <c r="G10" s="275"/>
      <c r="H10" s="273"/>
      <c r="I10" s="274"/>
      <c r="J10" s="274"/>
      <c r="K10" s="274"/>
      <c r="L10" s="274"/>
      <c r="M10" s="274"/>
      <c r="N10" s="275"/>
    </row>
    <row r="11" spans="1:14">
      <c r="A11" s="273"/>
      <c r="B11" s="274"/>
      <c r="C11" s="274"/>
      <c r="D11" s="274"/>
      <c r="E11" s="274"/>
      <c r="F11" s="274"/>
      <c r="G11" s="275"/>
      <c r="H11" s="273"/>
      <c r="I11" s="274"/>
      <c r="J11" s="274"/>
      <c r="K11" s="274"/>
      <c r="L11" s="274"/>
      <c r="M11" s="274"/>
      <c r="N11" s="275"/>
    </row>
    <row r="12" spans="1:14">
      <c r="A12" s="273"/>
      <c r="B12" s="274"/>
      <c r="C12" s="274"/>
      <c r="D12" s="274"/>
      <c r="E12" s="274"/>
      <c r="F12" s="274"/>
      <c r="G12" s="275"/>
      <c r="H12" s="273"/>
      <c r="I12" s="274"/>
      <c r="J12" s="274"/>
      <c r="K12" s="274"/>
      <c r="L12" s="274"/>
      <c r="M12" s="274"/>
      <c r="N12" s="275"/>
    </row>
    <row r="13" spans="1:14">
      <c r="A13" s="273"/>
      <c r="B13" s="274"/>
      <c r="C13" s="274"/>
      <c r="D13" s="274"/>
      <c r="E13" s="274"/>
      <c r="F13" s="274"/>
      <c r="G13" s="275"/>
      <c r="H13" s="273"/>
      <c r="I13" s="274"/>
      <c r="J13" s="274"/>
      <c r="K13" s="274"/>
      <c r="L13" s="274"/>
      <c r="M13" s="274"/>
      <c r="N13" s="275"/>
    </row>
    <row r="14" spans="1:14">
      <c r="A14" s="273"/>
      <c r="B14" s="274"/>
      <c r="C14" s="274"/>
      <c r="D14" s="274"/>
      <c r="E14" s="274"/>
      <c r="F14" s="274"/>
      <c r="G14" s="275"/>
      <c r="H14" s="273"/>
      <c r="I14" s="274"/>
      <c r="J14" s="274"/>
      <c r="K14" s="274"/>
      <c r="L14" s="274"/>
      <c r="M14" s="274"/>
      <c r="N14" s="275"/>
    </row>
    <row r="15" spans="1:14">
      <c r="A15" s="273"/>
      <c r="B15" s="274"/>
      <c r="C15" s="274"/>
      <c r="D15" s="274"/>
      <c r="E15" s="274"/>
      <c r="F15" s="274"/>
      <c r="G15" s="275"/>
      <c r="H15" s="273"/>
      <c r="I15" s="274"/>
      <c r="J15" s="274"/>
      <c r="K15" s="274"/>
      <c r="L15" s="274"/>
      <c r="M15" s="274"/>
      <c r="N15" s="275"/>
    </row>
    <row r="16" spans="1:14">
      <c r="A16" s="273"/>
      <c r="B16" s="274"/>
      <c r="C16" s="274"/>
      <c r="D16" s="274"/>
      <c r="E16" s="274"/>
      <c r="F16" s="274"/>
      <c r="G16" s="275"/>
      <c r="H16" s="273"/>
      <c r="I16" s="274"/>
      <c r="J16" s="274"/>
      <c r="K16" s="274"/>
      <c r="L16" s="274"/>
      <c r="M16" s="274"/>
      <c r="N16" s="275"/>
    </row>
    <row r="17" spans="1:14">
      <c r="A17" s="273"/>
      <c r="B17" s="274"/>
      <c r="C17" s="274"/>
      <c r="D17" s="274"/>
      <c r="E17" s="274"/>
      <c r="F17" s="274"/>
      <c r="G17" s="275"/>
      <c r="H17" s="273"/>
      <c r="I17" s="274"/>
      <c r="J17" s="274"/>
      <c r="K17" s="274"/>
      <c r="L17" s="274"/>
      <c r="M17" s="274"/>
      <c r="N17" s="275"/>
    </row>
    <row r="18" spans="1:14" ht="15.75" thickBot="1">
      <c r="A18" s="276"/>
      <c r="B18" s="277"/>
      <c r="C18" s="277"/>
      <c r="D18" s="277"/>
      <c r="E18" s="277"/>
      <c r="F18" s="277"/>
      <c r="G18" s="278"/>
      <c r="H18" s="276"/>
      <c r="I18" s="277"/>
      <c r="J18" s="277"/>
      <c r="K18" s="277"/>
      <c r="L18" s="277"/>
      <c r="M18" s="277"/>
      <c r="N18" s="278"/>
    </row>
    <row r="19" spans="1:14">
      <c r="A19" s="270"/>
      <c r="B19" s="271"/>
      <c r="C19" s="271"/>
      <c r="D19" s="271"/>
      <c r="E19" s="271"/>
      <c r="F19" s="271"/>
      <c r="G19" s="272"/>
      <c r="H19" s="270"/>
      <c r="I19" s="271"/>
      <c r="J19" s="271"/>
      <c r="K19" s="271"/>
      <c r="L19" s="271"/>
      <c r="M19" s="271"/>
      <c r="N19" s="272"/>
    </row>
    <row r="20" spans="1:14">
      <c r="A20" s="273"/>
      <c r="B20" s="274"/>
      <c r="C20" s="274"/>
      <c r="D20" s="274"/>
      <c r="E20" s="274"/>
      <c r="F20" s="274"/>
      <c r="G20" s="275"/>
      <c r="H20" s="273"/>
      <c r="I20" s="274"/>
      <c r="J20" s="274"/>
      <c r="K20" s="274"/>
      <c r="L20" s="274"/>
      <c r="M20" s="274"/>
      <c r="N20" s="275"/>
    </row>
    <row r="21" spans="1:14">
      <c r="A21" s="273"/>
      <c r="B21" s="274"/>
      <c r="C21" s="274"/>
      <c r="D21" s="274"/>
      <c r="E21" s="274"/>
      <c r="F21" s="274"/>
      <c r="G21" s="275"/>
      <c r="H21" s="273"/>
      <c r="I21" s="274"/>
      <c r="J21" s="274"/>
      <c r="K21" s="274"/>
      <c r="L21" s="274"/>
      <c r="M21" s="274"/>
      <c r="N21" s="275"/>
    </row>
    <row r="22" spans="1:14">
      <c r="A22" s="273"/>
      <c r="B22" s="274"/>
      <c r="C22" s="274"/>
      <c r="D22" s="274"/>
      <c r="E22" s="274"/>
      <c r="F22" s="274"/>
      <c r="G22" s="275"/>
      <c r="H22" s="273"/>
      <c r="I22" s="274"/>
      <c r="J22" s="274"/>
      <c r="K22" s="274"/>
      <c r="L22" s="274"/>
      <c r="M22" s="274"/>
      <c r="N22" s="275"/>
    </row>
    <row r="23" spans="1:14">
      <c r="A23" s="273"/>
      <c r="B23" s="274"/>
      <c r="C23" s="274"/>
      <c r="D23" s="274"/>
      <c r="E23" s="274"/>
      <c r="F23" s="274"/>
      <c r="G23" s="275"/>
      <c r="H23" s="273"/>
      <c r="I23" s="274"/>
      <c r="J23" s="274"/>
      <c r="K23" s="274"/>
      <c r="L23" s="274"/>
      <c r="M23" s="274"/>
      <c r="N23" s="275"/>
    </row>
    <row r="24" spans="1:14">
      <c r="A24" s="273"/>
      <c r="B24" s="274"/>
      <c r="C24" s="274"/>
      <c r="D24" s="274"/>
      <c r="E24" s="274"/>
      <c r="F24" s="274"/>
      <c r="G24" s="275"/>
      <c r="H24" s="273"/>
      <c r="I24" s="274"/>
      <c r="J24" s="274"/>
      <c r="K24" s="274"/>
      <c r="L24" s="274"/>
      <c r="M24" s="274"/>
      <c r="N24" s="275"/>
    </row>
    <row r="25" spans="1:14">
      <c r="A25" s="273"/>
      <c r="B25" s="274"/>
      <c r="C25" s="274"/>
      <c r="D25" s="274"/>
      <c r="E25" s="274"/>
      <c r="F25" s="274"/>
      <c r="G25" s="275"/>
      <c r="H25" s="273"/>
      <c r="I25" s="274"/>
      <c r="J25" s="274"/>
      <c r="K25" s="274"/>
      <c r="L25" s="274"/>
      <c r="M25" s="274"/>
      <c r="N25" s="275"/>
    </row>
    <row r="26" spans="1:14">
      <c r="A26" s="273"/>
      <c r="B26" s="274"/>
      <c r="C26" s="274"/>
      <c r="D26" s="274"/>
      <c r="E26" s="274"/>
      <c r="F26" s="274"/>
      <c r="G26" s="275"/>
      <c r="H26" s="273"/>
      <c r="I26" s="274"/>
      <c r="J26" s="274"/>
      <c r="K26" s="274"/>
      <c r="L26" s="274"/>
      <c r="M26" s="274"/>
      <c r="N26" s="275"/>
    </row>
    <row r="27" spans="1:14">
      <c r="A27" s="273"/>
      <c r="B27" s="274"/>
      <c r="C27" s="274"/>
      <c r="D27" s="274"/>
      <c r="E27" s="274"/>
      <c r="F27" s="274"/>
      <c r="G27" s="275"/>
      <c r="H27" s="273"/>
      <c r="I27" s="274"/>
      <c r="J27" s="274"/>
      <c r="K27" s="274"/>
      <c r="L27" s="274"/>
      <c r="M27" s="274"/>
      <c r="N27" s="275"/>
    </row>
    <row r="28" spans="1:14">
      <c r="A28" s="273"/>
      <c r="B28" s="274"/>
      <c r="C28" s="274"/>
      <c r="D28" s="274"/>
      <c r="E28" s="274"/>
      <c r="F28" s="274"/>
      <c r="G28" s="275"/>
      <c r="H28" s="273"/>
      <c r="I28" s="274"/>
      <c r="J28" s="274"/>
      <c r="K28" s="274"/>
      <c r="L28" s="274"/>
      <c r="M28" s="274"/>
      <c r="N28" s="275"/>
    </row>
    <row r="29" spans="1:14">
      <c r="A29" s="273"/>
      <c r="B29" s="274"/>
      <c r="C29" s="274"/>
      <c r="D29" s="274"/>
      <c r="E29" s="274"/>
      <c r="F29" s="274"/>
      <c r="G29" s="275"/>
      <c r="H29" s="273"/>
      <c r="I29" s="274"/>
      <c r="J29" s="274"/>
      <c r="K29" s="274"/>
      <c r="L29" s="274"/>
      <c r="M29" s="274"/>
      <c r="N29" s="275"/>
    </row>
    <row r="30" spans="1:14">
      <c r="A30" s="273"/>
      <c r="B30" s="274"/>
      <c r="C30" s="274"/>
      <c r="D30" s="274"/>
      <c r="E30" s="274"/>
      <c r="F30" s="274"/>
      <c r="G30" s="275"/>
      <c r="H30" s="273"/>
      <c r="I30" s="274"/>
      <c r="J30" s="274"/>
      <c r="K30" s="274"/>
      <c r="L30" s="274"/>
      <c r="M30" s="274"/>
      <c r="N30" s="275"/>
    </row>
    <row r="31" spans="1:14">
      <c r="A31" s="273"/>
      <c r="B31" s="274"/>
      <c r="C31" s="274"/>
      <c r="D31" s="274"/>
      <c r="E31" s="274"/>
      <c r="F31" s="274"/>
      <c r="G31" s="275"/>
      <c r="H31" s="273"/>
      <c r="I31" s="274"/>
      <c r="J31" s="274"/>
      <c r="K31" s="274"/>
      <c r="L31" s="274"/>
      <c r="M31" s="274"/>
      <c r="N31" s="275"/>
    </row>
    <row r="32" spans="1:14">
      <c r="A32" s="273"/>
      <c r="B32" s="274"/>
      <c r="C32" s="274"/>
      <c r="D32" s="274"/>
      <c r="E32" s="274"/>
      <c r="F32" s="274"/>
      <c r="G32" s="275"/>
      <c r="H32" s="273"/>
      <c r="I32" s="274"/>
      <c r="J32" s="274"/>
      <c r="K32" s="274"/>
      <c r="L32" s="274"/>
      <c r="M32" s="274"/>
      <c r="N32" s="275"/>
    </row>
    <row r="33" spans="1:14">
      <c r="A33" s="273"/>
      <c r="B33" s="274"/>
      <c r="C33" s="274"/>
      <c r="D33" s="274"/>
      <c r="E33" s="274"/>
      <c r="F33" s="274"/>
      <c r="G33" s="275"/>
      <c r="H33" s="273"/>
      <c r="I33" s="274"/>
      <c r="J33" s="274"/>
      <c r="K33" s="274"/>
      <c r="L33" s="274"/>
      <c r="M33" s="274"/>
      <c r="N33" s="275"/>
    </row>
    <row r="34" spans="1:14">
      <c r="A34" s="273"/>
      <c r="B34" s="274"/>
      <c r="C34" s="274"/>
      <c r="D34" s="274"/>
      <c r="E34" s="274"/>
      <c r="F34" s="274"/>
      <c r="G34" s="275"/>
      <c r="H34" s="273"/>
      <c r="I34" s="274"/>
      <c r="J34" s="274"/>
      <c r="K34" s="274"/>
      <c r="L34" s="274"/>
      <c r="M34" s="274"/>
      <c r="N34" s="275"/>
    </row>
    <row r="35" spans="1:14" ht="15.75" thickBot="1">
      <c r="A35" s="276"/>
      <c r="B35" s="277"/>
      <c r="C35" s="277"/>
      <c r="D35" s="277"/>
      <c r="E35" s="277"/>
      <c r="F35" s="277"/>
      <c r="G35" s="278"/>
      <c r="H35" s="276"/>
      <c r="I35" s="277"/>
      <c r="J35" s="277"/>
      <c r="K35" s="277"/>
      <c r="L35" s="277"/>
      <c r="M35" s="277"/>
      <c r="N35" s="278"/>
    </row>
    <row r="37" spans="1:14">
      <c r="B37" s="192">
        <v>2</v>
      </c>
    </row>
    <row r="38" spans="1:14">
      <c r="B38" s="192">
        <v>2</v>
      </c>
    </row>
    <row r="39" spans="1:14">
      <c r="B39" s="192">
        <v>2</v>
      </c>
    </row>
    <row r="40" spans="1:14">
      <c r="B40" s="192">
        <v>2</v>
      </c>
    </row>
    <row r="41" spans="1:14">
      <c r="B41" s="192">
        <v>2</v>
      </c>
    </row>
    <row r="42" spans="1:14">
      <c r="B42" s="192">
        <v>2</v>
      </c>
    </row>
    <row r="43" spans="1:14">
      <c r="B43" s="192">
        <v>2</v>
      </c>
    </row>
    <row r="44" spans="1:14">
      <c r="B44" s="192">
        <v>2</v>
      </c>
    </row>
    <row r="45" spans="1:14">
      <c r="B45" s="192">
        <v>2</v>
      </c>
    </row>
    <row r="46" spans="1:14">
      <c r="B46" s="192">
        <v>2</v>
      </c>
    </row>
    <row r="47" spans="1:14">
      <c r="B47" s="192">
        <v>2</v>
      </c>
    </row>
    <row r="48" spans="1:14">
      <c r="B48" s="192">
        <v>2</v>
      </c>
    </row>
    <row r="49" spans="2:2">
      <c r="B49" s="192"/>
    </row>
    <row r="50" spans="2:2">
      <c r="B50" s="192"/>
    </row>
    <row r="51" spans="2:2">
      <c r="B51" s="192"/>
    </row>
    <row r="52" spans="2:2">
      <c r="B52" s="192"/>
    </row>
  </sheetData>
  <mergeCells count="5">
    <mergeCell ref="A1:N1"/>
    <mergeCell ref="A2:G18"/>
    <mergeCell ref="H2:N18"/>
    <mergeCell ref="A19:G35"/>
    <mergeCell ref="H19:N35"/>
  </mergeCells>
  <pageMargins left="0.7" right="0.7" top="0.75" bottom="0.75" header="0.3" footer="0.3"/>
  <pageSetup scale="5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F17"/>
  <sheetViews>
    <sheetView view="pageBreakPreview" topLeftCell="A4" zoomScale="115" zoomScaleNormal="90" zoomScaleSheetLayoutView="115" workbookViewId="0">
      <selection activeCell="B3" sqref="B3:D3"/>
    </sheetView>
  </sheetViews>
  <sheetFormatPr baseColWidth="10" defaultRowHeight="16.5"/>
  <cols>
    <col min="1" max="1" width="14.85546875" style="68" customWidth="1"/>
    <col min="2" max="2" width="13.5703125" style="68" customWidth="1"/>
    <col min="3" max="3" width="14.42578125" style="68" customWidth="1"/>
    <col min="4" max="4" width="16.85546875" style="68" customWidth="1"/>
    <col min="5" max="5" width="13" style="68" customWidth="1"/>
    <col min="6" max="6" width="18.42578125" style="68" customWidth="1"/>
    <col min="7" max="16384" width="11.42578125" style="68"/>
  </cols>
  <sheetData>
    <row r="1" spans="1:6" ht="27" customHeight="1">
      <c r="A1" s="244"/>
      <c r="B1" s="371" t="s">
        <v>229</v>
      </c>
      <c r="C1" s="372"/>
      <c r="D1" s="372"/>
      <c r="E1" s="373"/>
      <c r="F1" s="377" t="s">
        <v>241</v>
      </c>
    </row>
    <row r="2" spans="1:6" ht="33" customHeight="1">
      <c r="A2" s="244"/>
      <c r="B2" s="374"/>
      <c r="C2" s="375"/>
      <c r="D2" s="375"/>
      <c r="E2" s="376"/>
      <c r="F2" s="378"/>
    </row>
    <row r="3" spans="1:6" ht="16.5" customHeight="1">
      <c r="A3" s="331" t="s">
        <v>163</v>
      </c>
      <c r="B3" s="368" t="s">
        <v>188</v>
      </c>
      <c r="C3" s="369"/>
      <c r="D3" s="370"/>
      <c r="E3" s="115"/>
      <c r="F3" s="116"/>
    </row>
    <row r="4" spans="1:6" ht="49.5">
      <c r="A4" s="332"/>
      <c r="B4" s="107" t="s">
        <v>224</v>
      </c>
      <c r="C4" s="107" t="s">
        <v>225</v>
      </c>
      <c r="D4" s="107" t="s">
        <v>226</v>
      </c>
      <c r="E4" s="107" t="s">
        <v>227</v>
      </c>
      <c r="F4" s="107" t="s">
        <v>228</v>
      </c>
    </row>
    <row r="5" spans="1:6">
      <c r="A5" s="117" t="s">
        <v>23</v>
      </c>
      <c r="B5" s="79"/>
      <c r="C5" s="76"/>
      <c r="D5" s="78">
        <f>+'TON  MOV '!B4</f>
        <v>39344</v>
      </c>
      <c r="E5" s="76">
        <f>+B5/D5</f>
        <v>0</v>
      </c>
      <c r="F5" s="76">
        <f>+C5/D5</f>
        <v>0</v>
      </c>
    </row>
    <row r="6" spans="1:6">
      <c r="A6" s="117" t="s">
        <v>4</v>
      </c>
      <c r="B6" s="79"/>
      <c r="C6" s="76"/>
      <c r="D6" s="78">
        <f>+'TON  MOV '!C4</f>
        <v>30364</v>
      </c>
      <c r="E6" s="76">
        <f t="shared" ref="E6:E16" si="0">+B6/D6</f>
        <v>0</v>
      </c>
      <c r="F6" s="76">
        <f t="shared" ref="F6:F16" si="1">+C6/D6</f>
        <v>0</v>
      </c>
    </row>
    <row r="7" spans="1:6">
      <c r="A7" s="117" t="s">
        <v>5</v>
      </c>
      <c r="B7" s="79"/>
      <c r="C7" s="76"/>
      <c r="D7" s="78">
        <f>+'TON  MOV '!D4</f>
        <v>16913</v>
      </c>
      <c r="E7" s="76">
        <f t="shared" si="0"/>
        <v>0</v>
      </c>
      <c r="F7" s="76">
        <f t="shared" si="1"/>
        <v>0</v>
      </c>
    </row>
    <row r="8" spans="1:6">
      <c r="A8" s="117" t="s">
        <v>27</v>
      </c>
      <c r="B8" s="79"/>
      <c r="C8" s="80"/>
      <c r="D8" s="78">
        <f>+'TON  MOV '!E4</f>
        <v>49992</v>
      </c>
      <c r="E8" s="76">
        <f t="shared" si="0"/>
        <v>0</v>
      </c>
      <c r="F8" s="76">
        <f t="shared" si="1"/>
        <v>0</v>
      </c>
    </row>
    <row r="9" spans="1:6">
      <c r="A9" s="117" t="s">
        <v>28</v>
      </c>
      <c r="B9" s="79"/>
      <c r="C9" s="76"/>
      <c r="D9" s="78">
        <f>+'TON  MOV '!F4</f>
        <v>25073</v>
      </c>
      <c r="E9" s="76">
        <f t="shared" si="0"/>
        <v>0</v>
      </c>
      <c r="F9" s="76">
        <f t="shared" si="1"/>
        <v>0</v>
      </c>
    </row>
    <row r="10" spans="1:6">
      <c r="A10" s="117" t="s">
        <v>29</v>
      </c>
      <c r="B10" s="79"/>
      <c r="C10" s="76"/>
      <c r="D10" s="78">
        <f>+'TON  MOV '!G4</f>
        <v>30744</v>
      </c>
      <c r="E10" s="76">
        <f t="shared" si="0"/>
        <v>0</v>
      </c>
      <c r="F10" s="76">
        <f t="shared" si="1"/>
        <v>0</v>
      </c>
    </row>
    <row r="11" spans="1:6">
      <c r="A11" s="117" t="s">
        <v>30</v>
      </c>
      <c r="B11" s="79"/>
      <c r="C11" s="76"/>
      <c r="D11" s="78">
        <f>+'TON  MOV '!H4</f>
        <v>48048</v>
      </c>
      <c r="E11" s="76">
        <f t="shared" si="0"/>
        <v>0</v>
      </c>
      <c r="F11" s="76">
        <f t="shared" si="1"/>
        <v>0</v>
      </c>
    </row>
    <row r="12" spans="1:6">
      <c r="A12" s="117" t="s">
        <v>31</v>
      </c>
      <c r="B12" s="79"/>
      <c r="C12" s="76"/>
      <c r="D12" s="78">
        <f>+'TON  MOV '!I4</f>
        <v>19802</v>
      </c>
      <c r="E12" s="76">
        <f t="shared" si="0"/>
        <v>0</v>
      </c>
      <c r="F12" s="76">
        <f t="shared" si="1"/>
        <v>0</v>
      </c>
    </row>
    <row r="13" spans="1:6">
      <c r="A13" s="117" t="s">
        <v>32</v>
      </c>
      <c r="B13" s="79"/>
      <c r="C13" s="80"/>
      <c r="D13" s="78">
        <f>+'TON  MOV '!J4</f>
        <v>24843</v>
      </c>
      <c r="E13" s="76">
        <f t="shared" si="0"/>
        <v>0</v>
      </c>
      <c r="F13" s="76">
        <f t="shared" si="1"/>
        <v>0</v>
      </c>
    </row>
    <row r="14" spans="1:6">
      <c r="A14" s="117" t="s">
        <v>33</v>
      </c>
      <c r="B14" s="81"/>
      <c r="C14" s="76"/>
      <c r="D14" s="78">
        <f>+'TON  MOV '!K4</f>
        <v>19737</v>
      </c>
      <c r="E14" s="76">
        <f t="shared" si="0"/>
        <v>0</v>
      </c>
      <c r="F14" s="76">
        <f t="shared" si="1"/>
        <v>0</v>
      </c>
    </row>
    <row r="15" spans="1:6">
      <c r="A15" s="117" t="s">
        <v>34</v>
      </c>
      <c r="B15" s="76"/>
      <c r="C15" s="76"/>
      <c r="D15" s="78">
        <f>+'TON  MOV '!L4</f>
        <v>4968</v>
      </c>
      <c r="E15" s="76">
        <f t="shared" si="0"/>
        <v>0</v>
      </c>
      <c r="F15" s="76">
        <f t="shared" si="1"/>
        <v>0</v>
      </c>
    </row>
    <row r="16" spans="1:6">
      <c r="A16" s="117" t="s">
        <v>35</v>
      </c>
      <c r="B16" s="76"/>
      <c r="C16" s="76"/>
      <c r="D16" s="78">
        <f>+'TON  MOV '!M4</f>
        <v>11201</v>
      </c>
      <c r="E16" s="76">
        <f t="shared" si="0"/>
        <v>0</v>
      </c>
      <c r="F16" s="76">
        <f t="shared" si="1"/>
        <v>0</v>
      </c>
    </row>
    <row r="17" spans="1:6" ht="17.25" thickBot="1">
      <c r="A17" s="85" t="s">
        <v>175</v>
      </c>
      <c r="B17" s="86">
        <f>SUM(B5:B16)</f>
        <v>0</v>
      </c>
      <c r="C17" s="87">
        <f>SUM(C5:C16)</f>
        <v>0</v>
      </c>
      <c r="D17" s="96">
        <f>SUM(D5:D16)</f>
        <v>321029</v>
      </c>
      <c r="E17" s="87">
        <f>SUM(E5:E16)</f>
        <v>0</v>
      </c>
      <c r="F17" s="87">
        <f>SUM(F5:F16)</f>
        <v>0</v>
      </c>
    </row>
  </sheetData>
  <mergeCells count="5">
    <mergeCell ref="A3:A4"/>
    <mergeCell ref="B3:D3"/>
    <mergeCell ref="A1:A2"/>
    <mergeCell ref="B1:E2"/>
    <mergeCell ref="F1:F2"/>
  </mergeCells>
  <pageMargins left="0.7" right="0.7" top="0.75" bottom="0.75" header="0.3" footer="0.3"/>
  <pageSetup scale="9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2">
    <tabColor rgb="FFC00000"/>
  </sheetPr>
  <dimension ref="A1:AK24"/>
  <sheetViews>
    <sheetView showGridLines="0" tabSelected="1" topLeftCell="M25" zoomScale="85" zoomScaleNormal="85" zoomScaleSheetLayoutView="85" workbookViewId="0">
      <selection activeCell="X13" sqref="X13:AI13"/>
    </sheetView>
  </sheetViews>
  <sheetFormatPr baseColWidth="10" defaultRowHeight="15"/>
  <cols>
    <col min="1" max="1" width="0.7109375" style="2" customWidth="1"/>
    <col min="2" max="2" width="17.5703125" style="2" customWidth="1"/>
    <col min="3" max="3" width="17.5703125" style="2" hidden="1" customWidth="1"/>
    <col min="4" max="4" width="11.42578125" style="2" customWidth="1"/>
    <col min="5" max="5" width="18.7109375" style="2" customWidth="1"/>
    <col min="6" max="6" width="11.7109375" style="2" customWidth="1"/>
    <col min="7" max="7" width="36" style="2" bestFit="1" customWidth="1"/>
    <col min="8" max="8" width="15.7109375" style="2" customWidth="1"/>
    <col min="9" max="9" width="3.140625" style="2" hidden="1" customWidth="1"/>
    <col min="10" max="10" width="11" style="3" customWidth="1"/>
    <col min="11" max="11" width="13.5703125" style="2" customWidth="1"/>
    <col min="12" max="12" width="9.85546875" style="2" customWidth="1"/>
    <col min="13" max="13" width="9.7109375" style="2" customWidth="1"/>
    <col min="14" max="14" width="8.28515625" style="2" customWidth="1"/>
    <col min="15" max="15" width="8.5703125" style="2" bestFit="1" customWidth="1"/>
    <col min="16" max="16" width="8.28515625" style="2" customWidth="1"/>
    <col min="17" max="17" width="8.5703125" style="2" bestFit="1" customWidth="1"/>
    <col min="18" max="18" width="8" style="2" customWidth="1"/>
    <col min="19" max="19" width="8.5703125" style="13" bestFit="1" customWidth="1"/>
    <col min="20" max="20" width="7.85546875" style="13" customWidth="1"/>
    <col min="21" max="21" width="8.5703125" style="13" bestFit="1" customWidth="1"/>
    <col min="22" max="22" width="8.85546875" style="13" customWidth="1"/>
    <col min="23" max="23" width="8.5703125" style="13" bestFit="1" customWidth="1"/>
    <col min="24" max="24" width="10.85546875" style="13" customWidth="1"/>
    <col min="25" max="25" width="8.5703125" style="13" bestFit="1" customWidth="1"/>
    <col min="26" max="26" width="8.5703125" style="13" customWidth="1"/>
    <col min="27" max="28" width="8.7109375" style="13" customWidth="1"/>
    <col min="29" max="29" width="8.5703125" style="13" bestFit="1" customWidth="1"/>
    <col min="30" max="30" width="8" style="13" customWidth="1"/>
    <col min="31" max="31" width="8.5703125" style="13" bestFit="1" customWidth="1"/>
    <col min="32" max="32" width="7.7109375" style="13" customWidth="1"/>
    <col min="33" max="33" width="10" style="13" bestFit="1" customWidth="1"/>
    <col min="34" max="34" width="8" style="13" customWidth="1"/>
    <col min="35" max="35" width="11.28515625" style="13" customWidth="1"/>
    <col min="36" max="36" width="11.42578125" hidden="1" customWidth="1"/>
  </cols>
  <sheetData>
    <row r="1" spans="1:37" ht="36.75" customHeight="1" thickBot="1">
      <c r="A1" s="8"/>
      <c r="B1" s="418"/>
      <c r="C1" s="419"/>
      <c r="D1" s="420"/>
      <c r="E1" s="427" t="s">
        <v>246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9"/>
      <c r="AC1" s="407" t="s">
        <v>257</v>
      </c>
      <c r="AD1" s="408"/>
      <c r="AE1" s="409"/>
      <c r="AF1" s="409"/>
      <c r="AG1" s="409"/>
      <c r="AH1" s="409"/>
      <c r="AI1" s="410"/>
      <c r="AJ1" s="7"/>
      <c r="AK1" s="7"/>
    </row>
    <row r="2" spans="1:37" ht="24.95" customHeight="1">
      <c r="A2" s="8"/>
      <c r="B2" s="421"/>
      <c r="C2" s="422"/>
      <c r="D2" s="423"/>
      <c r="E2" s="424" t="s">
        <v>255</v>
      </c>
      <c r="F2" s="425"/>
      <c r="G2" s="425"/>
      <c r="H2" s="425"/>
      <c r="I2" s="425"/>
      <c r="J2" s="425"/>
      <c r="K2" s="425"/>
      <c r="L2" s="425"/>
      <c r="M2" s="426"/>
      <c r="N2" s="430" t="s">
        <v>256</v>
      </c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32"/>
      <c r="AC2" s="411" t="s">
        <v>53</v>
      </c>
      <c r="AD2" s="412"/>
      <c r="AE2" s="412"/>
      <c r="AF2" s="412"/>
      <c r="AG2" s="412"/>
      <c r="AH2" s="412"/>
      <c r="AI2" s="413"/>
      <c r="AJ2" s="7"/>
      <c r="AK2" s="7"/>
    </row>
    <row r="3" spans="1:37" s="5" customFormat="1" ht="44.25" customHeight="1">
      <c r="A3" s="9"/>
      <c r="B3" s="120" t="s">
        <v>36</v>
      </c>
      <c r="C3" s="121" t="s">
        <v>136</v>
      </c>
      <c r="D3" s="379" t="s">
        <v>1</v>
      </c>
      <c r="E3" s="381"/>
      <c r="F3" s="122" t="s">
        <v>2</v>
      </c>
      <c r="G3" s="122" t="s">
        <v>38</v>
      </c>
      <c r="H3" s="122" t="s">
        <v>3</v>
      </c>
      <c r="I3" s="122" t="s">
        <v>45</v>
      </c>
      <c r="J3" s="123" t="s">
        <v>0</v>
      </c>
      <c r="K3" s="122" t="s">
        <v>21</v>
      </c>
      <c r="L3" s="450" t="s">
        <v>23</v>
      </c>
      <c r="M3" s="451"/>
      <c r="N3" s="379" t="s">
        <v>25</v>
      </c>
      <c r="O3" s="381"/>
      <c r="P3" s="379" t="s">
        <v>26</v>
      </c>
      <c r="Q3" s="381"/>
      <c r="R3" s="379" t="s">
        <v>27</v>
      </c>
      <c r="S3" s="381"/>
      <c r="T3" s="379" t="s">
        <v>28</v>
      </c>
      <c r="U3" s="381"/>
      <c r="V3" s="379" t="s">
        <v>29</v>
      </c>
      <c r="W3" s="381"/>
      <c r="X3" s="379" t="s">
        <v>30</v>
      </c>
      <c r="Y3" s="381"/>
      <c r="Z3" s="379" t="s">
        <v>31</v>
      </c>
      <c r="AA3" s="381"/>
      <c r="AB3" s="379" t="s">
        <v>32</v>
      </c>
      <c r="AC3" s="381"/>
      <c r="AD3" s="379" t="s">
        <v>33</v>
      </c>
      <c r="AE3" s="381"/>
      <c r="AF3" s="379" t="s">
        <v>34</v>
      </c>
      <c r="AG3" s="381"/>
      <c r="AH3" s="379" t="s">
        <v>35</v>
      </c>
      <c r="AI3" s="380"/>
    </row>
    <row r="4" spans="1:37" s="4" customFormat="1" ht="30.75" customHeight="1" thickBot="1">
      <c r="A4" s="10"/>
      <c r="B4" s="129" t="s">
        <v>37</v>
      </c>
      <c r="C4" s="130" t="s">
        <v>102</v>
      </c>
      <c r="D4" s="414" t="s">
        <v>39</v>
      </c>
      <c r="E4" s="415"/>
      <c r="F4" s="131" t="s">
        <v>15</v>
      </c>
      <c r="G4" s="132"/>
      <c r="H4" s="131" t="s">
        <v>16</v>
      </c>
      <c r="I4" s="133">
        <v>100</v>
      </c>
      <c r="J4" s="134" t="s">
        <v>131</v>
      </c>
      <c r="K4" s="133" t="s">
        <v>19</v>
      </c>
      <c r="L4" s="134">
        <f>7/7</f>
        <v>1</v>
      </c>
      <c r="M4" s="134" t="str">
        <f>+IF(L4&gt;=85%,"CUMPLE","NO CUMPLE")</f>
        <v>CUMPLE</v>
      </c>
      <c r="N4" s="134">
        <f>7/7</f>
        <v>1</v>
      </c>
      <c r="O4" s="134" t="str">
        <f>+IF(N4&gt;=85%,"CUMPLE","NO CUMPLE")</f>
        <v>CUMPLE</v>
      </c>
      <c r="P4" s="134">
        <f>7/7</f>
        <v>1</v>
      </c>
      <c r="Q4" s="134" t="str">
        <f>+IF(P4&gt;=85%,"CUMPLE","NO CUMPLE")</f>
        <v>CUMPLE</v>
      </c>
      <c r="R4" s="134">
        <f>7/7</f>
        <v>1</v>
      </c>
      <c r="S4" s="134" t="str">
        <f>+IF(R4&gt;=85%,"CUMPLE","NO CUMPLE")</f>
        <v>CUMPLE</v>
      </c>
      <c r="T4" s="134">
        <f>6/7</f>
        <v>0.8571428571428571</v>
      </c>
      <c r="U4" s="134" t="str">
        <f>+IF(T4&gt;=85%,"CUMPLE","NO CUMPLE")</f>
        <v>CUMPLE</v>
      </c>
      <c r="V4" s="134">
        <f>10/10</f>
        <v>1</v>
      </c>
      <c r="W4" s="134" t="str">
        <f>+IF(V4&gt;=85%,"CUMPLE","NO CUMPLE")</f>
        <v>CUMPLE</v>
      </c>
      <c r="X4" s="134">
        <f>7/7</f>
        <v>1</v>
      </c>
      <c r="Y4" s="134" t="str">
        <f>+IF(X4&gt;=85%,"CUMPLE","NO CUMPLE")</f>
        <v>CUMPLE</v>
      </c>
      <c r="Z4" s="134">
        <f>6/7</f>
        <v>0.8571428571428571</v>
      </c>
      <c r="AA4" s="134" t="str">
        <f>+IF(Z4&gt;=85%,"CUMPLE","NO CUMPLE")</f>
        <v>CUMPLE</v>
      </c>
      <c r="AB4" s="134">
        <f>6/7</f>
        <v>0.8571428571428571</v>
      </c>
      <c r="AC4" s="134" t="str">
        <f>+IF(AB4&gt;=85%,"CUMPLE","NO CUMPLE")</f>
        <v>CUMPLE</v>
      </c>
      <c r="AD4" s="134">
        <f>7/7</f>
        <v>1</v>
      </c>
      <c r="AE4" s="134" t="str">
        <f>+IF(AD4&gt;=85%,"CUMPLE","NO CUMPLE")</f>
        <v>CUMPLE</v>
      </c>
      <c r="AF4" s="134">
        <f>7/7</f>
        <v>1</v>
      </c>
      <c r="AG4" s="134" t="str">
        <f>+IF(AF4&gt;=85%,"CUMPLE","NO CUMPLE")</f>
        <v>CUMPLE</v>
      </c>
      <c r="AH4" s="134">
        <f>6/7</f>
        <v>0.8571428571428571</v>
      </c>
      <c r="AI4" s="124" t="str">
        <f>+IF(AH4&gt;=85%,"CUMPLE","NO CUMPLE")</f>
        <v>CUMPLE</v>
      </c>
    </row>
    <row r="5" spans="1:37" s="4" customFormat="1" ht="27.75" customHeight="1" thickTop="1" thickBot="1">
      <c r="A5" s="10"/>
      <c r="B5" s="396" t="s">
        <v>124</v>
      </c>
      <c r="C5" s="16" t="s">
        <v>137</v>
      </c>
      <c r="D5" s="416" t="s">
        <v>40</v>
      </c>
      <c r="E5" s="417"/>
      <c r="F5" s="28" t="s">
        <v>118</v>
      </c>
      <c r="G5" s="14" t="s">
        <v>117</v>
      </c>
      <c r="H5" s="14" t="s">
        <v>24</v>
      </c>
      <c r="I5" s="39">
        <v>8.33</v>
      </c>
      <c r="J5" s="47" t="s">
        <v>248</v>
      </c>
      <c r="K5" s="14" t="s">
        <v>19</v>
      </c>
      <c r="L5" s="140">
        <f>+EE!G5</f>
        <v>0.50325335502236679</v>
      </c>
      <c r="M5" s="128" t="str">
        <f>+EE!H5</f>
        <v>CUMPLE</v>
      </c>
      <c r="N5" s="39">
        <f>+EE!G6</f>
        <v>0.72454222105124488</v>
      </c>
      <c r="O5" s="128" t="str">
        <f>+EE!H6</f>
        <v>CUMPLE</v>
      </c>
      <c r="P5" s="39">
        <f>+EE!G7</f>
        <v>1.1706970969077042</v>
      </c>
      <c r="Q5" s="128" t="str">
        <f>+EE!H7</f>
        <v>CUMPLE</v>
      </c>
      <c r="R5" s="39">
        <f>+EE!G8</f>
        <v>0.48407745239238276</v>
      </c>
      <c r="S5" s="128" t="str">
        <f>+EE!H8</f>
        <v>CUMPLE</v>
      </c>
      <c r="T5" s="39">
        <f>+EE!G9</f>
        <v>1.2284130339408925</v>
      </c>
      <c r="U5" s="128" t="str">
        <f>+EE!H9</f>
        <v>CUMPLE</v>
      </c>
      <c r="V5" s="39">
        <f>+EE!G10</f>
        <v>1.0733801717408276</v>
      </c>
      <c r="W5" s="128" t="str">
        <f>+EE!H10</f>
        <v>CUMPLE</v>
      </c>
      <c r="X5" s="39">
        <f>+EE!G11</f>
        <v>0.5494505494505495</v>
      </c>
      <c r="Y5" s="128" t="str">
        <f>+EE!H11</f>
        <v>CUMPLE</v>
      </c>
      <c r="Z5" s="39">
        <f>+EE!G12</f>
        <v>1.4442985557014443</v>
      </c>
      <c r="AA5" s="128" t="str">
        <f>+EE!H12</f>
        <v>CUMPLE</v>
      </c>
      <c r="AB5" s="39">
        <f>+EE!G13</f>
        <v>0.70844906009741171</v>
      </c>
      <c r="AC5" s="128" t="str">
        <f>+EE!H13</f>
        <v>CUMPLE</v>
      </c>
      <c r="AD5" s="39">
        <f>+EE!G14</f>
        <v>1.1146577494046714</v>
      </c>
      <c r="AE5" s="128" t="str">
        <f>+EE!H14</f>
        <v>CUMPLE</v>
      </c>
      <c r="AF5" s="39">
        <f>+EE!G15</f>
        <v>3.5426731078904994</v>
      </c>
      <c r="AG5" s="128" t="str">
        <f>+EE!H15</f>
        <v>NO CUMPLE</v>
      </c>
      <c r="AH5" s="39">
        <f>+EE!G16</f>
        <v>1.1784662083742523</v>
      </c>
      <c r="AI5" s="128" t="str">
        <f>+EE!H16</f>
        <v>CUMPLE</v>
      </c>
      <c r="AJ5" s="51"/>
    </row>
    <row r="6" spans="1:37" s="35" customFormat="1" ht="36" customHeight="1">
      <c r="A6" s="16"/>
      <c r="B6" s="396"/>
      <c r="C6" s="31" t="s">
        <v>137</v>
      </c>
      <c r="D6" s="433" t="s">
        <v>57</v>
      </c>
      <c r="E6" s="434"/>
      <c r="F6" s="32" t="s">
        <v>103</v>
      </c>
      <c r="G6" s="32" t="s">
        <v>230</v>
      </c>
      <c r="H6" s="32" t="s">
        <v>24</v>
      </c>
      <c r="I6" s="34">
        <v>8.33</v>
      </c>
      <c r="J6" s="48" t="s">
        <v>247</v>
      </c>
      <c r="K6" s="33" t="s">
        <v>19</v>
      </c>
      <c r="L6" s="141">
        <f>+GN!G5</f>
        <v>0.68828792191947952</v>
      </c>
      <c r="M6" s="126" t="str">
        <f>+GN!H5</f>
        <v>CUMPLE</v>
      </c>
      <c r="N6" s="144">
        <f>+GN!G6</f>
        <v>0.75800289816888422</v>
      </c>
      <c r="O6" s="126" t="str">
        <f>+GN!H6</f>
        <v>CUMPLE</v>
      </c>
      <c r="P6" s="141">
        <f>+GN!G7</f>
        <v>1.7605983562939751</v>
      </c>
      <c r="Q6" s="126" t="str">
        <f>+GN!H7</f>
        <v>CUMPLE</v>
      </c>
      <c r="R6" s="125">
        <f>+GN!G8</f>
        <v>1.0138022083533365</v>
      </c>
      <c r="S6" s="126" t="str">
        <f>+GN!H8</f>
        <v>CUMPLE</v>
      </c>
      <c r="T6" s="144">
        <f>+GN!G9</f>
        <v>2.0078969409324769</v>
      </c>
      <c r="U6" s="126" t="str">
        <f>+GN!H9</f>
        <v>NO CUMPLE</v>
      </c>
      <c r="V6" s="141">
        <f>+GN!G10</f>
        <v>1.4612282071298466</v>
      </c>
      <c r="W6" s="126" t="str">
        <f>+GN!H10</f>
        <v>CUMPLE</v>
      </c>
      <c r="X6" s="141">
        <f>+GN!G11</f>
        <v>0.68768731268731265</v>
      </c>
      <c r="Y6" s="126" t="str">
        <f>+GN!H11</f>
        <v>CUMPLE</v>
      </c>
      <c r="Z6" s="144">
        <f>+GN!G12</f>
        <v>2.2965357034642966</v>
      </c>
      <c r="AA6" s="126" t="str">
        <f>+GN!H12</f>
        <v>NO CUMPLE</v>
      </c>
      <c r="AB6" s="125">
        <f>+GN!G13</f>
        <v>0.79244520755479242</v>
      </c>
      <c r="AC6" s="126" t="str">
        <f>+GN!H13</f>
        <v>CUMPLE</v>
      </c>
      <c r="AD6" s="125">
        <f>+GN!G14</f>
        <v>0.49404671429295233</v>
      </c>
      <c r="AE6" s="126" t="str">
        <f>+GN!H14</f>
        <v>CUMPLE</v>
      </c>
      <c r="AF6" s="125">
        <f>+GN!G15</f>
        <v>0.79287439613526567</v>
      </c>
      <c r="AG6" s="126" t="str">
        <f>+GN!H15</f>
        <v>CUMPLE</v>
      </c>
      <c r="AH6" s="125">
        <f>+GN!G16</f>
        <v>1.1001696277118114</v>
      </c>
      <c r="AI6" s="126" t="str">
        <f>+GN!H16</f>
        <v>CUMPLE</v>
      </c>
      <c r="AJ6" s="51"/>
    </row>
    <row r="7" spans="1:37" s="4" customFormat="1" ht="56.25" customHeight="1">
      <c r="A7" s="10"/>
      <c r="B7" s="63" t="s">
        <v>109</v>
      </c>
      <c r="C7" s="31" t="s">
        <v>138</v>
      </c>
      <c r="D7" s="449" t="s">
        <v>17</v>
      </c>
      <c r="E7" s="449"/>
      <c r="F7" s="22" t="s">
        <v>103</v>
      </c>
      <c r="G7" s="31" t="s">
        <v>231</v>
      </c>
      <c r="H7" s="31" t="s">
        <v>16</v>
      </c>
      <c r="I7" s="11">
        <v>25</v>
      </c>
      <c r="J7" s="46" t="s">
        <v>132</v>
      </c>
      <c r="K7" s="31" t="s">
        <v>19</v>
      </c>
      <c r="L7" s="127">
        <f>+'AGUA '!L5</f>
        <v>9.4296461976413181E-3</v>
      </c>
      <c r="M7" s="126" t="str">
        <f>+'AGUA '!M5</f>
        <v>CUMPLE</v>
      </c>
      <c r="N7" s="127">
        <f>+'AGUA '!L6</f>
        <v>1.6499802397576077E-2</v>
      </c>
      <c r="O7" s="126" t="str">
        <f>+'AGUA '!M6</f>
        <v>CUMPLE</v>
      </c>
      <c r="P7" s="141">
        <f>+'AGUA '!L7</f>
        <v>1.9984627209838585E-2</v>
      </c>
      <c r="Q7" s="126" t="str">
        <f>+'AGUA '!M7</f>
        <v>CUMPLE</v>
      </c>
      <c r="R7" s="125">
        <f>+'AGUA '!L8</f>
        <v>1.480236837894063E-2</v>
      </c>
      <c r="S7" s="126" t="str">
        <f>+'AGUA '!M8</f>
        <v>CUMPLE</v>
      </c>
      <c r="T7" s="144">
        <f>+'AGUA '!L9</f>
        <v>1.67112032864037E-2</v>
      </c>
      <c r="U7" s="126" t="str">
        <f>+'AGUA '!M9</f>
        <v>CUMPLE</v>
      </c>
      <c r="V7" s="194">
        <f>+'AGUA '!L10</f>
        <v>1.857272963830341E-2</v>
      </c>
      <c r="W7" s="126" t="str">
        <f>+'AGUA '!M10</f>
        <v>CUMPLE</v>
      </c>
      <c r="X7" s="144">
        <f>+'AGUA '!L11</f>
        <v>1.4006826506826506E-2</v>
      </c>
      <c r="Y7" s="126" t="str">
        <f>+'AGUA '!M11</f>
        <v>CUMPLE</v>
      </c>
      <c r="Z7" s="57">
        <f>+'AGUA '!L12</f>
        <v>1.8028481971518028E-2</v>
      </c>
      <c r="AA7" s="126" t="str">
        <f>+'AGUA '!M12</f>
        <v>CUMPLE</v>
      </c>
      <c r="AB7" s="57">
        <f>+'AGUA '!L13</f>
        <v>8.0908102886124867E-3</v>
      </c>
      <c r="AC7" s="126" t="str">
        <f>+'AGUA '!M13</f>
        <v>CUMPLE</v>
      </c>
      <c r="AD7" s="56">
        <f>+'AGUA '!L14</f>
        <v>1.2666565334143993E-2</v>
      </c>
      <c r="AE7" s="126" t="str">
        <f>+'AGUA '!M14</f>
        <v>CUMPLE</v>
      </c>
      <c r="AF7" s="490">
        <f>+'AGUA '!L15</f>
        <v>6.0185185185185182E-2</v>
      </c>
      <c r="AG7" s="126" t="str">
        <f>+'AGUA '!M15</f>
        <v>NO CUMPLE</v>
      </c>
      <c r="AH7" s="197">
        <f>+'AGUA '!L16</f>
        <v>2.5622712257834121E-2</v>
      </c>
      <c r="AI7" s="126" t="str">
        <f>+'AGUA '!M16</f>
        <v>NO CUMPLE</v>
      </c>
      <c r="AJ7" s="55"/>
    </row>
    <row r="8" spans="1:37" s="4" customFormat="1" ht="66" customHeight="1">
      <c r="A8" s="10"/>
      <c r="B8" s="63" t="s">
        <v>108</v>
      </c>
      <c r="C8" s="31" t="s">
        <v>139</v>
      </c>
      <c r="D8" s="449" t="s">
        <v>18</v>
      </c>
      <c r="E8" s="449"/>
      <c r="F8" s="22" t="s">
        <v>42</v>
      </c>
      <c r="G8" s="31" t="s">
        <v>123</v>
      </c>
      <c r="H8" s="31" t="s">
        <v>16</v>
      </c>
      <c r="I8" s="11">
        <v>25</v>
      </c>
      <c r="J8" s="46" t="s">
        <v>56</v>
      </c>
      <c r="K8" s="31" t="s">
        <v>19</v>
      </c>
      <c r="L8" s="127">
        <f>+Vol_VERT!C5</f>
        <v>10</v>
      </c>
      <c r="M8" s="126" t="str">
        <f>+Vol_VERT!E5</f>
        <v>CUMPLE</v>
      </c>
      <c r="N8" s="11">
        <f>+Vol_VERT!C6</f>
        <v>15</v>
      </c>
      <c r="O8" s="126" t="str">
        <f>+Vol_VERT!E6</f>
        <v>CUMPLE</v>
      </c>
      <c r="P8" s="11">
        <f>+Vol_VERT!C7</f>
        <v>10</v>
      </c>
      <c r="Q8" s="126" t="str">
        <f>+Vol_VERT!E7</f>
        <v>CUMPLE</v>
      </c>
      <c r="R8" s="11">
        <f>+Vol_VERT!C8</f>
        <v>6</v>
      </c>
      <c r="S8" s="126" t="str">
        <f>+Vol_VERT!E8</f>
        <v>CUMPLE</v>
      </c>
      <c r="T8" s="49">
        <f>+Vol_VERT!C9</f>
        <v>7</v>
      </c>
      <c r="U8" s="126" t="str">
        <f>+Vol_VERT!E9</f>
        <v>CUMPLE</v>
      </c>
      <c r="V8" s="49">
        <f>+Vol_VERT!C10</f>
        <v>7</v>
      </c>
      <c r="W8" s="126" t="str">
        <f>+Vol_VERT!E10</f>
        <v>CUMPLE</v>
      </c>
      <c r="X8" s="23">
        <f>+Vol_VERT!C11</f>
        <v>9</v>
      </c>
      <c r="Y8" s="126" t="str">
        <f>+Vol_VERT!E11</f>
        <v>CUMPLE</v>
      </c>
      <c r="Z8" s="49">
        <f>+Vol_VERT!C12</f>
        <v>12.2</v>
      </c>
      <c r="AA8" s="126" t="str">
        <f>+Vol_VERT!E12</f>
        <v>CUMPLE</v>
      </c>
      <c r="AB8" s="49">
        <f>+Vol_VERT!C13</f>
        <v>10.8</v>
      </c>
      <c r="AC8" s="126" t="str">
        <f>+Vol_VERT!E13</f>
        <v>CUMPLE</v>
      </c>
      <c r="AD8" s="49">
        <f>+Vol_VERT!C14</f>
        <v>10.5</v>
      </c>
      <c r="AE8" s="126" t="str">
        <f>+Vol_VERT!E14</f>
        <v>CUMPLE</v>
      </c>
      <c r="AF8" s="23">
        <f>+Vol_VERT!C15</f>
        <v>10</v>
      </c>
      <c r="AG8" s="126" t="str">
        <f>+Vol_VERT!E15</f>
        <v>CUMPLE</v>
      </c>
      <c r="AH8" s="118">
        <f>+Vol_VERT!C16</f>
        <v>8.6999999999999993</v>
      </c>
      <c r="AI8" s="126" t="str">
        <f>+Vol_VERT!E16</f>
        <v>CUMPLE</v>
      </c>
      <c r="AJ8" s="51"/>
    </row>
    <row r="9" spans="1:37" s="4" customFormat="1" ht="33.75" customHeight="1">
      <c r="A9" s="10"/>
      <c r="B9" s="390" t="s">
        <v>107</v>
      </c>
      <c r="C9" s="31" t="s">
        <v>140</v>
      </c>
      <c r="D9" s="387" t="s">
        <v>59</v>
      </c>
      <c r="E9" s="384"/>
      <c r="F9" s="22" t="s">
        <v>41</v>
      </c>
      <c r="G9" s="31" t="s">
        <v>92</v>
      </c>
      <c r="H9" s="31" t="s">
        <v>16</v>
      </c>
      <c r="I9" s="11">
        <v>6.25</v>
      </c>
      <c r="J9" s="46" t="s">
        <v>93</v>
      </c>
      <c r="K9" s="31" t="s">
        <v>20</v>
      </c>
      <c r="L9" s="31">
        <f>+RESIDUOS!J5</f>
        <v>169.04999999999998</v>
      </c>
      <c r="M9" s="126" t="str">
        <f>+RESIDUOS!O5</f>
        <v>CUMPLE</v>
      </c>
      <c r="N9" s="49">
        <f>+RESIDUOS!J6</f>
        <v>275.3</v>
      </c>
      <c r="O9" s="126" t="str">
        <f>+RESIDUOS!O6</f>
        <v>CUMPLE</v>
      </c>
      <c r="P9" s="49">
        <f>+RESIDUOS!J7</f>
        <v>229.05</v>
      </c>
      <c r="Q9" s="126" t="str">
        <f>+RESIDUOS!O7</f>
        <v>CUMPLE</v>
      </c>
      <c r="R9" s="49">
        <f>+RESIDUOS!J8</f>
        <v>248.45</v>
      </c>
      <c r="S9" s="126" t="str">
        <f>+RESIDUOS!O8</f>
        <v>CUMPLE</v>
      </c>
      <c r="T9" s="49">
        <f>+RESIDUOS!J9</f>
        <v>283.89999999999998</v>
      </c>
      <c r="U9" s="126" t="str">
        <f>+RESIDUOS!O9</f>
        <v>CUMPLE</v>
      </c>
      <c r="V9" s="49">
        <f>+RESIDUOS!J10</f>
        <v>286.60000000000002</v>
      </c>
      <c r="W9" s="126" t="str">
        <f>+RESIDUOS!O10</f>
        <v>CUMPLE</v>
      </c>
      <c r="X9" s="49">
        <f>+RESIDUOS!J11</f>
        <v>282.79999999999995</v>
      </c>
      <c r="Y9" s="126" t="str">
        <f>+RESIDUOS!O11</f>
        <v>CUMPLE</v>
      </c>
      <c r="Z9" s="49">
        <f>+RESIDUOS!J12</f>
        <v>281.39999999999998</v>
      </c>
      <c r="AA9" s="126" t="str">
        <f>+RESIDUOS!O12</f>
        <v>CUMPLE</v>
      </c>
      <c r="AB9" s="49">
        <f>+RESIDUOS!J13</f>
        <v>311.89999999999998</v>
      </c>
      <c r="AC9" s="126" t="str">
        <f>+RESIDUOS!O13</f>
        <v>NO CUMPLE</v>
      </c>
      <c r="AD9" s="49">
        <f>+RESIDUOS!J14</f>
        <v>234.7</v>
      </c>
      <c r="AE9" s="126" t="str">
        <f>+RESIDUOS!O14</f>
        <v>CUMPLE</v>
      </c>
      <c r="AF9" s="49">
        <f>+RESIDUOS!J15</f>
        <v>185</v>
      </c>
      <c r="AG9" s="126" t="str">
        <f>+RESIDUOS!O15</f>
        <v>CUMPLE</v>
      </c>
      <c r="AH9" s="49">
        <f>+RESIDUOS!J16</f>
        <v>195.10000000000002</v>
      </c>
      <c r="AI9" s="126" t="str">
        <f>+RESIDUOS!O16</f>
        <v>CUMPLE</v>
      </c>
      <c r="AJ9" s="51"/>
    </row>
    <row r="10" spans="1:37" s="4" customFormat="1" ht="27.75" customHeight="1">
      <c r="A10" s="10"/>
      <c r="B10" s="390"/>
      <c r="C10" s="31" t="s">
        <v>140</v>
      </c>
      <c r="D10" s="387" t="s">
        <v>134</v>
      </c>
      <c r="E10" s="384"/>
      <c r="F10" s="22" t="s">
        <v>15</v>
      </c>
      <c r="G10" s="31" t="s">
        <v>130</v>
      </c>
      <c r="H10" s="31" t="s">
        <v>16</v>
      </c>
      <c r="I10" s="11">
        <v>6.25</v>
      </c>
      <c r="J10" s="46">
        <v>15</v>
      </c>
      <c r="K10" s="31" t="s">
        <v>20</v>
      </c>
      <c r="L10" s="135">
        <f>+RESIDUOS!K5</f>
        <v>0.22314049586776857</v>
      </c>
      <c r="M10" s="126" t="str">
        <f>+RESIDUOS!M5</f>
        <v>CUMPLE</v>
      </c>
      <c r="N10" s="24">
        <f>+RESIDUOS!K6</f>
        <v>0.18181818181818182</v>
      </c>
      <c r="O10" s="126" t="str">
        <f>+RESIDUOS!M6</f>
        <v>CUMPLE</v>
      </c>
      <c r="P10" s="24">
        <f>+RESIDUOS!K7</f>
        <v>0.21390374331550802</v>
      </c>
      <c r="Q10" s="126" t="str">
        <f>+RESIDUOS!M7</f>
        <v>CUMPLE</v>
      </c>
      <c r="R10" s="24">
        <f>+RESIDUOS!K8</f>
        <v>0.25830258302583026</v>
      </c>
      <c r="S10" s="126" t="str">
        <f>+RESIDUOS!M8</f>
        <v>CUMPLE</v>
      </c>
      <c r="T10" s="24">
        <f>+RESIDUOS!K9</f>
        <v>0.20382165605095542</v>
      </c>
      <c r="U10" s="126" t="str">
        <f>+RESIDUOS!M9</f>
        <v>CUMPLE</v>
      </c>
      <c r="V10" s="24">
        <f>+RESIDUOS!K10</f>
        <v>0.28662420382165604</v>
      </c>
      <c r="W10" s="126" t="str">
        <f>+RESIDUOS!M10</f>
        <v>CUMPLE</v>
      </c>
      <c r="X10" s="29">
        <f>+RESIDUOS!K11</f>
        <v>0.26020408163265302</v>
      </c>
      <c r="Y10" s="126" t="str">
        <f>+RESIDUOS!M11</f>
        <v>CUMPLE</v>
      </c>
      <c r="Z10" s="24">
        <f>+RESIDUOS!K12</f>
        <v>0.37848605577689243</v>
      </c>
      <c r="AA10" s="126" t="str">
        <f>+RESIDUOS!M12</f>
        <v>CUMPLE</v>
      </c>
      <c r="AB10" s="24">
        <f>+RESIDUOS!K13</f>
        <v>0.54748603351955316</v>
      </c>
      <c r="AC10" s="126" t="str">
        <f>+RESIDUOS!M13</f>
        <v>CUMPLE</v>
      </c>
      <c r="AD10" s="24">
        <f>+RESIDUOS!K14</f>
        <v>0.29220779220779219</v>
      </c>
      <c r="AE10" s="126" t="str">
        <f>+RESIDUOS!M14</f>
        <v>CUMPLE</v>
      </c>
      <c r="AF10" s="24">
        <f>+RESIDUOS!K15</f>
        <v>0.36607142857142855</v>
      </c>
      <c r="AG10" s="126" t="str">
        <f>+RESIDUOS!M15</f>
        <v>CUMPLE</v>
      </c>
      <c r="AH10" s="62">
        <f>+RESIDUOS!K16</f>
        <v>0.43220338983050843</v>
      </c>
      <c r="AI10" s="126" t="str">
        <f>+RESIDUOS!M16</f>
        <v>CUMPLE</v>
      </c>
      <c r="AJ10" s="51"/>
    </row>
    <row r="11" spans="1:37" s="4" customFormat="1" ht="29.25" customHeight="1">
      <c r="A11" s="10"/>
      <c r="B11" s="391"/>
      <c r="C11" s="31" t="s">
        <v>140</v>
      </c>
      <c r="D11" s="388" t="s">
        <v>58</v>
      </c>
      <c r="E11" s="389"/>
      <c r="F11" s="30" t="s">
        <v>41</v>
      </c>
      <c r="G11" s="30" t="s">
        <v>122</v>
      </c>
      <c r="H11" s="30" t="s">
        <v>16</v>
      </c>
      <c r="I11" s="40">
        <v>6.25</v>
      </c>
      <c r="J11" s="48" t="s">
        <v>363</v>
      </c>
      <c r="K11" s="31" t="s">
        <v>20</v>
      </c>
      <c r="L11" s="30">
        <f>+'RESPEL '!C37</f>
        <v>0</v>
      </c>
      <c r="M11" s="126" t="str">
        <f>+'RESPEL '!C43</f>
        <v>CUMPLE</v>
      </c>
      <c r="N11" s="30">
        <f>+'RESPEL '!D37</f>
        <v>0</v>
      </c>
      <c r="O11" s="126" t="str">
        <f>+'RESPEL '!D43</f>
        <v>CUMPLE</v>
      </c>
      <c r="P11" s="30">
        <f>+'RESPEL '!E37</f>
        <v>0</v>
      </c>
      <c r="Q11" s="126" t="str">
        <f>+'RESPEL '!E43</f>
        <v>CUMPLE</v>
      </c>
      <c r="R11" s="41">
        <f>+'RESPEL '!F37</f>
        <v>476</v>
      </c>
      <c r="S11" s="126" t="str">
        <f>+'RESPEL '!F43</f>
        <v>CUMPLE</v>
      </c>
      <c r="T11" s="41">
        <f>+'RESPEL '!G37</f>
        <v>0</v>
      </c>
      <c r="U11" s="126" t="str">
        <f>+'RESPEL '!G43</f>
        <v>CUMPLE</v>
      </c>
      <c r="V11" s="42">
        <f>+'RESPEL '!H37</f>
        <v>0</v>
      </c>
      <c r="W11" s="126" t="str">
        <f>+'RESPEL '!H43</f>
        <v>CUMPLE</v>
      </c>
      <c r="X11" s="42">
        <f>+'RESPEL '!I37</f>
        <v>0</v>
      </c>
      <c r="Y11" s="126" t="str">
        <f>+'RESPEL '!I43</f>
        <v>CUMPLE</v>
      </c>
      <c r="Z11" s="42">
        <f>+'RESPEL '!J37</f>
        <v>29</v>
      </c>
      <c r="AA11" s="126" t="str">
        <f>+'RESPEL '!J43</f>
        <v>CUMPLE</v>
      </c>
      <c r="AB11" s="42">
        <f>+'RESPEL '!K37</f>
        <v>0</v>
      </c>
      <c r="AC11" s="126" t="str">
        <f>+'RESPEL '!K43</f>
        <v>CUMPLE</v>
      </c>
      <c r="AD11" s="42">
        <f>+'RESPEL '!L37</f>
        <v>0</v>
      </c>
      <c r="AE11" s="126" t="str">
        <f>+'RESPEL '!L43</f>
        <v>CUMPLE</v>
      </c>
      <c r="AF11" s="42">
        <f>+'RESPEL '!M37</f>
        <v>41</v>
      </c>
      <c r="AG11" s="126" t="str">
        <f>+'RESPEL '!M43</f>
        <v>CUMPLE</v>
      </c>
      <c r="AH11" s="42">
        <f>+'RESPEL '!N37</f>
        <v>0</v>
      </c>
      <c r="AI11" s="126" t="str">
        <f>+'RESPEL '!N43</f>
        <v>CUMPLE</v>
      </c>
      <c r="AJ11" s="51"/>
    </row>
    <row r="12" spans="1:37" s="4" customFormat="1" ht="42" customHeight="1">
      <c r="A12" s="10"/>
      <c r="B12" s="63" t="s">
        <v>106</v>
      </c>
      <c r="C12" s="59" t="s">
        <v>141</v>
      </c>
      <c r="D12" s="387" t="s">
        <v>111</v>
      </c>
      <c r="E12" s="384"/>
      <c r="F12" s="31" t="s">
        <v>114</v>
      </c>
      <c r="G12" s="31" t="s">
        <v>100</v>
      </c>
      <c r="H12" s="31" t="s">
        <v>98</v>
      </c>
      <c r="I12" s="11"/>
      <c r="J12" s="46" t="s">
        <v>101</v>
      </c>
      <c r="K12" s="31" t="s">
        <v>20</v>
      </c>
      <c r="L12" s="387">
        <v>69</v>
      </c>
      <c r="M12" s="435"/>
      <c r="N12" s="435"/>
      <c r="O12" s="435"/>
      <c r="P12" s="435"/>
      <c r="Q12" s="384"/>
      <c r="R12" s="436">
        <v>70.400000000000006</v>
      </c>
      <c r="S12" s="437"/>
      <c r="T12" s="437"/>
      <c r="U12" s="437"/>
      <c r="V12" s="437"/>
      <c r="W12" s="438"/>
      <c r="X12" s="436" t="s">
        <v>378</v>
      </c>
      <c r="Y12" s="437"/>
      <c r="Z12" s="437"/>
      <c r="AA12" s="437"/>
      <c r="AB12" s="437"/>
      <c r="AC12" s="438"/>
      <c r="AD12" s="439">
        <v>65</v>
      </c>
      <c r="AE12" s="440"/>
      <c r="AF12" s="440"/>
      <c r="AG12" s="440"/>
      <c r="AH12" s="440"/>
      <c r="AI12" s="441"/>
    </row>
    <row r="13" spans="1:37" s="4" customFormat="1" ht="40.5" customHeight="1">
      <c r="A13" s="10"/>
      <c r="B13" s="391" t="s">
        <v>110</v>
      </c>
      <c r="C13" s="60" t="s">
        <v>142</v>
      </c>
      <c r="D13" s="387" t="s">
        <v>112</v>
      </c>
      <c r="E13" s="384"/>
      <c r="F13" s="31" t="s">
        <v>96</v>
      </c>
      <c r="G13" s="31" t="s">
        <v>116</v>
      </c>
      <c r="H13" s="31" t="s">
        <v>97</v>
      </c>
      <c r="I13" s="11"/>
      <c r="J13" s="46" t="s">
        <v>104</v>
      </c>
      <c r="K13" s="31" t="s">
        <v>20</v>
      </c>
      <c r="L13" s="444" t="s">
        <v>378</v>
      </c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446"/>
      <c r="X13" s="448" t="s">
        <v>378</v>
      </c>
      <c r="Y13" s="448"/>
      <c r="Z13" s="448"/>
      <c r="AA13" s="448"/>
      <c r="AB13" s="448"/>
      <c r="AC13" s="448"/>
      <c r="AD13" s="448"/>
      <c r="AE13" s="448"/>
      <c r="AF13" s="448"/>
      <c r="AG13" s="448"/>
      <c r="AH13" s="448"/>
      <c r="AI13" s="448"/>
    </row>
    <row r="14" spans="1:37" s="4" customFormat="1" ht="40.5" customHeight="1" thickBot="1">
      <c r="A14" s="10"/>
      <c r="B14" s="396"/>
      <c r="C14" s="60" t="s">
        <v>142</v>
      </c>
      <c r="D14" s="388" t="s">
        <v>113</v>
      </c>
      <c r="E14" s="389"/>
      <c r="F14" s="30" t="s">
        <v>96</v>
      </c>
      <c r="G14" s="30" t="s">
        <v>115</v>
      </c>
      <c r="H14" s="30" t="s">
        <v>97</v>
      </c>
      <c r="I14" s="40"/>
      <c r="J14" s="48" t="s">
        <v>105</v>
      </c>
      <c r="K14" s="30" t="s">
        <v>20</v>
      </c>
      <c r="L14" s="388" t="s">
        <v>378</v>
      </c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389"/>
      <c r="X14" s="443" t="s">
        <v>378</v>
      </c>
      <c r="Y14" s="443"/>
      <c r="Z14" s="443"/>
      <c r="AA14" s="443"/>
      <c r="AB14" s="443"/>
      <c r="AC14" s="443"/>
      <c r="AD14" s="443"/>
      <c r="AE14" s="443"/>
      <c r="AF14" s="443"/>
      <c r="AG14" s="443"/>
      <c r="AH14" s="443"/>
      <c r="AI14" s="443"/>
    </row>
    <row r="15" spans="1:37" s="4" customFormat="1" ht="30.75" customHeight="1" thickBot="1">
      <c r="A15" s="10"/>
      <c r="B15" s="392" t="s">
        <v>43</v>
      </c>
      <c r="C15" s="397"/>
      <c r="D15" s="392" t="s">
        <v>44</v>
      </c>
      <c r="E15" s="393"/>
      <c r="F15" s="178" t="s">
        <v>15</v>
      </c>
      <c r="G15" s="179"/>
      <c r="H15" s="180" t="s">
        <v>16</v>
      </c>
      <c r="I15" s="181">
        <v>100</v>
      </c>
      <c r="J15" s="182">
        <v>0.8</v>
      </c>
      <c r="K15" s="181" t="s">
        <v>19</v>
      </c>
      <c r="L15" s="182">
        <f>5/5</f>
        <v>1</v>
      </c>
      <c r="M15" s="183" t="str">
        <f>+IF(L15&gt;=80%,"CUMPLE","NO CUMPLE")</f>
        <v>CUMPLE</v>
      </c>
      <c r="N15" s="182">
        <f>5/5</f>
        <v>1</v>
      </c>
      <c r="O15" s="183" t="str">
        <f>+IF(N15&gt;=80%,"CUMPLE","NO CUMPLE")</f>
        <v>CUMPLE</v>
      </c>
      <c r="P15" s="182">
        <f>4/5</f>
        <v>0.8</v>
      </c>
      <c r="Q15" s="183" t="str">
        <f>+IF(P15&gt;=80%,"CUMPLE","NO CUMPLE")</f>
        <v>CUMPLE</v>
      </c>
      <c r="R15" s="182">
        <f>4/5</f>
        <v>0.8</v>
      </c>
      <c r="S15" s="183" t="str">
        <f>+IF(R15&gt;=80%,"CUMPLE","NO CUMPLE")</f>
        <v>CUMPLE</v>
      </c>
      <c r="T15" s="182">
        <f>4/5</f>
        <v>0.8</v>
      </c>
      <c r="U15" s="183" t="str">
        <f>+IF(T15&gt;=80%,"CUMPLE","NO CUMPLE")</f>
        <v>CUMPLE</v>
      </c>
      <c r="V15" s="182">
        <f>5/5</f>
        <v>1</v>
      </c>
      <c r="W15" s="183" t="str">
        <f>+IF(V15&gt;=80%,"CUMPLE","NO CUMPLE")</f>
        <v>CUMPLE</v>
      </c>
      <c r="X15" s="182">
        <f>5/5</f>
        <v>1</v>
      </c>
      <c r="Y15" s="183" t="str">
        <f>+IF(X15&gt;=80%,"CUMPLE","NO CUMPLE")</f>
        <v>CUMPLE</v>
      </c>
      <c r="Z15" s="182">
        <f>5/5</f>
        <v>1</v>
      </c>
      <c r="AA15" s="183" t="str">
        <f>+IF(Z15&gt;=80%,"CUMPLE","NO CUMPLE")</f>
        <v>CUMPLE</v>
      </c>
      <c r="AB15" s="182">
        <f>5/5</f>
        <v>1</v>
      </c>
      <c r="AC15" s="183" t="str">
        <f>+IF(AB15&gt;=80%,"CUMPLE","NO CUMPLE")</f>
        <v>CUMPLE</v>
      </c>
      <c r="AD15" s="182">
        <f>5/5</f>
        <v>1</v>
      </c>
      <c r="AE15" s="183" t="str">
        <f>+IF(AD15&gt;=80%,"CUMPLE","NO CUMPLE")</f>
        <v>CUMPLE</v>
      </c>
      <c r="AF15" s="182">
        <f>5/5</f>
        <v>1</v>
      </c>
      <c r="AG15" s="183" t="str">
        <f>+IF(AF15&gt;=80%,"CUMPLE","NO CUMPLE")</f>
        <v>CUMPLE</v>
      </c>
      <c r="AH15" s="182">
        <f>5/5</f>
        <v>1</v>
      </c>
      <c r="AI15" s="184" t="str">
        <f>+IF(AH15&gt;=80%,"CUMPLE","NO CUMPLE")</f>
        <v>CUMPLE</v>
      </c>
    </row>
    <row r="16" spans="1:37" s="4" customFormat="1" ht="33.75" customHeight="1" thickTop="1">
      <c r="A16" s="10"/>
      <c r="B16" s="398" t="s">
        <v>89</v>
      </c>
      <c r="C16" s="399"/>
      <c r="D16" s="394" t="s">
        <v>46</v>
      </c>
      <c r="E16" s="395"/>
      <c r="F16" s="14" t="s">
        <v>48</v>
      </c>
      <c r="G16" s="14" t="s">
        <v>47</v>
      </c>
      <c r="H16" s="14" t="s">
        <v>16</v>
      </c>
      <c r="I16" s="14">
        <v>33.33</v>
      </c>
      <c r="J16" s="6">
        <v>0</v>
      </c>
      <c r="K16" s="14" t="s">
        <v>19</v>
      </c>
      <c r="L16" s="14">
        <v>0</v>
      </c>
      <c r="M16" s="14"/>
      <c r="N16" s="14">
        <v>0</v>
      </c>
      <c r="O16" s="14"/>
      <c r="P16" s="14">
        <v>0</v>
      </c>
      <c r="Q16" s="14"/>
      <c r="R16" s="14">
        <v>0</v>
      </c>
      <c r="S16" s="14"/>
      <c r="T16" s="14">
        <v>0</v>
      </c>
      <c r="U16" s="14"/>
      <c r="V16" s="14">
        <v>0</v>
      </c>
      <c r="W16" s="14"/>
      <c r="X16" s="14">
        <v>0</v>
      </c>
      <c r="Y16" s="14"/>
      <c r="Z16" s="14">
        <v>0</v>
      </c>
      <c r="AA16" s="14"/>
      <c r="AB16" s="14">
        <v>0</v>
      </c>
      <c r="AC16" s="14"/>
      <c r="AD16" s="14">
        <v>0</v>
      </c>
      <c r="AE16" s="14"/>
      <c r="AF16" s="14">
        <v>0</v>
      </c>
      <c r="AG16" s="14"/>
      <c r="AH16" s="64">
        <v>0</v>
      </c>
      <c r="AI16" s="12"/>
      <c r="AJ16" s="52"/>
    </row>
    <row r="17" spans="1:36" s="4" customFormat="1" ht="25.5" customHeight="1">
      <c r="A17" s="10"/>
      <c r="B17" s="400"/>
      <c r="C17" s="401"/>
      <c r="D17" s="442" t="s">
        <v>86</v>
      </c>
      <c r="E17" s="389"/>
      <c r="F17" s="14" t="s">
        <v>48</v>
      </c>
      <c r="G17" s="14" t="s">
        <v>87</v>
      </c>
      <c r="H17" s="14" t="s">
        <v>16</v>
      </c>
      <c r="I17" s="14"/>
      <c r="J17" s="6">
        <v>0</v>
      </c>
      <c r="K17" s="14" t="s">
        <v>19</v>
      </c>
      <c r="L17" s="14">
        <v>0</v>
      </c>
      <c r="M17" s="14"/>
      <c r="N17" s="14">
        <v>0</v>
      </c>
      <c r="O17" s="14"/>
      <c r="P17" s="14">
        <v>0</v>
      </c>
      <c r="Q17" s="14"/>
      <c r="R17" s="14">
        <v>0</v>
      </c>
      <c r="S17" s="14"/>
      <c r="T17" s="14">
        <v>0</v>
      </c>
      <c r="U17" s="14"/>
      <c r="V17" s="14">
        <v>0</v>
      </c>
      <c r="W17" s="14"/>
      <c r="X17" s="14">
        <v>0</v>
      </c>
      <c r="Y17" s="14"/>
      <c r="Z17" s="14">
        <v>0</v>
      </c>
      <c r="AA17" s="14"/>
      <c r="AB17" s="14">
        <v>0</v>
      </c>
      <c r="AC17" s="14"/>
      <c r="AD17" s="14">
        <v>0</v>
      </c>
      <c r="AE17" s="14"/>
      <c r="AF17" s="14">
        <v>0</v>
      </c>
      <c r="AG17" s="14"/>
      <c r="AH17" s="64">
        <v>0</v>
      </c>
      <c r="AI17" s="12"/>
      <c r="AJ17" s="52"/>
    </row>
    <row r="18" spans="1:36" s="4" customFormat="1" ht="24" customHeight="1">
      <c r="A18" s="10"/>
      <c r="B18" s="402"/>
      <c r="C18" s="403"/>
      <c r="D18" s="402"/>
      <c r="E18" s="417"/>
      <c r="F18" s="14" t="s">
        <v>48</v>
      </c>
      <c r="G18" s="14" t="s">
        <v>88</v>
      </c>
      <c r="H18" s="14" t="s">
        <v>16</v>
      </c>
      <c r="I18" s="14"/>
      <c r="J18" s="6">
        <v>0</v>
      </c>
      <c r="K18" s="14" t="s">
        <v>19</v>
      </c>
      <c r="L18" s="14">
        <v>0</v>
      </c>
      <c r="M18" s="14"/>
      <c r="N18" s="14">
        <v>0</v>
      </c>
      <c r="O18" s="14"/>
      <c r="P18" s="14">
        <v>0</v>
      </c>
      <c r="Q18" s="14"/>
      <c r="R18" s="14">
        <v>0</v>
      </c>
      <c r="S18" s="14"/>
      <c r="T18" s="14">
        <v>0</v>
      </c>
      <c r="U18" s="14"/>
      <c r="V18" s="14">
        <v>0</v>
      </c>
      <c r="W18" s="14"/>
      <c r="X18" s="14">
        <v>0</v>
      </c>
      <c r="Y18" s="14"/>
      <c r="Z18" s="14">
        <v>0</v>
      </c>
      <c r="AA18" s="14"/>
      <c r="AB18" s="14">
        <v>0</v>
      </c>
      <c r="AC18" s="14"/>
      <c r="AD18" s="14">
        <v>0</v>
      </c>
      <c r="AE18" s="14"/>
      <c r="AF18" s="14">
        <v>0</v>
      </c>
      <c r="AG18" s="14"/>
      <c r="AH18" s="64">
        <v>0</v>
      </c>
      <c r="AI18" s="12"/>
      <c r="AJ18" s="52"/>
    </row>
    <row r="19" spans="1:36" s="4" customFormat="1" ht="39" customHeight="1">
      <c r="A19" s="10"/>
      <c r="B19" s="383" t="s">
        <v>90</v>
      </c>
      <c r="C19" s="404"/>
      <c r="D19" s="383" t="s">
        <v>52</v>
      </c>
      <c r="E19" s="384"/>
      <c r="F19" s="31" t="s">
        <v>15</v>
      </c>
      <c r="G19" s="31" t="s">
        <v>51</v>
      </c>
      <c r="H19" s="14" t="s">
        <v>16</v>
      </c>
      <c r="I19" s="31">
        <v>33.33</v>
      </c>
      <c r="J19" s="1">
        <v>1</v>
      </c>
      <c r="K19" s="31" t="s">
        <v>19</v>
      </c>
      <c r="L19" s="1">
        <v>1</v>
      </c>
      <c r="M19" s="1"/>
      <c r="N19" s="1">
        <v>1</v>
      </c>
      <c r="O19" s="1"/>
      <c r="P19" s="1">
        <v>0</v>
      </c>
      <c r="Q19" s="1"/>
      <c r="R19" s="1">
        <v>0</v>
      </c>
      <c r="S19" s="1"/>
      <c r="T19" s="1">
        <v>0</v>
      </c>
      <c r="U19" s="1"/>
      <c r="V19" s="1">
        <v>1</v>
      </c>
      <c r="W19" s="1"/>
      <c r="X19" s="1">
        <v>1</v>
      </c>
      <c r="Y19" s="1"/>
      <c r="Z19" s="1">
        <v>1</v>
      </c>
      <c r="AA19" s="1"/>
      <c r="AB19" s="1">
        <v>1</v>
      </c>
      <c r="AC19" s="1"/>
      <c r="AD19" s="1">
        <v>1</v>
      </c>
      <c r="AE19" s="1"/>
      <c r="AF19" s="1">
        <v>1</v>
      </c>
      <c r="AG19" s="43"/>
      <c r="AH19" s="196">
        <v>100</v>
      </c>
      <c r="AI19" s="44"/>
      <c r="AJ19" s="53"/>
    </row>
    <row r="20" spans="1:36" s="4" customFormat="1" ht="33" customHeight="1" thickBot="1">
      <c r="A20" s="10"/>
      <c r="B20" s="405" t="s">
        <v>91</v>
      </c>
      <c r="C20" s="406"/>
      <c r="D20" s="385" t="s">
        <v>84</v>
      </c>
      <c r="E20" s="386"/>
      <c r="F20" s="18" t="s">
        <v>48</v>
      </c>
      <c r="G20" s="18" t="s">
        <v>85</v>
      </c>
      <c r="H20" s="18" t="s">
        <v>16</v>
      </c>
      <c r="I20" s="18">
        <v>33.33</v>
      </c>
      <c r="J20" s="19">
        <v>0</v>
      </c>
      <c r="K20" s="18" t="s">
        <v>19</v>
      </c>
      <c r="L20" s="18">
        <v>0</v>
      </c>
      <c r="M20" s="19"/>
      <c r="N20" s="19">
        <v>0</v>
      </c>
      <c r="O20" s="19"/>
      <c r="P20" s="19">
        <v>0</v>
      </c>
      <c r="Q20" s="19"/>
      <c r="R20" s="19">
        <v>0</v>
      </c>
      <c r="S20" s="20"/>
      <c r="T20" s="20">
        <v>0</v>
      </c>
      <c r="U20" s="20"/>
      <c r="V20" s="20">
        <v>0</v>
      </c>
      <c r="W20" s="20"/>
      <c r="X20" s="20">
        <v>0</v>
      </c>
      <c r="Y20" s="20"/>
      <c r="Z20" s="20">
        <v>0</v>
      </c>
      <c r="AA20" s="20"/>
      <c r="AB20" s="20">
        <v>0</v>
      </c>
      <c r="AC20" s="20"/>
      <c r="AD20" s="20">
        <v>0</v>
      </c>
      <c r="AE20" s="20"/>
      <c r="AF20" s="20">
        <v>0</v>
      </c>
      <c r="AG20" s="20"/>
      <c r="AH20" s="119">
        <v>0</v>
      </c>
      <c r="AI20" s="21"/>
      <c r="AJ20" s="54"/>
    </row>
    <row r="21" spans="1:36" s="4" customFormat="1" ht="10.5" customHeight="1">
      <c r="A21" s="10"/>
      <c r="B21" s="16"/>
      <c r="C21" s="16"/>
      <c r="D21" s="16"/>
      <c r="E21" s="16"/>
      <c r="F21" s="16"/>
      <c r="G21" s="16"/>
      <c r="H21" s="16"/>
      <c r="I21" s="16"/>
      <c r="J21" s="17"/>
      <c r="K21" s="16"/>
      <c r="L21" s="16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6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6" ht="24.75" customHeight="1" thickBot="1">
      <c r="B23" s="382" t="s">
        <v>135</v>
      </c>
      <c r="C23" s="382"/>
      <c r="D23" s="382"/>
      <c r="E23" s="382"/>
      <c r="F23" s="382"/>
      <c r="G23" s="382"/>
      <c r="H23" s="382"/>
      <c r="I23" s="382"/>
      <c r="J23" s="382"/>
      <c r="K23" s="382"/>
      <c r="L23" s="58">
        <f>+(L4+L15)/2</f>
        <v>1</v>
      </c>
      <c r="M23" s="134" t="str">
        <f>+IF(L23&gt;=85%,"CUMPLE","NO CUMPLE")</f>
        <v>CUMPLE</v>
      </c>
      <c r="N23" s="58">
        <f>+(N4+N15)/2</f>
        <v>1</v>
      </c>
      <c r="O23" s="134" t="str">
        <f>+IF(N23&gt;=85%,"CUMPLE","NO CUMPLE")</f>
        <v>CUMPLE</v>
      </c>
      <c r="P23" s="58">
        <f>+(P4+P15)/2</f>
        <v>0.9</v>
      </c>
      <c r="Q23" s="134" t="str">
        <f>+IF(P23&gt;=85%,"CUMPLE","NO CUMPLE")</f>
        <v>CUMPLE</v>
      </c>
      <c r="R23" s="58">
        <f>+(R4+R15)/2</f>
        <v>0.9</v>
      </c>
      <c r="S23" s="134" t="str">
        <f>+IF(R23&gt;=85%,"CUMPLE","NO CUMPLE")</f>
        <v>CUMPLE</v>
      </c>
      <c r="T23" s="58">
        <f>+(T4+T15)/2</f>
        <v>0.82857142857142851</v>
      </c>
      <c r="U23" s="134" t="str">
        <f>+IF(T23&gt;=85%,"CUMPLE","NO CUMPLE")</f>
        <v>NO CUMPLE</v>
      </c>
      <c r="V23" s="58">
        <f>+(V4+V15)/2</f>
        <v>1</v>
      </c>
      <c r="W23" s="134" t="str">
        <f>+IF(V23&gt;=85%,"CUMPLE","NO CUMPLE")</f>
        <v>CUMPLE</v>
      </c>
      <c r="X23" s="58">
        <f>+(X4+X15)/2</f>
        <v>1</v>
      </c>
      <c r="Y23" s="134" t="str">
        <f>+IF(X23&gt;=85%,"CUMPLE","NO CUMPLE")</f>
        <v>CUMPLE</v>
      </c>
      <c r="Z23" s="58">
        <f>+(Z4+Z15)/2</f>
        <v>0.9285714285714286</v>
      </c>
      <c r="AA23" s="134" t="str">
        <f>+IF(Z23&gt;=85%,"CUMPLE","NO CUMPLE")</f>
        <v>CUMPLE</v>
      </c>
      <c r="AB23" s="58">
        <f>+(AB4+AB15)/2</f>
        <v>0.9285714285714286</v>
      </c>
      <c r="AC23" s="134" t="str">
        <f>+IF(AB23&gt;=85%,"CUMPLE","NO CUMPLE")</f>
        <v>CUMPLE</v>
      </c>
      <c r="AD23" s="58">
        <f>+(AD4+AD15)/2</f>
        <v>1</v>
      </c>
      <c r="AE23" s="134" t="str">
        <f>+IF(AD23&gt;=85%,"CUMPLE","NO CUMPLE")</f>
        <v>CUMPLE</v>
      </c>
      <c r="AF23" s="58">
        <f>+(AF4+AF15)/2</f>
        <v>1</v>
      </c>
      <c r="AG23" s="134" t="str">
        <f>+IF(AF23&gt;=85%,"CUMPLE","NO CUMPLE")</f>
        <v>CUMPLE</v>
      </c>
      <c r="AH23" s="58">
        <f>+(AH4+AH15)/2</f>
        <v>0.9285714285714286</v>
      </c>
      <c r="AI23" s="134" t="str">
        <f>+IF(AH23&gt;=85%,"CUMPLE","NO CUMPLE")</f>
        <v>CUMPLE</v>
      </c>
    </row>
    <row r="24" spans="1:36" ht="15.75" thickTop="1"/>
  </sheetData>
  <mergeCells count="51">
    <mergeCell ref="AB3:AC3"/>
    <mergeCell ref="AD3:AE3"/>
    <mergeCell ref="AF3:AG3"/>
    <mergeCell ref="D7:E7"/>
    <mergeCell ref="D8:E8"/>
    <mergeCell ref="Z3:AA3"/>
    <mergeCell ref="L3:M3"/>
    <mergeCell ref="N3:O3"/>
    <mergeCell ref="P3:Q3"/>
    <mergeCell ref="D17:E18"/>
    <mergeCell ref="X14:AI14"/>
    <mergeCell ref="L13:W13"/>
    <mergeCell ref="L14:W14"/>
    <mergeCell ref="X13:AI13"/>
    <mergeCell ref="L12:Q12"/>
    <mergeCell ref="R12:W12"/>
    <mergeCell ref="X12:AC12"/>
    <mergeCell ref="AD12:AI12"/>
    <mergeCell ref="D14:E14"/>
    <mergeCell ref="B16:C18"/>
    <mergeCell ref="D12:E12"/>
    <mergeCell ref="B19:C19"/>
    <mergeCell ref="B20:C20"/>
    <mergeCell ref="AC1:AI1"/>
    <mergeCell ref="AC2:AI2"/>
    <mergeCell ref="D4:E4"/>
    <mergeCell ref="D5:E5"/>
    <mergeCell ref="B1:D2"/>
    <mergeCell ref="E2:M2"/>
    <mergeCell ref="D3:E3"/>
    <mergeCell ref="E1:AB1"/>
    <mergeCell ref="N2:AB2"/>
    <mergeCell ref="B5:B6"/>
    <mergeCell ref="D6:E6"/>
    <mergeCell ref="X3:Y3"/>
    <mergeCell ref="AH3:AI3"/>
    <mergeCell ref="R3:S3"/>
    <mergeCell ref="T3:U3"/>
    <mergeCell ref="V3:W3"/>
    <mergeCell ref="B23:K23"/>
    <mergeCell ref="D19:E19"/>
    <mergeCell ref="D20:E20"/>
    <mergeCell ref="D9:E9"/>
    <mergeCell ref="D10:E10"/>
    <mergeCell ref="D11:E11"/>
    <mergeCell ref="D13:E13"/>
    <mergeCell ref="B9:B11"/>
    <mergeCell ref="D15:E15"/>
    <mergeCell ref="D16:E16"/>
    <mergeCell ref="B13:B14"/>
    <mergeCell ref="B15:C15"/>
  </mergeCells>
  <conditionalFormatting sqref="M4">
    <cfRule type="containsText" dxfId="239" priority="245" operator="containsText" text="NO CUMPLE">
      <formula>NOT(ISERROR(SEARCH("NO CUMPLE",M4)))</formula>
    </cfRule>
    <cfRule type="containsText" dxfId="238" priority="246" operator="containsText" text="CUMPLE">
      <formula>NOT(ISERROR(SEARCH("CUMPLE",M4)))</formula>
    </cfRule>
  </conditionalFormatting>
  <conditionalFormatting sqref="O4">
    <cfRule type="containsText" dxfId="237" priority="243" operator="containsText" text="NO CUMPLE">
      <formula>NOT(ISERROR(SEARCH("NO CUMPLE",O4)))</formula>
    </cfRule>
    <cfRule type="containsText" dxfId="236" priority="244" operator="containsText" text="CUMPLE">
      <formula>NOT(ISERROR(SEARCH("CUMPLE",O4)))</formula>
    </cfRule>
  </conditionalFormatting>
  <conditionalFormatting sqref="Q4">
    <cfRule type="containsText" dxfId="235" priority="241" operator="containsText" text="NO CUMPLE">
      <formula>NOT(ISERROR(SEARCH("NO CUMPLE",Q4)))</formula>
    </cfRule>
    <cfRule type="containsText" dxfId="234" priority="242" operator="containsText" text="CUMPLE">
      <formula>NOT(ISERROR(SEARCH("CUMPLE",Q4)))</formula>
    </cfRule>
  </conditionalFormatting>
  <conditionalFormatting sqref="S4">
    <cfRule type="containsText" dxfId="233" priority="239" operator="containsText" text="NO CUMPLE">
      <formula>NOT(ISERROR(SEARCH("NO CUMPLE",S4)))</formula>
    </cfRule>
    <cfRule type="containsText" dxfId="232" priority="240" operator="containsText" text="CUMPLE">
      <formula>NOT(ISERROR(SEARCH("CUMPLE",S4)))</formula>
    </cfRule>
  </conditionalFormatting>
  <conditionalFormatting sqref="U4">
    <cfRule type="containsText" dxfId="231" priority="237" operator="containsText" text="NO CUMPLE">
      <formula>NOT(ISERROR(SEARCH("NO CUMPLE",U4)))</formula>
    </cfRule>
    <cfRule type="containsText" dxfId="230" priority="238" operator="containsText" text="CUMPLE">
      <formula>NOT(ISERROR(SEARCH("CUMPLE",U4)))</formula>
    </cfRule>
  </conditionalFormatting>
  <conditionalFormatting sqref="W4">
    <cfRule type="containsText" dxfId="229" priority="235" operator="containsText" text="NO CUMPLE">
      <formula>NOT(ISERROR(SEARCH("NO CUMPLE",W4)))</formula>
    </cfRule>
    <cfRule type="containsText" dxfId="228" priority="236" operator="containsText" text="CUMPLE">
      <formula>NOT(ISERROR(SEARCH("CUMPLE",W4)))</formula>
    </cfRule>
  </conditionalFormatting>
  <conditionalFormatting sqref="Y4">
    <cfRule type="containsText" dxfId="227" priority="233" operator="containsText" text="NO CUMPLE">
      <formula>NOT(ISERROR(SEARCH("NO CUMPLE",Y4)))</formula>
    </cfRule>
    <cfRule type="containsText" dxfId="226" priority="234" operator="containsText" text="CUMPLE">
      <formula>NOT(ISERROR(SEARCH("CUMPLE",Y4)))</formula>
    </cfRule>
  </conditionalFormatting>
  <conditionalFormatting sqref="AA4">
    <cfRule type="containsText" dxfId="225" priority="231" operator="containsText" text="NO CUMPLE">
      <formula>NOT(ISERROR(SEARCH("NO CUMPLE",AA4)))</formula>
    </cfRule>
    <cfRule type="containsText" dxfId="224" priority="232" operator="containsText" text="CUMPLE">
      <formula>NOT(ISERROR(SEARCH("CUMPLE",AA4)))</formula>
    </cfRule>
  </conditionalFormatting>
  <conditionalFormatting sqref="M6">
    <cfRule type="containsText" dxfId="223" priority="219" operator="containsText" text="NO CUMPLE">
      <formula>NOT(ISERROR(SEARCH("NO CUMPLE",M6)))</formula>
    </cfRule>
    <cfRule type="containsText" dxfId="222" priority="220" operator="containsText" text="CUMPLE">
      <formula>NOT(ISERROR(SEARCH("CUMPLE",M6)))</formula>
    </cfRule>
  </conditionalFormatting>
  <conditionalFormatting sqref="AC4">
    <cfRule type="containsText" dxfId="221" priority="229" operator="containsText" text="NO CUMPLE">
      <formula>NOT(ISERROR(SEARCH("NO CUMPLE",AC4)))</formula>
    </cfRule>
    <cfRule type="containsText" dxfId="220" priority="230" operator="containsText" text="CUMPLE">
      <formula>NOT(ISERROR(SEARCH("CUMPLE",AC4)))</formula>
    </cfRule>
  </conditionalFormatting>
  <conditionalFormatting sqref="AE4">
    <cfRule type="containsText" dxfId="219" priority="227" operator="containsText" text="NO CUMPLE">
      <formula>NOT(ISERROR(SEARCH("NO CUMPLE",AE4)))</formula>
    </cfRule>
    <cfRule type="containsText" dxfId="218" priority="228" operator="containsText" text="CUMPLE">
      <formula>NOT(ISERROR(SEARCH("CUMPLE",AE4)))</formula>
    </cfRule>
  </conditionalFormatting>
  <conditionalFormatting sqref="AG4">
    <cfRule type="containsText" dxfId="217" priority="225" operator="containsText" text="NO CUMPLE">
      <formula>NOT(ISERROR(SEARCH("NO CUMPLE",AG4)))</formula>
    </cfRule>
    <cfRule type="containsText" dxfId="216" priority="226" operator="containsText" text="CUMPLE">
      <formula>NOT(ISERROR(SEARCH("CUMPLE",AG4)))</formula>
    </cfRule>
  </conditionalFormatting>
  <conditionalFormatting sqref="AI4">
    <cfRule type="containsText" dxfId="215" priority="223" operator="containsText" text="NO CUMPLE">
      <formula>NOT(ISERROR(SEARCH("NO CUMPLE",AI4)))</formula>
    </cfRule>
    <cfRule type="containsText" dxfId="214" priority="224" operator="containsText" text="CUMPLE">
      <formula>NOT(ISERROR(SEARCH("CUMPLE",AI4)))</formula>
    </cfRule>
  </conditionalFormatting>
  <conditionalFormatting sqref="M5">
    <cfRule type="containsText" dxfId="213" priority="221" operator="containsText" text="NO CUMPLE">
      <formula>NOT(ISERROR(SEARCH("NO CUMPLE",M5)))</formula>
    </cfRule>
    <cfRule type="containsText" dxfId="212" priority="222" operator="containsText" text="CUMPLE">
      <formula>NOT(ISERROR(SEARCH("CUMPLE",M5)))</formula>
    </cfRule>
  </conditionalFormatting>
  <conditionalFormatting sqref="O6">
    <cfRule type="containsText" dxfId="211" priority="215" operator="containsText" text="NO CUMPLE">
      <formula>NOT(ISERROR(SEARCH("NO CUMPLE",O6)))</formula>
    </cfRule>
    <cfRule type="containsText" dxfId="210" priority="216" operator="containsText" text="CUMPLE">
      <formula>NOT(ISERROR(SEARCH("CUMPLE",O6)))</formula>
    </cfRule>
  </conditionalFormatting>
  <conditionalFormatting sqref="Q6">
    <cfRule type="containsText" dxfId="209" priority="213" operator="containsText" text="NO CUMPLE">
      <formula>NOT(ISERROR(SEARCH("NO CUMPLE",Q6)))</formula>
    </cfRule>
    <cfRule type="containsText" dxfId="208" priority="214" operator="containsText" text="CUMPLE">
      <formula>NOT(ISERROR(SEARCH("CUMPLE",Q6)))</formula>
    </cfRule>
  </conditionalFormatting>
  <conditionalFormatting sqref="S6">
    <cfRule type="containsText" dxfId="207" priority="211" operator="containsText" text="NO CUMPLE">
      <formula>NOT(ISERROR(SEARCH("NO CUMPLE",S6)))</formula>
    </cfRule>
    <cfRule type="containsText" dxfId="206" priority="212" operator="containsText" text="CUMPLE">
      <formula>NOT(ISERROR(SEARCH("CUMPLE",S6)))</formula>
    </cfRule>
  </conditionalFormatting>
  <conditionalFormatting sqref="U6">
    <cfRule type="containsText" dxfId="205" priority="209" operator="containsText" text="NO CUMPLE">
      <formula>NOT(ISERROR(SEARCH("NO CUMPLE",U6)))</formula>
    </cfRule>
    <cfRule type="containsText" dxfId="204" priority="210" operator="containsText" text="CUMPLE">
      <formula>NOT(ISERROR(SEARCH("CUMPLE",U6)))</formula>
    </cfRule>
  </conditionalFormatting>
  <conditionalFormatting sqref="W6">
    <cfRule type="containsText" dxfId="203" priority="207" operator="containsText" text="NO CUMPLE">
      <formula>NOT(ISERROR(SEARCH("NO CUMPLE",W6)))</formula>
    </cfRule>
    <cfRule type="containsText" dxfId="202" priority="208" operator="containsText" text="CUMPLE">
      <formula>NOT(ISERROR(SEARCH("CUMPLE",W6)))</formula>
    </cfRule>
  </conditionalFormatting>
  <conditionalFormatting sqref="Y6">
    <cfRule type="containsText" dxfId="201" priority="205" operator="containsText" text="NO CUMPLE">
      <formula>NOT(ISERROR(SEARCH("NO CUMPLE",Y6)))</formula>
    </cfRule>
    <cfRule type="containsText" dxfId="200" priority="206" operator="containsText" text="CUMPLE">
      <formula>NOT(ISERROR(SEARCH("CUMPLE",Y6)))</formula>
    </cfRule>
  </conditionalFormatting>
  <conditionalFormatting sqref="AA6">
    <cfRule type="containsText" dxfId="199" priority="203" operator="containsText" text="NO CUMPLE">
      <formula>NOT(ISERROR(SEARCH("NO CUMPLE",AA6)))</formula>
    </cfRule>
    <cfRule type="containsText" dxfId="198" priority="204" operator="containsText" text="CUMPLE">
      <formula>NOT(ISERROR(SEARCH("CUMPLE",AA6)))</formula>
    </cfRule>
  </conditionalFormatting>
  <conditionalFormatting sqref="AC6">
    <cfRule type="containsText" dxfId="197" priority="201" operator="containsText" text="NO CUMPLE">
      <formula>NOT(ISERROR(SEARCH("NO CUMPLE",AC6)))</formula>
    </cfRule>
    <cfRule type="containsText" dxfId="196" priority="202" operator="containsText" text="CUMPLE">
      <formula>NOT(ISERROR(SEARCH("CUMPLE",AC6)))</formula>
    </cfRule>
  </conditionalFormatting>
  <conditionalFormatting sqref="AE6">
    <cfRule type="containsText" dxfId="195" priority="199" operator="containsText" text="NO CUMPLE">
      <formula>NOT(ISERROR(SEARCH("NO CUMPLE",AE6)))</formula>
    </cfRule>
    <cfRule type="containsText" dxfId="194" priority="200" operator="containsText" text="CUMPLE">
      <formula>NOT(ISERROR(SEARCH("CUMPLE",AE6)))</formula>
    </cfRule>
  </conditionalFormatting>
  <conditionalFormatting sqref="AG6">
    <cfRule type="containsText" dxfId="193" priority="197" operator="containsText" text="NO CUMPLE">
      <formula>NOT(ISERROR(SEARCH("NO CUMPLE",AG6)))</formula>
    </cfRule>
    <cfRule type="containsText" dxfId="192" priority="198" operator="containsText" text="CUMPLE">
      <formula>NOT(ISERROR(SEARCH("CUMPLE",AG6)))</formula>
    </cfRule>
  </conditionalFormatting>
  <conditionalFormatting sqref="AI6">
    <cfRule type="containsText" dxfId="191" priority="195" operator="containsText" text="NO CUMPLE">
      <formula>NOT(ISERROR(SEARCH("NO CUMPLE",AI6)))</formula>
    </cfRule>
    <cfRule type="containsText" dxfId="190" priority="196" operator="containsText" text="CUMPLE">
      <formula>NOT(ISERROR(SEARCH("CUMPLE",AI6)))</formula>
    </cfRule>
  </conditionalFormatting>
  <conditionalFormatting sqref="AI7">
    <cfRule type="containsText" dxfId="189" priority="171" operator="containsText" text="NO CUMPLE">
      <formula>NOT(ISERROR(SEARCH("NO CUMPLE",AI7)))</formula>
    </cfRule>
    <cfRule type="containsText" dxfId="188" priority="172" operator="containsText" text="CUMPLE">
      <formula>NOT(ISERROR(SEARCH("CUMPLE",AI7)))</formula>
    </cfRule>
  </conditionalFormatting>
  <conditionalFormatting sqref="M7">
    <cfRule type="containsText" dxfId="187" priority="193" operator="containsText" text="NO CUMPLE">
      <formula>NOT(ISERROR(SEARCH("NO CUMPLE",M7)))</formula>
    </cfRule>
    <cfRule type="containsText" dxfId="186" priority="194" operator="containsText" text="CUMPLE">
      <formula>NOT(ISERROR(SEARCH("CUMPLE",M7)))</formula>
    </cfRule>
  </conditionalFormatting>
  <conditionalFormatting sqref="O7">
    <cfRule type="containsText" dxfId="185" priority="191" operator="containsText" text="NO CUMPLE">
      <formula>NOT(ISERROR(SEARCH("NO CUMPLE",O7)))</formula>
    </cfRule>
    <cfRule type="containsText" dxfId="184" priority="192" operator="containsText" text="CUMPLE">
      <formula>NOT(ISERROR(SEARCH("CUMPLE",O7)))</formula>
    </cfRule>
  </conditionalFormatting>
  <conditionalFormatting sqref="Q7">
    <cfRule type="containsText" dxfId="183" priority="189" operator="containsText" text="NO CUMPLE">
      <formula>NOT(ISERROR(SEARCH("NO CUMPLE",Q7)))</formula>
    </cfRule>
    <cfRule type="containsText" dxfId="182" priority="190" operator="containsText" text="CUMPLE">
      <formula>NOT(ISERROR(SEARCH("CUMPLE",Q7)))</formula>
    </cfRule>
  </conditionalFormatting>
  <conditionalFormatting sqref="S7">
    <cfRule type="containsText" dxfId="181" priority="187" operator="containsText" text="NO CUMPLE">
      <formula>NOT(ISERROR(SEARCH("NO CUMPLE",S7)))</formula>
    </cfRule>
    <cfRule type="containsText" dxfId="180" priority="188" operator="containsText" text="CUMPLE">
      <formula>NOT(ISERROR(SEARCH("CUMPLE",S7)))</formula>
    </cfRule>
  </conditionalFormatting>
  <conditionalFormatting sqref="U7">
    <cfRule type="containsText" dxfId="179" priority="185" operator="containsText" text="NO CUMPLE">
      <formula>NOT(ISERROR(SEARCH("NO CUMPLE",U7)))</formula>
    </cfRule>
    <cfRule type="containsText" dxfId="178" priority="186" operator="containsText" text="CUMPLE">
      <formula>NOT(ISERROR(SEARCH("CUMPLE",U7)))</formula>
    </cfRule>
  </conditionalFormatting>
  <conditionalFormatting sqref="W7">
    <cfRule type="containsText" dxfId="177" priority="183" operator="containsText" text="NO CUMPLE">
      <formula>NOT(ISERROR(SEARCH("NO CUMPLE",W7)))</formula>
    </cfRule>
    <cfRule type="containsText" dxfId="176" priority="184" operator="containsText" text="CUMPLE">
      <formula>NOT(ISERROR(SEARCH("CUMPLE",W7)))</formula>
    </cfRule>
  </conditionalFormatting>
  <conditionalFormatting sqref="Y7">
    <cfRule type="containsText" dxfId="175" priority="181" operator="containsText" text="NO CUMPLE">
      <formula>NOT(ISERROR(SEARCH("NO CUMPLE",Y7)))</formula>
    </cfRule>
    <cfRule type="containsText" dxfId="174" priority="182" operator="containsText" text="CUMPLE">
      <formula>NOT(ISERROR(SEARCH("CUMPLE",Y7)))</formula>
    </cfRule>
  </conditionalFormatting>
  <conditionalFormatting sqref="AA7">
    <cfRule type="containsText" dxfId="173" priority="179" operator="containsText" text="NO CUMPLE">
      <formula>NOT(ISERROR(SEARCH("NO CUMPLE",AA7)))</formula>
    </cfRule>
    <cfRule type="containsText" dxfId="172" priority="180" operator="containsText" text="CUMPLE">
      <formula>NOT(ISERROR(SEARCH("CUMPLE",AA7)))</formula>
    </cfRule>
  </conditionalFormatting>
  <conditionalFormatting sqref="AC7">
    <cfRule type="containsText" dxfId="171" priority="177" operator="containsText" text="NO CUMPLE">
      <formula>NOT(ISERROR(SEARCH("NO CUMPLE",AC7)))</formula>
    </cfRule>
    <cfRule type="containsText" dxfId="170" priority="178" operator="containsText" text="CUMPLE">
      <formula>NOT(ISERROR(SEARCH("CUMPLE",AC7)))</formula>
    </cfRule>
  </conditionalFormatting>
  <conditionalFormatting sqref="AE7">
    <cfRule type="containsText" dxfId="169" priority="175" operator="containsText" text="NO CUMPLE">
      <formula>NOT(ISERROR(SEARCH("NO CUMPLE",AE7)))</formula>
    </cfRule>
    <cfRule type="containsText" dxfId="168" priority="176" operator="containsText" text="CUMPLE">
      <formula>NOT(ISERROR(SEARCH("CUMPLE",AE7)))</formula>
    </cfRule>
  </conditionalFormatting>
  <conditionalFormatting sqref="AG7">
    <cfRule type="containsText" dxfId="167" priority="173" operator="containsText" text="NO CUMPLE">
      <formula>NOT(ISERROR(SEARCH("NO CUMPLE",AG7)))</formula>
    </cfRule>
    <cfRule type="containsText" dxfId="166" priority="174" operator="containsText" text="CUMPLE">
      <formula>NOT(ISERROR(SEARCH("CUMPLE",AG7)))</formula>
    </cfRule>
  </conditionalFormatting>
  <conditionalFormatting sqref="M8">
    <cfRule type="containsText" dxfId="165" priority="169" operator="containsText" text="NO CUMPLE">
      <formula>NOT(ISERROR(SEARCH("NO CUMPLE",M8)))</formula>
    </cfRule>
    <cfRule type="containsText" dxfId="164" priority="170" operator="containsText" text="CUMPLE">
      <formula>NOT(ISERROR(SEARCH("CUMPLE",M8)))</formula>
    </cfRule>
  </conditionalFormatting>
  <conditionalFormatting sqref="O8">
    <cfRule type="containsText" dxfId="163" priority="167" operator="containsText" text="NO CUMPLE">
      <formula>NOT(ISERROR(SEARCH("NO CUMPLE",O8)))</formula>
    </cfRule>
    <cfRule type="containsText" dxfId="162" priority="168" operator="containsText" text="CUMPLE">
      <formula>NOT(ISERROR(SEARCH("CUMPLE",O8)))</formula>
    </cfRule>
  </conditionalFormatting>
  <conditionalFormatting sqref="Q8">
    <cfRule type="containsText" dxfId="161" priority="165" operator="containsText" text="NO CUMPLE">
      <formula>NOT(ISERROR(SEARCH("NO CUMPLE",Q8)))</formula>
    </cfRule>
    <cfRule type="containsText" dxfId="160" priority="166" operator="containsText" text="CUMPLE">
      <formula>NOT(ISERROR(SEARCH("CUMPLE",Q8)))</formula>
    </cfRule>
  </conditionalFormatting>
  <conditionalFormatting sqref="S8">
    <cfRule type="containsText" dxfId="159" priority="163" operator="containsText" text="NO CUMPLE">
      <formula>NOT(ISERROR(SEARCH("NO CUMPLE",S8)))</formula>
    </cfRule>
    <cfRule type="containsText" dxfId="158" priority="164" operator="containsText" text="CUMPLE">
      <formula>NOT(ISERROR(SEARCH("CUMPLE",S8)))</formula>
    </cfRule>
  </conditionalFormatting>
  <conditionalFormatting sqref="U8">
    <cfRule type="containsText" dxfId="157" priority="161" operator="containsText" text="NO CUMPLE">
      <formula>NOT(ISERROR(SEARCH("NO CUMPLE",U8)))</formula>
    </cfRule>
    <cfRule type="containsText" dxfId="156" priority="162" operator="containsText" text="CUMPLE">
      <formula>NOT(ISERROR(SEARCH("CUMPLE",U8)))</formula>
    </cfRule>
  </conditionalFormatting>
  <conditionalFormatting sqref="W8">
    <cfRule type="containsText" dxfId="155" priority="159" operator="containsText" text="NO CUMPLE">
      <formula>NOT(ISERROR(SEARCH("NO CUMPLE",W8)))</formula>
    </cfRule>
    <cfRule type="containsText" dxfId="154" priority="160" operator="containsText" text="CUMPLE">
      <formula>NOT(ISERROR(SEARCH("CUMPLE",W8)))</formula>
    </cfRule>
  </conditionalFormatting>
  <conditionalFormatting sqref="Y8">
    <cfRule type="containsText" dxfId="153" priority="157" operator="containsText" text="NO CUMPLE">
      <formula>NOT(ISERROR(SEARCH("NO CUMPLE",Y8)))</formula>
    </cfRule>
    <cfRule type="containsText" dxfId="152" priority="158" operator="containsText" text="CUMPLE">
      <formula>NOT(ISERROR(SEARCH("CUMPLE",Y8)))</formula>
    </cfRule>
  </conditionalFormatting>
  <conditionalFormatting sqref="AA8">
    <cfRule type="containsText" dxfId="151" priority="155" operator="containsText" text="NO CUMPLE">
      <formula>NOT(ISERROR(SEARCH("NO CUMPLE",AA8)))</formula>
    </cfRule>
    <cfRule type="containsText" dxfId="150" priority="156" operator="containsText" text="CUMPLE">
      <formula>NOT(ISERROR(SEARCH("CUMPLE",AA8)))</formula>
    </cfRule>
  </conditionalFormatting>
  <conditionalFormatting sqref="AC8">
    <cfRule type="containsText" dxfId="149" priority="153" operator="containsText" text="NO CUMPLE">
      <formula>NOT(ISERROR(SEARCH("NO CUMPLE",AC8)))</formula>
    </cfRule>
    <cfRule type="containsText" dxfId="148" priority="154" operator="containsText" text="CUMPLE">
      <formula>NOT(ISERROR(SEARCH("CUMPLE",AC8)))</formula>
    </cfRule>
  </conditionalFormatting>
  <conditionalFormatting sqref="AE8">
    <cfRule type="containsText" dxfId="147" priority="151" operator="containsText" text="NO CUMPLE">
      <formula>NOT(ISERROR(SEARCH("NO CUMPLE",AE8)))</formula>
    </cfRule>
    <cfRule type="containsText" dxfId="146" priority="152" operator="containsText" text="CUMPLE">
      <formula>NOT(ISERROR(SEARCH("CUMPLE",AE8)))</formula>
    </cfRule>
  </conditionalFormatting>
  <conditionalFormatting sqref="AG8">
    <cfRule type="containsText" dxfId="145" priority="149" operator="containsText" text="NO CUMPLE">
      <formula>NOT(ISERROR(SEARCH("NO CUMPLE",AG8)))</formula>
    </cfRule>
    <cfRule type="containsText" dxfId="144" priority="150" operator="containsText" text="CUMPLE">
      <formula>NOT(ISERROR(SEARCH("CUMPLE",AG8)))</formula>
    </cfRule>
  </conditionalFormatting>
  <conditionalFormatting sqref="AI8">
    <cfRule type="containsText" dxfId="143" priority="147" operator="containsText" text="NO CUMPLE">
      <formula>NOT(ISERROR(SEARCH("NO CUMPLE",AI8)))</formula>
    </cfRule>
    <cfRule type="containsText" dxfId="142" priority="148" operator="containsText" text="CUMPLE">
      <formula>NOT(ISERROR(SEARCH("CUMPLE",AI8)))</formula>
    </cfRule>
  </conditionalFormatting>
  <conditionalFormatting sqref="M9">
    <cfRule type="containsText" dxfId="141" priority="145" operator="containsText" text="NO CUMPLE">
      <formula>NOT(ISERROR(SEARCH("NO CUMPLE",M9)))</formula>
    </cfRule>
    <cfRule type="containsText" dxfId="140" priority="146" operator="containsText" text="CUMPLE">
      <formula>NOT(ISERROR(SEARCH("CUMPLE",M9)))</formula>
    </cfRule>
  </conditionalFormatting>
  <conditionalFormatting sqref="O9">
    <cfRule type="containsText" dxfId="139" priority="143" operator="containsText" text="NO CUMPLE">
      <formula>NOT(ISERROR(SEARCH("NO CUMPLE",O9)))</formula>
    </cfRule>
    <cfRule type="containsText" dxfId="138" priority="144" operator="containsText" text="CUMPLE">
      <formula>NOT(ISERROR(SEARCH("CUMPLE",O9)))</formula>
    </cfRule>
  </conditionalFormatting>
  <conditionalFormatting sqref="Q9">
    <cfRule type="containsText" dxfId="137" priority="141" operator="containsText" text="NO CUMPLE">
      <formula>NOT(ISERROR(SEARCH("NO CUMPLE",Q9)))</formula>
    </cfRule>
    <cfRule type="containsText" dxfId="136" priority="142" operator="containsText" text="CUMPLE">
      <formula>NOT(ISERROR(SEARCH("CUMPLE",Q9)))</formula>
    </cfRule>
  </conditionalFormatting>
  <conditionalFormatting sqref="S9">
    <cfRule type="containsText" dxfId="135" priority="139" operator="containsText" text="NO CUMPLE">
      <formula>NOT(ISERROR(SEARCH("NO CUMPLE",S9)))</formula>
    </cfRule>
    <cfRule type="containsText" dxfId="134" priority="140" operator="containsText" text="CUMPLE">
      <formula>NOT(ISERROR(SEARCH("CUMPLE",S9)))</formula>
    </cfRule>
  </conditionalFormatting>
  <conditionalFormatting sqref="U9">
    <cfRule type="containsText" dxfId="133" priority="137" operator="containsText" text="NO CUMPLE">
      <formula>NOT(ISERROR(SEARCH("NO CUMPLE",U9)))</formula>
    </cfRule>
    <cfRule type="containsText" dxfId="132" priority="138" operator="containsText" text="CUMPLE">
      <formula>NOT(ISERROR(SEARCH("CUMPLE",U9)))</formula>
    </cfRule>
  </conditionalFormatting>
  <conditionalFormatting sqref="W9">
    <cfRule type="containsText" dxfId="131" priority="135" operator="containsText" text="NO CUMPLE">
      <formula>NOT(ISERROR(SEARCH("NO CUMPLE",W9)))</formula>
    </cfRule>
    <cfRule type="containsText" dxfId="130" priority="136" operator="containsText" text="CUMPLE">
      <formula>NOT(ISERROR(SEARCH("CUMPLE",W9)))</formula>
    </cfRule>
  </conditionalFormatting>
  <conditionalFormatting sqref="Y9">
    <cfRule type="containsText" dxfId="129" priority="133" operator="containsText" text="NO CUMPLE">
      <formula>NOT(ISERROR(SEARCH("NO CUMPLE",Y9)))</formula>
    </cfRule>
    <cfRule type="containsText" dxfId="128" priority="134" operator="containsText" text="CUMPLE">
      <formula>NOT(ISERROR(SEARCH("CUMPLE",Y9)))</formula>
    </cfRule>
  </conditionalFormatting>
  <conditionalFormatting sqref="AA9">
    <cfRule type="containsText" dxfId="127" priority="131" operator="containsText" text="NO CUMPLE">
      <formula>NOT(ISERROR(SEARCH("NO CUMPLE",AA9)))</formula>
    </cfRule>
    <cfRule type="containsText" dxfId="126" priority="132" operator="containsText" text="CUMPLE">
      <formula>NOT(ISERROR(SEARCH("CUMPLE",AA9)))</formula>
    </cfRule>
  </conditionalFormatting>
  <conditionalFormatting sqref="AC9">
    <cfRule type="containsText" dxfId="125" priority="129" operator="containsText" text="NO CUMPLE">
      <formula>NOT(ISERROR(SEARCH("NO CUMPLE",AC9)))</formula>
    </cfRule>
    <cfRule type="containsText" dxfId="124" priority="130" operator="containsText" text="CUMPLE">
      <formula>NOT(ISERROR(SEARCH("CUMPLE",AC9)))</formula>
    </cfRule>
  </conditionalFormatting>
  <conditionalFormatting sqref="AE9">
    <cfRule type="containsText" dxfId="123" priority="127" operator="containsText" text="NO CUMPLE">
      <formula>NOT(ISERROR(SEARCH("NO CUMPLE",AE9)))</formula>
    </cfRule>
    <cfRule type="containsText" dxfId="122" priority="128" operator="containsText" text="CUMPLE">
      <formula>NOT(ISERROR(SEARCH("CUMPLE",AE9)))</formula>
    </cfRule>
  </conditionalFormatting>
  <conditionalFormatting sqref="AG9">
    <cfRule type="containsText" dxfId="121" priority="125" operator="containsText" text="NO CUMPLE">
      <formula>NOT(ISERROR(SEARCH("NO CUMPLE",AG9)))</formula>
    </cfRule>
    <cfRule type="containsText" dxfId="120" priority="126" operator="containsText" text="CUMPLE">
      <formula>NOT(ISERROR(SEARCH("CUMPLE",AG9)))</formula>
    </cfRule>
  </conditionalFormatting>
  <conditionalFormatting sqref="AI9">
    <cfRule type="containsText" dxfId="119" priority="123" operator="containsText" text="NO CUMPLE">
      <formula>NOT(ISERROR(SEARCH("NO CUMPLE",AI9)))</formula>
    </cfRule>
    <cfRule type="containsText" dxfId="118" priority="124" operator="containsText" text="CUMPLE">
      <formula>NOT(ISERROR(SEARCH("CUMPLE",AI9)))</formula>
    </cfRule>
  </conditionalFormatting>
  <conditionalFormatting sqref="O5">
    <cfRule type="containsText" dxfId="117" priority="121" operator="containsText" text="NO CUMPLE">
      <formula>NOT(ISERROR(SEARCH("NO CUMPLE",O5)))</formula>
    </cfRule>
    <cfRule type="containsText" dxfId="116" priority="122" operator="containsText" text="CUMPLE">
      <formula>NOT(ISERROR(SEARCH("CUMPLE",O5)))</formula>
    </cfRule>
  </conditionalFormatting>
  <conditionalFormatting sqref="Q5">
    <cfRule type="containsText" dxfId="115" priority="119" operator="containsText" text="NO CUMPLE">
      <formula>NOT(ISERROR(SEARCH("NO CUMPLE",Q5)))</formula>
    </cfRule>
    <cfRule type="containsText" dxfId="114" priority="120" operator="containsText" text="CUMPLE">
      <formula>NOT(ISERROR(SEARCH("CUMPLE",Q5)))</formula>
    </cfRule>
  </conditionalFormatting>
  <conditionalFormatting sqref="S5">
    <cfRule type="containsText" dxfId="113" priority="117" operator="containsText" text="NO CUMPLE">
      <formula>NOT(ISERROR(SEARCH("NO CUMPLE",S5)))</formula>
    </cfRule>
    <cfRule type="containsText" dxfId="112" priority="118" operator="containsText" text="CUMPLE">
      <formula>NOT(ISERROR(SEARCH("CUMPLE",S5)))</formula>
    </cfRule>
  </conditionalFormatting>
  <conditionalFormatting sqref="AI15">
    <cfRule type="containsText" dxfId="111" priority="53" operator="containsText" text="NO CUMPLE">
      <formula>NOT(ISERROR(SEARCH("NO CUMPLE",AI15)))</formula>
    </cfRule>
    <cfRule type="containsText" dxfId="110" priority="54" operator="containsText" text="CUMPLE">
      <formula>NOT(ISERROR(SEARCH("CUMPLE",AI15)))</formula>
    </cfRule>
  </conditionalFormatting>
  <conditionalFormatting sqref="U5">
    <cfRule type="containsText" dxfId="109" priority="115" operator="containsText" text="NO CUMPLE">
      <formula>NOT(ISERROR(SEARCH("NO CUMPLE",U5)))</formula>
    </cfRule>
    <cfRule type="containsText" dxfId="108" priority="116" operator="containsText" text="CUMPLE">
      <formula>NOT(ISERROR(SEARCH("CUMPLE",U5)))</formula>
    </cfRule>
  </conditionalFormatting>
  <conditionalFormatting sqref="W5">
    <cfRule type="containsText" dxfId="107" priority="113" operator="containsText" text="NO CUMPLE">
      <formula>NOT(ISERROR(SEARCH("NO CUMPLE",W5)))</formula>
    </cfRule>
    <cfRule type="containsText" dxfId="106" priority="114" operator="containsText" text="CUMPLE">
      <formula>NOT(ISERROR(SEARCH("CUMPLE",W5)))</formula>
    </cfRule>
  </conditionalFormatting>
  <conditionalFormatting sqref="Y5">
    <cfRule type="containsText" dxfId="105" priority="111" operator="containsText" text="NO CUMPLE">
      <formula>NOT(ISERROR(SEARCH("NO CUMPLE",Y5)))</formula>
    </cfRule>
    <cfRule type="containsText" dxfId="104" priority="112" operator="containsText" text="CUMPLE">
      <formula>NOT(ISERROR(SEARCH("CUMPLE",Y5)))</formula>
    </cfRule>
  </conditionalFormatting>
  <conditionalFormatting sqref="AA5">
    <cfRule type="containsText" dxfId="103" priority="109" operator="containsText" text="NO CUMPLE">
      <formula>NOT(ISERROR(SEARCH("NO CUMPLE",AA5)))</formula>
    </cfRule>
    <cfRule type="containsText" dxfId="102" priority="110" operator="containsText" text="CUMPLE">
      <formula>NOT(ISERROR(SEARCH("CUMPLE",AA5)))</formula>
    </cfRule>
  </conditionalFormatting>
  <conditionalFormatting sqref="AC5">
    <cfRule type="containsText" dxfId="101" priority="107" operator="containsText" text="NO CUMPLE">
      <formula>NOT(ISERROR(SEARCH("NO CUMPLE",AC5)))</formula>
    </cfRule>
    <cfRule type="containsText" dxfId="100" priority="108" operator="containsText" text="CUMPLE">
      <formula>NOT(ISERROR(SEARCH("CUMPLE",AC5)))</formula>
    </cfRule>
  </conditionalFormatting>
  <conditionalFormatting sqref="AE5">
    <cfRule type="containsText" dxfId="99" priority="105" operator="containsText" text="NO CUMPLE">
      <formula>NOT(ISERROR(SEARCH("NO CUMPLE",AE5)))</formula>
    </cfRule>
    <cfRule type="containsText" dxfId="98" priority="106" operator="containsText" text="CUMPLE">
      <formula>NOT(ISERROR(SEARCH("CUMPLE",AE5)))</formula>
    </cfRule>
  </conditionalFormatting>
  <conditionalFormatting sqref="AG5">
    <cfRule type="containsText" dxfId="97" priority="103" operator="containsText" text="NO CUMPLE">
      <formula>NOT(ISERROR(SEARCH("NO CUMPLE",AG5)))</formula>
    </cfRule>
    <cfRule type="containsText" dxfId="96" priority="104" operator="containsText" text="CUMPLE">
      <formula>NOT(ISERROR(SEARCH("CUMPLE",AG5)))</formula>
    </cfRule>
  </conditionalFormatting>
  <conditionalFormatting sqref="AI5">
    <cfRule type="containsText" dxfId="95" priority="101" operator="containsText" text="NO CUMPLE">
      <formula>NOT(ISERROR(SEARCH("NO CUMPLE",AI5)))</formula>
    </cfRule>
    <cfRule type="containsText" dxfId="94" priority="102" operator="containsText" text="CUMPLE">
      <formula>NOT(ISERROR(SEARCH("CUMPLE",AI5)))</formula>
    </cfRule>
  </conditionalFormatting>
  <conditionalFormatting sqref="M11">
    <cfRule type="containsText" dxfId="93" priority="99" operator="containsText" text="NO CUMPLE">
      <formula>NOT(ISERROR(SEARCH("NO CUMPLE",M11)))</formula>
    </cfRule>
    <cfRule type="containsText" dxfId="92" priority="100" operator="containsText" text="CUMPLE">
      <formula>NOT(ISERROR(SEARCH("CUMPLE",M11)))</formula>
    </cfRule>
  </conditionalFormatting>
  <conditionalFormatting sqref="O11">
    <cfRule type="containsText" dxfId="91" priority="97" operator="containsText" text="NO CUMPLE">
      <formula>NOT(ISERROR(SEARCH("NO CUMPLE",O11)))</formula>
    </cfRule>
    <cfRule type="containsText" dxfId="90" priority="98" operator="containsText" text="CUMPLE">
      <formula>NOT(ISERROR(SEARCH("CUMPLE",O11)))</formula>
    </cfRule>
  </conditionalFormatting>
  <conditionalFormatting sqref="Q11">
    <cfRule type="containsText" dxfId="89" priority="95" operator="containsText" text="NO CUMPLE">
      <formula>NOT(ISERROR(SEARCH("NO CUMPLE",Q11)))</formula>
    </cfRule>
    <cfRule type="containsText" dxfId="88" priority="96" operator="containsText" text="CUMPLE">
      <formula>NOT(ISERROR(SEARCH("CUMPLE",Q11)))</formula>
    </cfRule>
  </conditionalFormatting>
  <conditionalFormatting sqref="S11">
    <cfRule type="containsText" dxfId="87" priority="93" operator="containsText" text="NO CUMPLE">
      <formula>NOT(ISERROR(SEARCH("NO CUMPLE",S11)))</formula>
    </cfRule>
    <cfRule type="containsText" dxfId="86" priority="94" operator="containsText" text="CUMPLE">
      <formula>NOT(ISERROR(SEARCH("CUMPLE",S11)))</formula>
    </cfRule>
  </conditionalFormatting>
  <conditionalFormatting sqref="U11">
    <cfRule type="containsText" dxfId="85" priority="91" operator="containsText" text="NO CUMPLE">
      <formula>NOT(ISERROR(SEARCH("NO CUMPLE",U11)))</formula>
    </cfRule>
    <cfRule type="containsText" dxfId="84" priority="92" operator="containsText" text="CUMPLE">
      <formula>NOT(ISERROR(SEARCH("CUMPLE",U11)))</formula>
    </cfRule>
  </conditionalFormatting>
  <conditionalFormatting sqref="W11">
    <cfRule type="containsText" dxfId="83" priority="89" operator="containsText" text="NO CUMPLE">
      <formula>NOT(ISERROR(SEARCH("NO CUMPLE",W11)))</formula>
    </cfRule>
    <cfRule type="containsText" dxfId="82" priority="90" operator="containsText" text="CUMPLE">
      <formula>NOT(ISERROR(SEARCH("CUMPLE",W11)))</formula>
    </cfRule>
  </conditionalFormatting>
  <conditionalFormatting sqref="Y11">
    <cfRule type="containsText" dxfId="81" priority="87" operator="containsText" text="NO CUMPLE">
      <formula>NOT(ISERROR(SEARCH("NO CUMPLE",Y11)))</formula>
    </cfRule>
    <cfRule type="containsText" dxfId="80" priority="88" operator="containsText" text="CUMPLE">
      <formula>NOT(ISERROR(SEARCH("CUMPLE",Y11)))</formula>
    </cfRule>
  </conditionalFormatting>
  <conditionalFormatting sqref="AA11">
    <cfRule type="containsText" dxfId="79" priority="85" operator="containsText" text="NO CUMPLE">
      <formula>NOT(ISERROR(SEARCH("NO CUMPLE",AA11)))</formula>
    </cfRule>
    <cfRule type="containsText" dxfId="78" priority="86" operator="containsText" text="CUMPLE">
      <formula>NOT(ISERROR(SEARCH("CUMPLE",AA11)))</formula>
    </cfRule>
  </conditionalFormatting>
  <conditionalFormatting sqref="AC11">
    <cfRule type="containsText" dxfId="77" priority="83" operator="containsText" text="NO CUMPLE">
      <formula>NOT(ISERROR(SEARCH("NO CUMPLE",AC11)))</formula>
    </cfRule>
    <cfRule type="containsText" dxfId="76" priority="84" operator="containsText" text="CUMPLE">
      <formula>NOT(ISERROR(SEARCH("CUMPLE",AC11)))</formula>
    </cfRule>
  </conditionalFormatting>
  <conditionalFormatting sqref="AE11">
    <cfRule type="containsText" dxfId="75" priority="81" operator="containsText" text="NO CUMPLE">
      <formula>NOT(ISERROR(SEARCH("NO CUMPLE",AE11)))</formula>
    </cfRule>
    <cfRule type="containsText" dxfId="74" priority="82" operator="containsText" text="CUMPLE">
      <formula>NOT(ISERROR(SEARCH("CUMPLE",AE11)))</formula>
    </cfRule>
  </conditionalFormatting>
  <conditionalFormatting sqref="AG11">
    <cfRule type="containsText" dxfId="73" priority="79" operator="containsText" text="NO CUMPLE">
      <formula>NOT(ISERROR(SEARCH("NO CUMPLE",AG11)))</formula>
    </cfRule>
    <cfRule type="containsText" dxfId="72" priority="80" operator="containsText" text="CUMPLE">
      <formula>NOT(ISERROR(SEARCH("CUMPLE",AG11)))</formula>
    </cfRule>
  </conditionalFormatting>
  <conditionalFormatting sqref="AI11">
    <cfRule type="containsText" dxfId="71" priority="77" operator="containsText" text="NO CUMPLE">
      <formula>NOT(ISERROR(SEARCH("NO CUMPLE",AI11)))</formula>
    </cfRule>
    <cfRule type="containsText" dxfId="70" priority="78" operator="containsText" text="CUMPLE">
      <formula>NOT(ISERROR(SEARCH("CUMPLE",AI11)))</formula>
    </cfRule>
  </conditionalFormatting>
  <conditionalFormatting sqref="M15">
    <cfRule type="containsText" dxfId="69" priority="75" operator="containsText" text="NO CUMPLE">
      <formula>NOT(ISERROR(SEARCH("NO CUMPLE",M15)))</formula>
    </cfRule>
    <cfRule type="containsText" dxfId="68" priority="76" operator="containsText" text="CUMPLE">
      <formula>NOT(ISERROR(SEARCH("CUMPLE",M15)))</formula>
    </cfRule>
  </conditionalFormatting>
  <conditionalFormatting sqref="O15">
    <cfRule type="containsText" dxfId="67" priority="73" operator="containsText" text="NO CUMPLE">
      <formula>NOT(ISERROR(SEARCH("NO CUMPLE",O15)))</formula>
    </cfRule>
    <cfRule type="containsText" dxfId="66" priority="74" operator="containsText" text="CUMPLE">
      <formula>NOT(ISERROR(SEARCH("CUMPLE",O15)))</formula>
    </cfRule>
  </conditionalFormatting>
  <conditionalFormatting sqref="Q15">
    <cfRule type="containsText" dxfId="65" priority="71" operator="containsText" text="NO CUMPLE">
      <formula>NOT(ISERROR(SEARCH("NO CUMPLE",Q15)))</formula>
    </cfRule>
    <cfRule type="containsText" dxfId="64" priority="72" operator="containsText" text="CUMPLE">
      <formula>NOT(ISERROR(SEARCH("CUMPLE",Q15)))</formula>
    </cfRule>
  </conditionalFormatting>
  <conditionalFormatting sqref="S15">
    <cfRule type="containsText" dxfId="63" priority="69" operator="containsText" text="NO CUMPLE">
      <formula>NOT(ISERROR(SEARCH("NO CUMPLE",S15)))</formula>
    </cfRule>
    <cfRule type="containsText" dxfId="62" priority="70" operator="containsText" text="CUMPLE">
      <formula>NOT(ISERROR(SEARCH("CUMPLE",S15)))</formula>
    </cfRule>
  </conditionalFormatting>
  <conditionalFormatting sqref="U15">
    <cfRule type="containsText" dxfId="61" priority="67" operator="containsText" text="NO CUMPLE">
      <formula>NOT(ISERROR(SEARCH("NO CUMPLE",U15)))</formula>
    </cfRule>
    <cfRule type="containsText" dxfId="60" priority="68" operator="containsText" text="CUMPLE">
      <formula>NOT(ISERROR(SEARCH("CUMPLE",U15)))</formula>
    </cfRule>
  </conditionalFormatting>
  <conditionalFormatting sqref="W15">
    <cfRule type="containsText" dxfId="59" priority="65" operator="containsText" text="NO CUMPLE">
      <formula>NOT(ISERROR(SEARCH("NO CUMPLE",W15)))</formula>
    </cfRule>
    <cfRule type="containsText" dxfId="58" priority="66" operator="containsText" text="CUMPLE">
      <formula>NOT(ISERROR(SEARCH("CUMPLE",W15)))</formula>
    </cfRule>
  </conditionalFormatting>
  <conditionalFormatting sqref="Y15">
    <cfRule type="containsText" dxfId="57" priority="63" operator="containsText" text="NO CUMPLE">
      <formula>NOT(ISERROR(SEARCH("NO CUMPLE",Y15)))</formula>
    </cfRule>
    <cfRule type="containsText" dxfId="56" priority="64" operator="containsText" text="CUMPLE">
      <formula>NOT(ISERROR(SEARCH("CUMPLE",Y15)))</formula>
    </cfRule>
  </conditionalFormatting>
  <conditionalFormatting sqref="AA15">
    <cfRule type="containsText" dxfId="55" priority="61" operator="containsText" text="NO CUMPLE">
      <formula>NOT(ISERROR(SEARCH("NO CUMPLE",AA15)))</formula>
    </cfRule>
    <cfRule type="containsText" dxfId="54" priority="62" operator="containsText" text="CUMPLE">
      <formula>NOT(ISERROR(SEARCH("CUMPLE",AA15)))</formula>
    </cfRule>
  </conditionalFormatting>
  <conditionalFormatting sqref="AC15">
    <cfRule type="containsText" dxfId="53" priority="59" operator="containsText" text="NO CUMPLE">
      <formula>NOT(ISERROR(SEARCH("NO CUMPLE",AC15)))</formula>
    </cfRule>
    <cfRule type="containsText" dxfId="52" priority="60" operator="containsText" text="CUMPLE">
      <formula>NOT(ISERROR(SEARCH("CUMPLE",AC15)))</formula>
    </cfRule>
  </conditionalFormatting>
  <conditionalFormatting sqref="AE15">
    <cfRule type="containsText" dxfId="51" priority="57" operator="containsText" text="NO CUMPLE">
      <formula>NOT(ISERROR(SEARCH("NO CUMPLE",AE15)))</formula>
    </cfRule>
    <cfRule type="containsText" dxfId="50" priority="58" operator="containsText" text="CUMPLE">
      <formula>NOT(ISERROR(SEARCH("CUMPLE",AE15)))</formula>
    </cfRule>
  </conditionalFormatting>
  <conditionalFormatting sqref="AG15">
    <cfRule type="containsText" dxfId="49" priority="55" operator="containsText" text="NO CUMPLE">
      <formula>NOT(ISERROR(SEARCH("NO CUMPLE",AG15)))</formula>
    </cfRule>
    <cfRule type="containsText" dxfId="48" priority="56" operator="containsText" text="CUMPLE">
      <formula>NOT(ISERROR(SEARCH("CUMPLE",AG15)))</formula>
    </cfRule>
  </conditionalFormatting>
  <conditionalFormatting sqref="M23">
    <cfRule type="containsText" dxfId="47" priority="49" operator="containsText" text="NO CUMPLE">
      <formula>NOT(ISERROR(SEARCH("NO CUMPLE",M23)))</formula>
    </cfRule>
    <cfRule type="containsText" dxfId="46" priority="50" operator="containsText" text="CUMPLE">
      <formula>NOT(ISERROR(SEARCH("CUMPLE",M23)))</formula>
    </cfRule>
  </conditionalFormatting>
  <conditionalFormatting sqref="O23">
    <cfRule type="containsText" dxfId="45" priority="47" operator="containsText" text="NO CUMPLE">
      <formula>NOT(ISERROR(SEARCH("NO CUMPLE",O23)))</formula>
    </cfRule>
    <cfRule type="containsText" dxfId="44" priority="48" operator="containsText" text="CUMPLE">
      <formula>NOT(ISERROR(SEARCH("CUMPLE",O23)))</formula>
    </cfRule>
  </conditionalFormatting>
  <conditionalFormatting sqref="Q23">
    <cfRule type="containsText" dxfId="43" priority="45" operator="containsText" text="NO CUMPLE">
      <formula>NOT(ISERROR(SEARCH("NO CUMPLE",Q23)))</formula>
    </cfRule>
    <cfRule type="containsText" dxfId="42" priority="46" operator="containsText" text="CUMPLE">
      <formula>NOT(ISERROR(SEARCH("CUMPLE",Q23)))</formula>
    </cfRule>
  </conditionalFormatting>
  <conditionalFormatting sqref="S23">
    <cfRule type="containsText" dxfId="41" priority="43" operator="containsText" text="NO CUMPLE">
      <formula>NOT(ISERROR(SEARCH("NO CUMPLE",S23)))</formula>
    </cfRule>
    <cfRule type="containsText" dxfId="40" priority="44" operator="containsText" text="CUMPLE">
      <formula>NOT(ISERROR(SEARCH("CUMPLE",S23)))</formula>
    </cfRule>
  </conditionalFormatting>
  <conditionalFormatting sqref="U23">
    <cfRule type="containsText" dxfId="39" priority="41" operator="containsText" text="NO CUMPLE">
      <formula>NOT(ISERROR(SEARCH("NO CUMPLE",U23)))</formula>
    </cfRule>
    <cfRule type="containsText" dxfId="38" priority="42" operator="containsText" text="CUMPLE">
      <formula>NOT(ISERROR(SEARCH("CUMPLE",U23)))</formula>
    </cfRule>
  </conditionalFormatting>
  <conditionalFormatting sqref="W23">
    <cfRule type="containsText" dxfId="37" priority="39" operator="containsText" text="NO CUMPLE">
      <formula>NOT(ISERROR(SEARCH("NO CUMPLE",W23)))</formula>
    </cfRule>
    <cfRule type="containsText" dxfId="36" priority="40" operator="containsText" text="CUMPLE">
      <formula>NOT(ISERROR(SEARCH("CUMPLE",W23)))</formula>
    </cfRule>
  </conditionalFormatting>
  <conditionalFormatting sqref="Y23">
    <cfRule type="containsText" dxfId="35" priority="37" operator="containsText" text="NO CUMPLE">
      <formula>NOT(ISERROR(SEARCH("NO CUMPLE",Y23)))</formula>
    </cfRule>
    <cfRule type="containsText" dxfId="34" priority="38" operator="containsText" text="CUMPLE">
      <formula>NOT(ISERROR(SEARCH("CUMPLE",Y23)))</formula>
    </cfRule>
  </conditionalFormatting>
  <conditionalFormatting sqref="AA23">
    <cfRule type="containsText" dxfId="33" priority="35" operator="containsText" text="NO CUMPLE">
      <formula>NOT(ISERROR(SEARCH("NO CUMPLE",AA23)))</formula>
    </cfRule>
    <cfRule type="containsText" dxfId="32" priority="36" operator="containsText" text="CUMPLE">
      <formula>NOT(ISERROR(SEARCH("CUMPLE",AA23)))</formula>
    </cfRule>
  </conditionalFormatting>
  <conditionalFormatting sqref="AE23">
    <cfRule type="containsText" dxfId="31" priority="31" operator="containsText" text="NO CUMPLE">
      <formula>NOT(ISERROR(SEARCH("NO CUMPLE",AE23)))</formula>
    </cfRule>
    <cfRule type="containsText" dxfId="30" priority="32" operator="containsText" text="CUMPLE">
      <formula>NOT(ISERROR(SEARCH("CUMPLE",AE23)))</formula>
    </cfRule>
  </conditionalFormatting>
  <conditionalFormatting sqref="AG23">
    <cfRule type="containsText" dxfId="29" priority="29" operator="containsText" text="NO CUMPLE">
      <formula>NOT(ISERROR(SEARCH("NO CUMPLE",AG23)))</formula>
    </cfRule>
    <cfRule type="containsText" dxfId="28" priority="30" operator="containsText" text="CUMPLE">
      <formula>NOT(ISERROR(SEARCH("CUMPLE",AG23)))</formula>
    </cfRule>
  </conditionalFormatting>
  <conditionalFormatting sqref="AI23">
    <cfRule type="containsText" dxfId="27" priority="27" operator="containsText" text="NO CUMPLE">
      <formula>NOT(ISERROR(SEARCH("NO CUMPLE",AI23)))</formula>
    </cfRule>
    <cfRule type="containsText" dxfId="26" priority="28" operator="containsText" text="CUMPLE">
      <formula>NOT(ISERROR(SEARCH("CUMPLE",AI23)))</formula>
    </cfRule>
  </conditionalFormatting>
  <conditionalFormatting sqref="M10">
    <cfRule type="containsText" dxfId="25" priority="25" operator="containsText" text="NO CUMPLE">
      <formula>NOT(ISERROR(SEARCH("NO CUMPLE",M10)))</formula>
    </cfRule>
    <cfRule type="containsText" dxfId="24" priority="26" operator="containsText" text="CUMPLE">
      <formula>NOT(ISERROR(SEARCH("CUMPLE",M10)))</formula>
    </cfRule>
  </conditionalFormatting>
  <conditionalFormatting sqref="O10">
    <cfRule type="containsText" dxfId="23" priority="23" operator="containsText" text="NO CUMPLE">
      <formula>NOT(ISERROR(SEARCH("NO CUMPLE",O10)))</formula>
    </cfRule>
    <cfRule type="containsText" dxfId="22" priority="24" operator="containsText" text="CUMPLE">
      <formula>NOT(ISERROR(SEARCH("CUMPLE",O10)))</formula>
    </cfRule>
  </conditionalFormatting>
  <conditionalFormatting sqref="Q10">
    <cfRule type="containsText" dxfId="21" priority="21" operator="containsText" text="NO CUMPLE">
      <formula>NOT(ISERROR(SEARCH("NO CUMPLE",Q10)))</formula>
    </cfRule>
    <cfRule type="containsText" dxfId="20" priority="22" operator="containsText" text="CUMPLE">
      <formula>NOT(ISERROR(SEARCH("CUMPLE",Q10)))</formula>
    </cfRule>
  </conditionalFormatting>
  <conditionalFormatting sqref="S10">
    <cfRule type="containsText" dxfId="19" priority="19" operator="containsText" text="NO CUMPLE">
      <formula>NOT(ISERROR(SEARCH("NO CUMPLE",S10)))</formula>
    </cfRule>
    <cfRule type="containsText" dxfId="18" priority="20" operator="containsText" text="CUMPLE">
      <formula>NOT(ISERROR(SEARCH("CUMPLE",S10)))</formula>
    </cfRule>
  </conditionalFormatting>
  <conditionalFormatting sqref="U10">
    <cfRule type="containsText" dxfId="17" priority="17" operator="containsText" text="NO CUMPLE">
      <formula>NOT(ISERROR(SEARCH("NO CUMPLE",U10)))</formula>
    </cfRule>
    <cfRule type="containsText" dxfId="16" priority="18" operator="containsText" text="CUMPLE">
      <formula>NOT(ISERROR(SEARCH("CUMPLE",U10)))</formula>
    </cfRule>
  </conditionalFormatting>
  <conditionalFormatting sqref="W10">
    <cfRule type="containsText" dxfId="15" priority="15" operator="containsText" text="NO CUMPLE">
      <formula>NOT(ISERROR(SEARCH("NO CUMPLE",W10)))</formula>
    </cfRule>
    <cfRule type="containsText" dxfId="14" priority="16" operator="containsText" text="CUMPLE">
      <formula>NOT(ISERROR(SEARCH("CUMPLE",W10)))</formula>
    </cfRule>
  </conditionalFormatting>
  <conditionalFormatting sqref="Y10">
    <cfRule type="containsText" dxfId="13" priority="13" operator="containsText" text="NO CUMPLE">
      <formula>NOT(ISERROR(SEARCH("NO CUMPLE",Y10)))</formula>
    </cfRule>
    <cfRule type="containsText" dxfId="12" priority="14" operator="containsText" text="CUMPLE">
      <formula>NOT(ISERROR(SEARCH("CUMPLE",Y10)))</formula>
    </cfRule>
  </conditionalFormatting>
  <conditionalFormatting sqref="AA10">
    <cfRule type="containsText" dxfId="11" priority="11" operator="containsText" text="NO CUMPLE">
      <formula>NOT(ISERROR(SEARCH("NO CUMPLE",AA10)))</formula>
    </cfRule>
    <cfRule type="containsText" dxfId="10" priority="12" operator="containsText" text="CUMPLE">
      <formula>NOT(ISERROR(SEARCH("CUMPLE",AA10)))</formula>
    </cfRule>
  </conditionalFormatting>
  <conditionalFormatting sqref="AC10">
    <cfRule type="containsText" dxfId="9" priority="9" operator="containsText" text="NO CUMPLE">
      <formula>NOT(ISERROR(SEARCH("NO CUMPLE",AC10)))</formula>
    </cfRule>
    <cfRule type="containsText" dxfId="8" priority="10" operator="containsText" text="CUMPLE">
      <formula>NOT(ISERROR(SEARCH("CUMPLE",AC10)))</formula>
    </cfRule>
  </conditionalFormatting>
  <conditionalFormatting sqref="AE10">
    <cfRule type="containsText" dxfId="7" priority="7" operator="containsText" text="NO CUMPLE">
      <formula>NOT(ISERROR(SEARCH("NO CUMPLE",AE10)))</formula>
    </cfRule>
    <cfRule type="containsText" dxfId="6" priority="8" operator="containsText" text="CUMPLE">
      <formula>NOT(ISERROR(SEARCH("CUMPLE",AE10)))</formula>
    </cfRule>
  </conditionalFormatting>
  <conditionalFormatting sqref="AG10">
    <cfRule type="containsText" dxfId="5" priority="5" operator="containsText" text="NO CUMPLE">
      <formula>NOT(ISERROR(SEARCH("NO CUMPLE",AG10)))</formula>
    </cfRule>
    <cfRule type="containsText" dxfId="4" priority="6" operator="containsText" text="CUMPLE">
      <formula>NOT(ISERROR(SEARCH("CUMPLE",AG10)))</formula>
    </cfRule>
  </conditionalFormatting>
  <conditionalFormatting sqref="AI10">
    <cfRule type="containsText" dxfId="3" priority="3" operator="containsText" text="NO CUMPLE">
      <formula>NOT(ISERROR(SEARCH("NO CUMPLE",AI10)))</formula>
    </cfRule>
    <cfRule type="containsText" dxfId="2" priority="4" operator="containsText" text="CUMPLE">
      <formula>NOT(ISERROR(SEARCH("CUMPLE",AI10)))</formula>
    </cfRule>
  </conditionalFormatting>
  <conditionalFormatting sqref="AC23">
    <cfRule type="containsText" dxfId="1" priority="1" operator="containsText" text="NO CUMPLE">
      <formula>NOT(ISERROR(SEARCH("NO CUMPLE",AC23)))</formula>
    </cfRule>
    <cfRule type="containsText" dxfId="0" priority="2" operator="containsText" text="CUMPLE">
      <formula>NOT(ISERROR(SEARCH("CUMPLE",AC23)))</formula>
    </cfRule>
  </conditionalFormatting>
  <pageMargins left="0.7" right="0.7" top="0.75" bottom="0.75" header="0.3" footer="0.3"/>
  <pageSetup scale="25" orientation="portrait" r:id="rId1"/>
  <colBreaks count="1" manualBreakCount="1">
    <brk id="36" max="1048575" man="1"/>
  </colBreaks>
  <ignoredErrors>
    <ignoredError sqref="M23 O23" formula="1"/>
  </ignoredError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92"/>
  <sheetViews>
    <sheetView showGridLines="0" topLeftCell="A7" zoomScale="70" zoomScaleNormal="70" workbookViewId="0">
      <selection activeCell="J13" sqref="J13:L13"/>
    </sheetView>
  </sheetViews>
  <sheetFormatPr baseColWidth="10" defaultRowHeight="33.75" customHeight="1"/>
  <cols>
    <col min="1" max="1" width="1.42578125" customWidth="1"/>
    <col min="2" max="2" width="13.85546875" style="27" customWidth="1"/>
    <col min="3" max="3" width="19.7109375" style="27" customWidth="1"/>
    <col min="4" max="4" width="24.85546875" style="27" customWidth="1"/>
    <col min="5" max="5" width="17.5703125" style="27" customWidth="1"/>
    <col min="6" max="6" width="15.140625" style="27" customWidth="1"/>
    <col min="7" max="7" width="12.28515625" style="27" customWidth="1"/>
    <col min="8" max="8" width="14" style="27" bestFit="1" customWidth="1"/>
    <col min="9" max="9" width="25.85546875" style="27" customWidth="1"/>
    <col min="10" max="13" width="8.140625" style="27" bestFit="1" customWidth="1"/>
    <col min="14" max="14" width="7.7109375" style="27" customWidth="1"/>
    <col min="15" max="15" width="8.140625" style="27" bestFit="1" customWidth="1"/>
    <col min="16" max="16" width="8.42578125" style="27" customWidth="1"/>
    <col min="17" max="17" width="8.140625" style="27" bestFit="1" customWidth="1"/>
    <col min="18" max="18" width="11.7109375" style="27" customWidth="1"/>
    <col min="19" max="21" width="8.140625" style="27" bestFit="1" customWidth="1"/>
    <col min="22" max="22" width="1.5703125" customWidth="1"/>
  </cols>
  <sheetData>
    <row r="1" spans="2:21" ht="6" customHeight="1" thickBot="1"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</row>
    <row r="2" spans="2:21" ht="70.5" customHeight="1" thickBot="1">
      <c r="B2" s="466"/>
      <c r="C2" s="467"/>
      <c r="D2" s="468"/>
      <c r="E2" s="469" t="s">
        <v>296</v>
      </c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1"/>
      <c r="Q2" s="472" t="s">
        <v>242</v>
      </c>
      <c r="R2" s="473"/>
      <c r="S2" s="473"/>
      <c r="T2" s="473"/>
      <c r="U2" s="474"/>
    </row>
    <row r="3" spans="2:21" ht="25.5" customHeight="1" thickBot="1">
      <c r="B3" s="483" t="s">
        <v>298</v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5"/>
    </row>
    <row r="4" spans="2:21" ht="48" customHeight="1">
      <c r="B4" s="169" t="s">
        <v>94</v>
      </c>
      <c r="C4" s="170" t="s">
        <v>1</v>
      </c>
      <c r="D4" s="170" t="s">
        <v>38</v>
      </c>
      <c r="E4" s="170" t="s">
        <v>2</v>
      </c>
      <c r="F4" s="170" t="s">
        <v>3</v>
      </c>
      <c r="G4" s="170" t="s">
        <v>0</v>
      </c>
      <c r="H4" s="170" t="s">
        <v>21</v>
      </c>
      <c r="I4" s="170" t="s">
        <v>22</v>
      </c>
      <c r="J4" s="167" t="s">
        <v>72</v>
      </c>
      <c r="K4" s="167" t="s">
        <v>73</v>
      </c>
      <c r="L4" s="167" t="s">
        <v>74</v>
      </c>
      <c r="M4" s="167" t="s">
        <v>75</v>
      </c>
      <c r="N4" s="167" t="s">
        <v>76</v>
      </c>
      <c r="O4" s="167" t="s">
        <v>77</v>
      </c>
      <c r="P4" s="167" t="s">
        <v>78</v>
      </c>
      <c r="Q4" s="167" t="s">
        <v>79</v>
      </c>
      <c r="R4" s="167" t="s">
        <v>80</v>
      </c>
      <c r="S4" s="167" t="s">
        <v>81</v>
      </c>
      <c r="T4" s="167" t="s">
        <v>82</v>
      </c>
      <c r="U4" s="168" t="s">
        <v>83</v>
      </c>
    </row>
    <row r="5" spans="2:21" ht="40.5" customHeight="1">
      <c r="B5" s="463" t="s">
        <v>133</v>
      </c>
      <c r="C5" s="25" t="s">
        <v>119</v>
      </c>
      <c r="D5" s="25" t="s">
        <v>260</v>
      </c>
      <c r="E5" s="25" t="s">
        <v>96</v>
      </c>
      <c r="F5" s="25" t="s">
        <v>121</v>
      </c>
      <c r="G5" s="25" t="s">
        <v>120</v>
      </c>
      <c r="H5" s="25" t="s">
        <v>20</v>
      </c>
      <c r="I5" s="25" t="s">
        <v>258</v>
      </c>
      <c r="J5" s="475" t="s">
        <v>376</v>
      </c>
      <c r="K5" s="475"/>
      <c r="L5" s="475"/>
      <c r="M5" s="475"/>
      <c r="N5" s="475"/>
      <c r="O5" s="475"/>
      <c r="P5" s="475"/>
      <c r="Q5" s="475"/>
      <c r="R5" s="475"/>
      <c r="S5" s="475"/>
      <c r="T5" s="475"/>
      <c r="U5" s="476"/>
    </row>
    <row r="6" spans="2:21" ht="42" customHeight="1">
      <c r="B6" s="463"/>
      <c r="C6" s="25" t="s">
        <v>268</v>
      </c>
      <c r="D6" s="25" t="s">
        <v>266</v>
      </c>
      <c r="E6" s="25" t="s">
        <v>96</v>
      </c>
      <c r="F6" s="25" t="s">
        <v>261</v>
      </c>
      <c r="G6" s="25" t="s">
        <v>104</v>
      </c>
      <c r="H6" s="25" t="s">
        <v>20</v>
      </c>
      <c r="I6" s="25" t="s">
        <v>258</v>
      </c>
      <c r="J6" s="488" t="s">
        <v>365</v>
      </c>
      <c r="K6" s="475"/>
      <c r="L6" s="475"/>
      <c r="M6" s="475"/>
      <c r="N6" s="475"/>
      <c r="O6" s="475"/>
      <c r="P6" s="475" t="s">
        <v>365</v>
      </c>
      <c r="Q6" s="475"/>
      <c r="R6" s="475"/>
      <c r="S6" s="475"/>
      <c r="T6" s="475"/>
      <c r="U6" s="476"/>
    </row>
    <row r="7" spans="2:21" ht="39.75" customHeight="1">
      <c r="B7" s="463"/>
      <c r="C7" s="25" t="s">
        <v>269</v>
      </c>
      <c r="D7" s="25" t="s">
        <v>267</v>
      </c>
      <c r="E7" s="25" t="s">
        <v>96</v>
      </c>
      <c r="F7" s="25" t="s">
        <v>261</v>
      </c>
      <c r="G7" s="25" t="s">
        <v>105</v>
      </c>
      <c r="H7" s="25" t="s">
        <v>20</v>
      </c>
      <c r="I7" s="25" t="s">
        <v>258</v>
      </c>
      <c r="J7" s="488" t="s">
        <v>365</v>
      </c>
      <c r="K7" s="475"/>
      <c r="L7" s="475"/>
      <c r="M7" s="475"/>
      <c r="N7" s="475"/>
      <c r="O7" s="475"/>
      <c r="P7" s="475" t="s">
        <v>365</v>
      </c>
      <c r="Q7" s="475"/>
      <c r="R7" s="475"/>
      <c r="S7" s="475"/>
      <c r="T7" s="475"/>
      <c r="U7" s="476"/>
    </row>
    <row r="8" spans="2:21" ht="56.25" customHeight="1">
      <c r="B8" s="158" t="s">
        <v>262</v>
      </c>
      <c r="C8" s="25" t="s">
        <v>263</v>
      </c>
      <c r="D8" s="25" t="s">
        <v>264</v>
      </c>
      <c r="E8" s="25" t="s">
        <v>265</v>
      </c>
      <c r="F8" s="25" t="s">
        <v>24</v>
      </c>
      <c r="G8" s="25" t="s">
        <v>132</v>
      </c>
      <c r="H8" s="25" t="s">
        <v>20</v>
      </c>
      <c r="I8" s="25" t="s">
        <v>258</v>
      </c>
      <c r="J8" s="153">
        <f>+EDA!L7</f>
        <v>9.4296461976413181E-3</v>
      </c>
      <c r="K8" s="153">
        <f>+EDA!N7</f>
        <v>1.6499802397576077E-2</v>
      </c>
      <c r="L8" s="37">
        <f>+EDA!P7</f>
        <v>1.9984627209838585E-2</v>
      </c>
      <c r="M8" s="37">
        <f>+EDA!R7</f>
        <v>1.480236837894063E-2</v>
      </c>
      <c r="N8" s="37">
        <f>+EDA!T7</f>
        <v>1.67112032864037E-2</v>
      </c>
      <c r="O8" s="153">
        <f>+'AGUA '!L10</f>
        <v>1.857272963830341E-2</v>
      </c>
      <c r="P8" s="153">
        <f>+'AGUA '!L11</f>
        <v>1.4006826506826506E-2</v>
      </c>
      <c r="Q8" s="153">
        <f>+'AGUA '!L12</f>
        <v>1.8028481971518028E-2</v>
      </c>
      <c r="R8" s="153">
        <f>+'AGUA '!L13</f>
        <v>8.0908102886124867E-3</v>
      </c>
      <c r="S8" s="153">
        <f>+'AGUA '!L14</f>
        <v>1.2666565334143993E-2</v>
      </c>
      <c r="T8" s="153">
        <f>+EDA!AF7</f>
        <v>6.0185185185185182E-2</v>
      </c>
      <c r="U8" s="203">
        <f>+'AGUA '!L16</f>
        <v>2.5622712257834121E-2</v>
      </c>
    </row>
    <row r="9" spans="2:21" ht="33.75" customHeight="1">
      <c r="B9" s="463" t="s">
        <v>270</v>
      </c>
      <c r="C9" s="25" t="s">
        <v>271</v>
      </c>
      <c r="D9" s="25" t="s">
        <v>273</v>
      </c>
      <c r="E9" s="25" t="s">
        <v>275</v>
      </c>
      <c r="F9" s="25" t="s">
        <v>24</v>
      </c>
      <c r="G9" s="25" t="s">
        <v>248</v>
      </c>
      <c r="H9" s="25" t="s">
        <v>20</v>
      </c>
      <c r="I9" s="25" t="s">
        <v>258</v>
      </c>
      <c r="J9" s="153">
        <f>+EDA!L5</f>
        <v>0.50325335502236679</v>
      </c>
      <c r="K9" s="153">
        <f>+EDA!N5</f>
        <v>0.72454222105124488</v>
      </c>
      <c r="L9" s="37">
        <f>+EDA!P5</f>
        <v>1.1706970969077042</v>
      </c>
      <c r="M9" s="37">
        <f>+EDA!R5</f>
        <v>0.48407745239238276</v>
      </c>
      <c r="N9" s="37">
        <f>+EDA!T5</f>
        <v>1.2284130339408925</v>
      </c>
      <c r="O9" s="153">
        <f>+EDA!V5</f>
        <v>1.0733801717408276</v>
      </c>
      <c r="P9" s="37">
        <f>+EDA!X5</f>
        <v>0.5494505494505495</v>
      </c>
      <c r="Q9" s="153">
        <f>+EDA!Z6</f>
        <v>2.2965357034642966</v>
      </c>
      <c r="R9" s="153">
        <f>+EE!G13</f>
        <v>0.70844906009741171</v>
      </c>
      <c r="S9" s="153">
        <f>+EE!G14</f>
        <v>1.1146577494046714</v>
      </c>
      <c r="T9" s="154">
        <f>+EE!G15</f>
        <v>3.5426731078904994</v>
      </c>
      <c r="U9" s="204">
        <f>+EE!G16</f>
        <v>1.1784662083742523</v>
      </c>
    </row>
    <row r="10" spans="2:21" ht="33.75" customHeight="1">
      <c r="B10" s="463"/>
      <c r="C10" s="25" t="s">
        <v>272</v>
      </c>
      <c r="D10" s="25" t="s">
        <v>274</v>
      </c>
      <c r="E10" s="25" t="s">
        <v>276</v>
      </c>
      <c r="F10" s="25" t="s">
        <v>16</v>
      </c>
      <c r="G10" s="25" t="s">
        <v>247</v>
      </c>
      <c r="H10" s="25" t="s">
        <v>20</v>
      </c>
      <c r="I10" s="25" t="s">
        <v>258</v>
      </c>
      <c r="J10" s="154">
        <f>+EDA!L6</f>
        <v>0.68828792191947952</v>
      </c>
      <c r="K10" s="154">
        <f>+EDA!N6</f>
        <v>0.75800289816888422</v>
      </c>
      <c r="L10" s="154">
        <f>+EDA!P6</f>
        <v>1.7605983562939751</v>
      </c>
      <c r="M10" s="154">
        <f>+EDA!R6</f>
        <v>1.0138022083533365</v>
      </c>
      <c r="N10" s="153">
        <f>+EDA!T6</f>
        <v>2.0078969409324769</v>
      </c>
      <c r="O10" s="153">
        <f>+EDA!V6</f>
        <v>1.4612282071298466</v>
      </c>
      <c r="P10" s="37">
        <f>+EDA!X6</f>
        <v>0.68768731268731265</v>
      </c>
      <c r="Q10" s="153">
        <f>+EDA!Z6</f>
        <v>2.2965357034642966</v>
      </c>
      <c r="R10" s="153">
        <f>+GN!G13</f>
        <v>0.79244520755479242</v>
      </c>
      <c r="S10" s="153">
        <f>+GN!G14</f>
        <v>0.49404671429295233</v>
      </c>
      <c r="T10" s="37">
        <f>+GN!G15</f>
        <v>0.79287439613526567</v>
      </c>
      <c r="U10" s="159"/>
    </row>
    <row r="11" spans="2:21" ht="33.75" customHeight="1">
      <c r="B11" s="463" t="s">
        <v>277</v>
      </c>
      <c r="C11" s="25" t="s">
        <v>278</v>
      </c>
      <c r="D11" s="25" t="s">
        <v>279</v>
      </c>
      <c r="E11" s="25" t="s">
        <v>42</v>
      </c>
      <c r="F11" s="25" t="s">
        <v>24</v>
      </c>
      <c r="G11" s="25" t="s">
        <v>280</v>
      </c>
      <c r="H11" s="25" t="s">
        <v>20</v>
      </c>
      <c r="I11" s="25" t="s">
        <v>258</v>
      </c>
      <c r="J11" s="155">
        <f>+EDA!L8</f>
        <v>10</v>
      </c>
      <c r="K11" s="155">
        <f>+EDA!N8</f>
        <v>15</v>
      </c>
      <c r="L11" s="155">
        <f>+EDA!P8</f>
        <v>10</v>
      </c>
      <c r="M11" s="155">
        <f>+EDA!R8</f>
        <v>6</v>
      </c>
      <c r="N11" s="177">
        <f>+EDA!T8</f>
        <v>7</v>
      </c>
      <c r="O11" s="177">
        <f>+Vol_VERT!C10</f>
        <v>7</v>
      </c>
      <c r="P11" s="177">
        <f>+Vol_VERT!C11</f>
        <v>9</v>
      </c>
      <c r="Q11" s="177">
        <f>+Vol_VERT!C12</f>
        <v>12.2</v>
      </c>
      <c r="R11" s="177">
        <f>+Vol_VERT!C13</f>
        <v>10.8</v>
      </c>
      <c r="S11" s="177">
        <f>+Vol_VERT!C14</f>
        <v>10.5</v>
      </c>
      <c r="T11" s="177">
        <f>+Vol_VERT!D15</f>
        <v>2.0128824476650562E-3</v>
      </c>
      <c r="U11" s="205">
        <f>+Vol_VERT!C16</f>
        <v>8.6999999999999993</v>
      </c>
    </row>
    <row r="12" spans="2:21" ht="71.25" customHeight="1">
      <c r="B12" s="463"/>
      <c r="C12" s="25" t="s">
        <v>282</v>
      </c>
      <c r="D12" s="25" t="s">
        <v>281</v>
      </c>
      <c r="E12" s="25" t="s">
        <v>15</v>
      </c>
      <c r="F12" s="25" t="s">
        <v>98</v>
      </c>
      <c r="G12" s="25">
        <v>100</v>
      </c>
      <c r="H12" s="25" t="s">
        <v>20</v>
      </c>
      <c r="I12" s="25" t="s">
        <v>258</v>
      </c>
      <c r="J12" s="487">
        <v>1</v>
      </c>
      <c r="K12" s="475"/>
      <c r="L12" s="475"/>
      <c r="M12" s="487">
        <v>1</v>
      </c>
      <c r="N12" s="475"/>
      <c r="O12" s="475"/>
      <c r="P12" s="487">
        <v>1</v>
      </c>
      <c r="Q12" s="475"/>
      <c r="R12" s="475"/>
      <c r="S12" s="475">
        <v>100</v>
      </c>
      <c r="T12" s="475"/>
      <c r="U12" s="476"/>
    </row>
    <row r="13" spans="2:21" ht="47.25" customHeight="1">
      <c r="B13" s="463"/>
      <c r="C13" s="25" t="s">
        <v>283</v>
      </c>
      <c r="D13" s="25" t="s">
        <v>284</v>
      </c>
      <c r="E13" s="25" t="s">
        <v>348</v>
      </c>
      <c r="F13" s="25" t="s">
        <v>285</v>
      </c>
      <c r="G13" s="25">
        <v>10</v>
      </c>
      <c r="H13" s="25" t="s">
        <v>20</v>
      </c>
      <c r="I13" s="25" t="s">
        <v>258</v>
      </c>
      <c r="J13" s="489">
        <v>9</v>
      </c>
      <c r="K13" s="489"/>
      <c r="L13" s="489"/>
      <c r="M13" s="487"/>
      <c r="N13" s="487"/>
      <c r="O13" s="487"/>
      <c r="P13" s="475"/>
      <c r="Q13" s="475"/>
      <c r="R13" s="475"/>
      <c r="S13" s="475"/>
      <c r="T13" s="475"/>
      <c r="U13" s="476"/>
    </row>
    <row r="14" spans="2:21" ht="33.75" customHeight="1">
      <c r="B14" s="463" t="s">
        <v>292</v>
      </c>
      <c r="C14" s="25" t="s">
        <v>287</v>
      </c>
      <c r="D14" s="25" t="s">
        <v>286</v>
      </c>
      <c r="E14" s="25" t="s">
        <v>50</v>
      </c>
      <c r="F14" s="25" t="s">
        <v>24</v>
      </c>
      <c r="G14" s="25" t="s">
        <v>93</v>
      </c>
      <c r="H14" s="25" t="s">
        <v>20</v>
      </c>
      <c r="I14" s="25" t="s">
        <v>258</v>
      </c>
      <c r="J14" s="153">
        <f>+EDA!L9</f>
        <v>169.04999999999998</v>
      </c>
      <c r="K14" s="153">
        <f>+EDA!N9</f>
        <v>275.3</v>
      </c>
      <c r="L14" s="153">
        <f>+EDA!P9</f>
        <v>229.05</v>
      </c>
      <c r="M14" s="153">
        <f>+EDA!R9</f>
        <v>248.45</v>
      </c>
      <c r="N14" s="156">
        <f>+EDA!T9</f>
        <v>283.89999999999998</v>
      </c>
      <c r="O14" s="156">
        <f>+RESIDUOS!J10</f>
        <v>286.60000000000002</v>
      </c>
      <c r="P14" s="156">
        <f>+EDA!X9</f>
        <v>282.79999999999995</v>
      </c>
      <c r="Q14" s="156">
        <f>+EDA!Z9</f>
        <v>281.39999999999998</v>
      </c>
      <c r="R14" s="156">
        <f>+RESIDUOS!J13</f>
        <v>311.89999999999998</v>
      </c>
      <c r="S14" s="156">
        <f>+RESIDUOS!J14</f>
        <v>234.7</v>
      </c>
      <c r="T14" s="156">
        <f>+RESIDUOS!J15</f>
        <v>185</v>
      </c>
      <c r="U14" s="160"/>
    </row>
    <row r="15" spans="2:21" ht="57.75" customHeight="1">
      <c r="B15" s="463"/>
      <c r="C15" s="25" t="s">
        <v>288</v>
      </c>
      <c r="D15" s="25" t="s">
        <v>289</v>
      </c>
      <c r="E15" s="25" t="s">
        <v>15</v>
      </c>
      <c r="F15" s="25" t="s">
        <v>24</v>
      </c>
      <c r="G15" s="25">
        <v>15</v>
      </c>
      <c r="H15" s="25" t="s">
        <v>20</v>
      </c>
      <c r="I15" s="25" t="s">
        <v>258</v>
      </c>
      <c r="J15" s="157">
        <f>+EDA!L10</f>
        <v>0.22314049586776857</v>
      </c>
      <c r="K15" s="157">
        <f>+EDA!N10</f>
        <v>0.18181818181818182</v>
      </c>
      <c r="L15" s="157">
        <f>+EDA!P10</f>
        <v>0.21390374331550802</v>
      </c>
      <c r="M15" s="157">
        <f>+EDA!R10</f>
        <v>0.25830258302583026</v>
      </c>
      <c r="N15" s="157">
        <f>+EDA!T10</f>
        <v>0.20382165605095542</v>
      </c>
      <c r="O15" s="157">
        <f>+RESIDUOS!K10</f>
        <v>0.28662420382165604</v>
      </c>
      <c r="P15" s="157">
        <f>+RESIDUOS!K11</f>
        <v>0.26020408163265302</v>
      </c>
      <c r="Q15" s="157">
        <f>+RESIDUOS!K12</f>
        <v>0.37848605577689243</v>
      </c>
      <c r="R15" s="157">
        <f>+RESIDUOS!K13</f>
        <v>0.54748603351955316</v>
      </c>
      <c r="S15" s="157">
        <f>+RESIDUOS!K14</f>
        <v>0.29220779220779219</v>
      </c>
      <c r="T15" s="157">
        <f>+RESIDUOS!K15</f>
        <v>0.36607142857142855</v>
      </c>
      <c r="U15" s="159"/>
    </row>
    <row r="16" spans="2:21" ht="45.75" customHeight="1">
      <c r="B16" s="463"/>
      <c r="C16" s="25" t="s">
        <v>291</v>
      </c>
      <c r="D16" s="25" t="s">
        <v>290</v>
      </c>
      <c r="E16" s="25" t="s">
        <v>50</v>
      </c>
      <c r="F16" s="25" t="s">
        <v>24</v>
      </c>
      <c r="G16" s="25" t="s">
        <v>49</v>
      </c>
      <c r="H16" s="25" t="s">
        <v>20</v>
      </c>
      <c r="I16" s="25" t="s">
        <v>295</v>
      </c>
      <c r="J16" s="153">
        <f>+EDA!L11</f>
        <v>0</v>
      </c>
      <c r="K16" s="153">
        <f>+EDA!N11</f>
        <v>0</v>
      </c>
      <c r="L16" s="153">
        <f>+EDA!P11</f>
        <v>0</v>
      </c>
      <c r="M16" s="153">
        <f>+EDA!R11</f>
        <v>476</v>
      </c>
      <c r="N16" s="156">
        <f>+EDA!T11</f>
        <v>0</v>
      </c>
      <c r="O16" s="156">
        <f>+'RESPEL '!H37</f>
        <v>0</v>
      </c>
      <c r="P16" s="156">
        <v>0</v>
      </c>
      <c r="Q16" s="156">
        <f>+'RESPEL '!J37</f>
        <v>29</v>
      </c>
      <c r="R16" s="156">
        <f>+'RESPEL '!K37</f>
        <v>0</v>
      </c>
      <c r="S16" s="156">
        <f>+'RESPEL '!L37</f>
        <v>0</v>
      </c>
      <c r="T16" s="156">
        <f>+'RESPEL '!M37</f>
        <v>41</v>
      </c>
      <c r="U16" s="160">
        <f>+'RESPEL '!N37</f>
        <v>0</v>
      </c>
    </row>
    <row r="17" spans="2:38" ht="68.25" customHeight="1">
      <c r="B17" s="463" t="s">
        <v>300</v>
      </c>
      <c r="C17" s="455" t="s">
        <v>99</v>
      </c>
      <c r="D17" s="25" t="s">
        <v>293</v>
      </c>
      <c r="E17" s="25" t="s">
        <v>15</v>
      </c>
      <c r="F17" s="25" t="s">
        <v>24</v>
      </c>
      <c r="G17" s="25">
        <v>100</v>
      </c>
      <c r="H17" s="25" t="s">
        <v>20</v>
      </c>
      <c r="I17" s="25" t="s">
        <v>258</v>
      </c>
      <c r="J17" s="157">
        <v>1</v>
      </c>
      <c r="K17" s="157">
        <v>1</v>
      </c>
      <c r="L17" s="157">
        <v>1</v>
      </c>
      <c r="M17" s="157">
        <v>1</v>
      </c>
      <c r="N17" s="157">
        <v>1</v>
      </c>
      <c r="O17" s="157">
        <v>1</v>
      </c>
      <c r="P17" s="230">
        <v>1</v>
      </c>
      <c r="Q17" s="230">
        <v>1</v>
      </c>
      <c r="R17" s="230">
        <v>1</v>
      </c>
      <c r="S17" s="230">
        <v>1</v>
      </c>
      <c r="T17" s="230">
        <v>1</v>
      </c>
      <c r="U17" s="230">
        <v>1</v>
      </c>
    </row>
    <row r="18" spans="2:38" ht="72.75" customHeight="1">
      <c r="B18" s="463"/>
      <c r="C18" s="455"/>
      <c r="D18" s="25" t="s">
        <v>297</v>
      </c>
      <c r="E18" s="25" t="s">
        <v>15</v>
      </c>
      <c r="F18" s="25" t="s">
        <v>24</v>
      </c>
      <c r="G18" s="25">
        <v>100</v>
      </c>
      <c r="H18" s="25" t="s">
        <v>20</v>
      </c>
      <c r="I18" s="25" t="s">
        <v>295</v>
      </c>
      <c r="J18" s="157">
        <v>1</v>
      </c>
      <c r="K18" s="157">
        <v>1</v>
      </c>
      <c r="L18" s="157">
        <v>1</v>
      </c>
      <c r="M18" s="157">
        <v>1</v>
      </c>
      <c r="N18" s="157">
        <v>1</v>
      </c>
      <c r="O18" s="157">
        <v>1</v>
      </c>
      <c r="P18" s="230">
        <v>1</v>
      </c>
      <c r="Q18" s="230">
        <v>1</v>
      </c>
      <c r="R18" s="230">
        <v>1</v>
      </c>
      <c r="S18" s="230">
        <v>1</v>
      </c>
      <c r="T18" s="230">
        <v>1</v>
      </c>
      <c r="U18" s="230">
        <v>1</v>
      </c>
    </row>
    <row r="19" spans="2:38" ht="60" hidden="1" customHeight="1">
      <c r="B19" s="464"/>
      <c r="C19" s="465"/>
      <c r="D19" s="162" t="s">
        <v>294</v>
      </c>
      <c r="E19" s="162" t="s">
        <v>15</v>
      </c>
      <c r="F19" s="162" t="s">
        <v>16</v>
      </c>
      <c r="G19" s="162">
        <v>100</v>
      </c>
      <c r="H19" s="162" t="s">
        <v>95</v>
      </c>
      <c r="I19" s="162" t="s">
        <v>258</v>
      </c>
      <c r="J19" s="164">
        <v>1</v>
      </c>
      <c r="K19" s="164">
        <v>1</v>
      </c>
      <c r="L19" s="164">
        <v>1</v>
      </c>
      <c r="M19" s="164">
        <v>1</v>
      </c>
      <c r="N19" s="164"/>
      <c r="O19" s="164"/>
      <c r="P19" s="164"/>
      <c r="Q19" s="163"/>
      <c r="R19" s="163"/>
      <c r="S19" s="163"/>
      <c r="T19" s="163"/>
      <c r="U19" s="165"/>
    </row>
    <row r="20" spans="2:38" ht="60" customHeight="1" thickBot="1">
      <c r="B20" s="166" t="s">
        <v>301</v>
      </c>
      <c r="C20" s="161" t="s">
        <v>302</v>
      </c>
      <c r="D20" s="161" t="s">
        <v>303</v>
      </c>
      <c r="E20" s="161" t="s">
        <v>304</v>
      </c>
      <c r="F20" s="161" t="s">
        <v>285</v>
      </c>
      <c r="G20" s="161" t="s">
        <v>101</v>
      </c>
      <c r="H20" s="161" t="s">
        <v>305</v>
      </c>
      <c r="I20" s="161" t="s">
        <v>258</v>
      </c>
      <c r="J20" s="459"/>
      <c r="K20" s="460"/>
      <c r="L20" s="461"/>
      <c r="M20" s="459"/>
      <c r="N20" s="460"/>
      <c r="O20" s="461"/>
      <c r="P20" s="459"/>
      <c r="Q20" s="460"/>
      <c r="R20" s="461"/>
      <c r="S20" s="459"/>
      <c r="T20" s="460"/>
      <c r="U20" s="462"/>
    </row>
    <row r="21" spans="2:38" ht="6.75" customHeight="1" thickBot="1">
      <c r="B21" s="477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478"/>
      <c r="P21" s="478"/>
      <c r="Q21" s="478"/>
      <c r="R21" s="478"/>
      <c r="S21" s="478"/>
      <c r="T21" s="478"/>
      <c r="U21" s="479"/>
    </row>
    <row r="22" spans="2:38" ht="18.75" customHeight="1" thickBot="1">
      <c r="B22" s="480" t="s">
        <v>299</v>
      </c>
      <c r="C22" s="481"/>
      <c r="D22" s="481"/>
      <c r="E22" s="481"/>
      <c r="F22" s="481"/>
      <c r="G22" s="481"/>
      <c r="H22" s="481"/>
      <c r="I22" s="481"/>
      <c r="J22" s="481"/>
      <c r="K22" s="481"/>
      <c r="L22" s="481"/>
      <c r="M22" s="481"/>
      <c r="N22" s="481"/>
      <c r="O22" s="481"/>
      <c r="P22" s="481"/>
      <c r="Q22" s="481"/>
      <c r="R22" s="481"/>
      <c r="S22" s="481"/>
      <c r="T22" s="481"/>
      <c r="U22" s="482"/>
    </row>
    <row r="23" spans="2:38" ht="33.75" customHeight="1">
      <c r="B23" s="173" t="s">
        <v>94</v>
      </c>
      <c r="C23" s="174" t="s">
        <v>1</v>
      </c>
      <c r="D23" s="174" t="s">
        <v>38</v>
      </c>
      <c r="E23" s="174" t="s">
        <v>2</v>
      </c>
      <c r="F23" s="174" t="s">
        <v>3</v>
      </c>
      <c r="G23" s="174" t="s">
        <v>0</v>
      </c>
      <c r="H23" s="174" t="s">
        <v>21</v>
      </c>
      <c r="I23" s="174" t="s">
        <v>22</v>
      </c>
      <c r="J23" s="175" t="s">
        <v>72</v>
      </c>
      <c r="K23" s="175" t="s">
        <v>73</v>
      </c>
      <c r="L23" s="175" t="s">
        <v>74</v>
      </c>
      <c r="M23" s="175" t="s">
        <v>75</v>
      </c>
      <c r="N23" s="175" t="s">
        <v>76</v>
      </c>
      <c r="O23" s="175" t="s">
        <v>77</v>
      </c>
      <c r="P23" s="175" t="s">
        <v>78</v>
      </c>
      <c r="Q23" s="175" t="s">
        <v>79</v>
      </c>
      <c r="R23" s="175" t="s">
        <v>80</v>
      </c>
      <c r="S23" s="175" t="s">
        <v>81</v>
      </c>
      <c r="T23" s="175" t="s">
        <v>82</v>
      </c>
      <c r="U23" s="176" t="s">
        <v>83</v>
      </c>
    </row>
    <row r="24" spans="2:38" ht="45.75" customHeight="1">
      <c r="B24" s="25" t="s">
        <v>126</v>
      </c>
      <c r="C24" s="25" t="s">
        <v>127</v>
      </c>
      <c r="D24" s="25" t="s">
        <v>129</v>
      </c>
      <c r="E24" s="25" t="s">
        <v>128</v>
      </c>
      <c r="F24" s="25" t="s">
        <v>259</v>
      </c>
      <c r="G24" s="25">
        <v>15</v>
      </c>
      <c r="H24" s="25" t="s">
        <v>20</v>
      </c>
      <c r="I24" s="25" t="s">
        <v>258</v>
      </c>
      <c r="J24" s="455">
        <v>100</v>
      </c>
      <c r="K24" s="455"/>
      <c r="L24" s="455"/>
      <c r="M24" s="455">
        <v>100</v>
      </c>
      <c r="N24" s="455"/>
      <c r="O24" s="455"/>
      <c r="P24" s="455">
        <v>100</v>
      </c>
      <c r="Q24" s="455"/>
      <c r="R24" s="455"/>
      <c r="S24" s="455">
        <v>100</v>
      </c>
      <c r="T24" s="455"/>
      <c r="U24" s="455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</row>
    <row r="25" spans="2:38" ht="61.5" customHeight="1">
      <c r="B25" s="455" t="s">
        <v>306</v>
      </c>
      <c r="C25" s="25" t="s">
        <v>307</v>
      </c>
      <c r="D25" s="25" t="s">
        <v>308</v>
      </c>
      <c r="E25" s="37" t="s">
        <v>15</v>
      </c>
      <c r="F25" s="37" t="s">
        <v>24</v>
      </c>
      <c r="G25" s="37">
        <v>100</v>
      </c>
      <c r="H25" s="25" t="s">
        <v>20</v>
      </c>
      <c r="I25" s="37" t="s">
        <v>258</v>
      </c>
      <c r="J25" s="37">
        <v>100</v>
      </c>
      <c r="K25" s="37">
        <v>100</v>
      </c>
      <c r="L25" s="37">
        <v>100</v>
      </c>
      <c r="M25" s="37">
        <v>100</v>
      </c>
      <c r="N25" s="229">
        <v>100</v>
      </c>
      <c r="O25" s="229">
        <v>100</v>
      </c>
      <c r="P25" s="229">
        <v>100</v>
      </c>
      <c r="Q25" s="229">
        <v>100</v>
      </c>
      <c r="R25" s="229">
        <v>100</v>
      </c>
      <c r="S25" s="229">
        <v>100</v>
      </c>
      <c r="T25" s="229">
        <v>100</v>
      </c>
      <c r="U25" s="229">
        <v>100</v>
      </c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</row>
    <row r="26" spans="2:38" ht="57.75" customHeight="1">
      <c r="B26" s="455"/>
      <c r="C26" s="25" t="s">
        <v>309</v>
      </c>
      <c r="D26" s="25" t="s">
        <v>310</v>
      </c>
      <c r="E26" s="37" t="s">
        <v>15</v>
      </c>
      <c r="F26" s="37" t="s">
        <v>24</v>
      </c>
      <c r="G26" s="37">
        <v>100</v>
      </c>
      <c r="H26" s="25" t="s">
        <v>20</v>
      </c>
      <c r="I26" s="37" t="s">
        <v>258</v>
      </c>
      <c r="J26" s="37">
        <v>100</v>
      </c>
      <c r="K26" s="37">
        <v>100</v>
      </c>
      <c r="L26" s="37">
        <v>100</v>
      </c>
      <c r="M26" s="37">
        <v>100</v>
      </c>
      <c r="N26" s="229">
        <v>100</v>
      </c>
      <c r="O26" s="229">
        <v>100</v>
      </c>
      <c r="P26" s="229">
        <v>100</v>
      </c>
      <c r="Q26" s="229">
        <v>100</v>
      </c>
      <c r="R26" s="229">
        <v>100</v>
      </c>
      <c r="S26" s="229">
        <v>100</v>
      </c>
      <c r="T26" s="229">
        <v>100</v>
      </c>
      <c r="U26" s="229">
        <v>100</v>
      </c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</row>
    <row r="27" spans="2:38" ht="61.5" customHeight="1">
      <c r="B27" s="455" t="s">
        <v>311</v>
      </c>
      <c r="C27" s="25" t="s">
        <v>312</v>
      </c>
      <c r="D27" s="25" t="s">
        <v>310</v>
      </c>
      <c r="E27" s="37" t="s">
        <v>15</v>
      </c>
      <c r="F27" s="37" t="s">
        <v>314</v>
      </c>
      <c r="G27" s="37">
        <v>100</v>
      </c>
      <c r="H27" s="25" t="s">
        <v>20</v>
      </c>
      <c r="I27" s="37" t="s">
        <v>258</v>
      </c>
      <c r="J27" s="37">
        <v>100</v>
      </c>
      <c r="K27" s="37">
        <v>100</v>
      </c>
      <c r="L27" s="37">
        <v>100</v>
      </c>
      <c r="M27" s="37">
        <v>100</v>
      </c>
      <c r="N27" s="229">
        <v>100</v>
      </c>
      <c r="O27" s="229">
        <v>100</v>
      </c>
      <c r="P27" s="229">
        <v>100</v>
      </c>
      <c r="Q27" s="229">
        <v>100</v>
      </c>
      <c r="R27" s="229">
        <v>100</v>
      </c>
      <c r="S27" s="229">
        <v>100</v>
      </c>
      <c r="T27" s="229">
        <v>100</v>
      </c>
      <c r="U27" s="229">
        <v>100</v>
      </c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</row>
    <row r="28" spans="2:38" ht="69" customHeight="1">
      <c r="B28" s="455"/>
      <c r="C28" s="25" t="s">
        <v>313</v>
      </c>
      <c r="D28" s="25" t="s">
        <v>316</v>
      </c>
      <c r="E28" s="37" t="s">
        <v>15</v>
      </c>
      <c r="F28" s="37" t="s">
        <v>285</v>
      </c>
      <c r="G28" s="37">
        <v>100</v>
      </c>
      <c r="H28" s="25" t="s">
        <v>20</v>
      </c>
      <c r="I28" s="37" t="s">
        <v>258</v>
      </c>
      <c r="J28" s="452">
        <v>100</v>
      </c>
      <c r="K28" s="453"/>
      <c r="L28" s="454"/>
      <c r="M28" s="452">
        <v>100</v>
      </c>
      <c r="N28" s="453"/>
      <c r="O28" s="454"/>
      <c r="P28" s="452">
        <v>100</v>
      </c>
      <c r="Q28" s="453"/>
      <c r="R28" s="454"/>
      <c r="S28" s="452">
        <v>100</v>
      </c>
      <c r="T28" s="453"/>
      <c r="U28" s="454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</row>
    <row r="29" spans="2:38" ht="69" customHeight="1">
      <c r="B29" s="455" t="s">
        <v>317</v>
      </c>
      <c r="C29" s="25" t="s">
        <v>315</v>
      </c>
      <c r="D29" s="25" t="s">
        <v>347</v>
      </c>
      <c r="E29" s="37" t="s">
        <v>15</v>
      </c>
      <c r="F29" s="37" t="s">
        <v>24</v>
      </c>
      <c r="G29" s="37">
        <v>100</v>
      </c>
      <c r="H29" s="25" t="s">
        <v>20</v>
      </c>
      <c r="I29" s="37" t="s">
        <v>258</v>
      </c>
      <c r="J29" s="37">
        <v>100</v>
      </c>
      <c r="K29" s="37">
        <v>100</v>
      </c>
      <c r="L29" s="37">
        <v>100</v>
      </c>
      <c r="M29" s="37">
        <v>100</v>
      </c>
      <c r="N29" s="229">
        <v>100</v>
      </c>
      <c r="O29" s="229">
        <v>100</v>
      </c>
      <c r="P29" s="229">
        <v>100</v>
      </c>
      <c r="Q29" s="229">
        <v>100</v>
      </c>
      <c r="R29" s="229">
        <v>100</v>
      </c>
      <c r="S29" s="229">
        <v>100</v>
      </c>
      <c r="T29" s="229">
        <v>100</v>
      </c>
      <c r="U29" s="229">
        <v>100</v>
      </c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</row>
    <row r="30" spans="2:38" ht="72" customHeight="1">
      <c r="B30" s="455"/>
      <c r="C30" s="25" t="s">
        <v>318</v>
      </c>
      <c r="D30" s="25" t="s">
        <v>316</v>
      </c>
      <c r="E30" s="37" t="s">
        <v>15</v>
      </c>
      <c r="F30" s="37" t="s">
        <v>261</v>
      </c>
      <c r="G30" s="37">
        <v>100</v>
      </c>
      <c r="H30" s="25" t="s">
        <v>20</v>
      </c>
      <c r="I30" s="37" t="s">
        <v>258</v>
      </c>
      <c r="J30" s="452">
        <v>0</v>
      </c>
      <c r="K30" s="453"/>
      <c r="L30" s="453"/>
      <c r="M30" s="453"/>
      <c r="N30" s="453"/>
      <c r="O30" s="454"/>
      <c r="P30" s="452">
        <v>0</v>
      </c>
      <c r="Q30" s="453"/>
      <c r="R30" s="453"/>
      <c r="S30" s="453"/>
      <c r="T30" s="453"/>
      <c r="U30" s="454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</row>
    <row r="31" spans="2:38" ht="61.5" customHeight="1">
      <c r="B31" s="455" t="s">
        <v>319</v>
      </c>
      <c r="C31" s="25" t="s">
        <v>320</v>
      </c>
      <c r="D31" s="25" t="s">
        <v>310</v>
      </c>
      <c r="E31" s="37" t="s">
        <v>15</v>
      </c>
      <c r="F31" s="37" t="s">
        <v>259</v>
      </c>
      <c r="G31" s="37">
        <v>100</v>
      </c>
      <c r="H31" s="25" t="s">
        <v>20</v>
      </c>
      <c r="I31" s="25" t="s">
        <v>326</v>
      </c>
      <c r="J31" s="37">
        <v>100</v>
      </c>
      <c r="K31" s="37">
        <v>100</v>
      </c>
      <c r="L31" s="37">
        <v>100</v>
      </c>
      <c r="M31" s="37">
        <v>100</v>
      </c>
      <c r="N31" s="37">
        <v>100</v>
      </c>
      <c r="O31" s="37">
        <v>100</v>
      </c>
      <c r="P31" s="229">
        <v>100</v>
      </c>
      <c r="Q31" s="229">
        <v>100</v>
      </c>
      <c r="R31" s="229">
        <v>100</v>
      </c>
      <c r="S31" s="229">
        <v>100</v>
      </c>
      <c r="T31" s="229">
        <v>100</v>
      </c>
      <c r="U31" s="229">
        <v>100</v>
      </c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</row>
    <row r="32" spans="2:38" ht="88.5" customHeight="1">
      <c r="B32" s="455"/>
      <c r="C32" s="25" t="s">
        <v>321</v>
      </c>
      <c r="D32" s="25" t="s">
        <v>322</v>
      </c>
      <c r="E32" s="37" t="s">
        <v>15</v>
      </c>
      <c r="F32" s="37" t="s">
        <v>259</v>
      </c>
      <c r="G32" s="37">
        <v>100</v>
      </c>
      <c r="H32" s="25" t="s">
        <v>20</v>
      </c>
      <c r="I32" s="37" t="s">
        <v>258</v>
      </c>
      <c r="J32" s="452">
        <v>100</v>
      </c>
      <c r="K32" s="453"/>
      <c r="L32" s="453"/>
      <c r="M32" s="453"/>
      <c r="N32" s="453"/>
      <c r="O32" s="453"/>
      <c r="P32" s="453"/>
      <c r="Q32" s="453"/>
      <c r="R32" s="453"/>
      <c r="S32" s="453"/>
      <c r="T32" s="453"/>
      <c r="U32" s="454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</row>
    <row r="33" spans="2:38" ht="86.25" customHeight="1">
      <c r="B33" s="455" t="s">
        <v>323</v>
      </c>
      <c r="C33" s="25" t="s">
        <v>324</v>
      </c>
      <c r="D33" s="25" t="s">
        <v>310</v>
      </c>
      <c r="E33" s="37" t="s">
        <v>15</v>
      </c>
      <c r="F33" s="37" t="s">
        <v>259</v>
      </c>
      <c r="G33" s="37">
        <v>100</v>
      </c>
      <c r="H33" s="25" t="s">
        <v>20</v>
      </c>
      <c r="I33" s="25" t="s">
        <v>325</v>
      </c>
      <c r="J33" s="452">
        <v>100</v>
      </c>
      <c r="K33" s="453"/>
      <c r="L33" s="453"/>
      <c r="M33" s="453"/>
      <c r="N33" s="453"/>
      <c r="O33" s="453"/>
      <c r="P33" s="453"/>
      <c r="Q33" s="453"/>
      <c r="R33" s="453"/>
      <c r="S33" s="453"/>
      <c r="T33" s="453"/>
      <c r="U33" s="454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</row>
    <row r="34" spans="2:38" ht="66.75" customHeight="1">
      <c r="B34" s="455"/>
      <c r="C34" s="37" t="s">
        <v>327</v>
      </c>
      <c r="D34" s="25" t="s">
        <v>316</v>
      </c>
      <c r="E34" s="37" t="s">
        <v>15</v>
      </c>
      <c r="F34" s="37" t="s">
        <v>285</v>
      </c>
      <c r="G34" s="37">
        <v>100</v>
      </c>
      <c r="H34" s="25" t="s">
        <v>20</v>
      </c>
      <c r="I34" s="37" t="s">
        <v>258</v>
      </c>
      <c r="J34" s="452">
        <v>100</v>
      </c>
      <c r="K34" s="453"/>
      <c r="L34" s="454"/>
      <c r="M34" s="452">
        <v>0</v>
      </c>
      <c r="N34" s="453"/>
      <c r="O34" s="454"/>
      <c r="P34" s="452">
        <v>0</v>
      </c>
      <c r="Q34" s="453"/>
      <c r="R34" s="454"/>
      <c r="S34" s="452">
        <v>100</v>
      </c>
      <c r="T34" s="453"/>
      <c r="U34" s="454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</row>
    <row r="35" spans="2:38" ht="66" customHeight="1">
      <c r="B35" s="455" t="s">
        <v>328</v>
      </c>
      <c r="C35" s="152" t="s">
        <v>329</v>
      </c>
      <c r="D35" s="25" t="s">
        <v>330</v>
      </c>
      <c r="E35" s="37" t="s">
        <v>15</v>
      </c>
      <c r="F35" s="37" t="s">
        <v>259</v>
      </c>
      <c r="G35" s="37">
        <v>100</v>
      </c>
      <c r="H35" s="25" t="s">
        <v>20</v>
      </c>
      <c r="I35" s="37" t="s">
        <v>258</v>
      </c>
      <c r="J35" s="452" t="s">
        <v>377</v>
      </c>
      <c r="K35" s="453"/>
      <c r="L35" s="453"/>
      <c r="M35" s="453"/>
      <c r="N35" s="453"/>
      <c r="O35" s="453"/>
      <c r="P35" s="453"/>
      <c r="Q35" s="453"/>
      <c r="R35" s="453"/>
      <c r="S35" s="453"/>
      <c r="T35" s="453"/>
      <c r="U35" s="454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</row>
    <row r="36" spans="2:38" ht="33.75" customHeight="1">
      <c r="B36" s="455"/>
      <c r="C36" s="25" t="s">
        <v>331</v>
      </c>
      <c r="D36" s="25" t="s">
        <v>332</v>
      </c>
      <c r="E36" s="37" t="s">
        <v>50</v>
      </c>
      <c r="F36" s="37" t="s">
        <v>259</v>
      </c>
      <c r="G36" s="37" t="s">
        <v>333</v>
      </c>
      <c r="H36" s="37"/>
      <c r="I36" s="37" t="s">
        <v>258</v>
      </c>
      <c r="J36" s="452" t="s">
        <v>377</v>
      </c>
      <c r="K36" s="453"/>
      <c r="L36" s="453"/>
      <c r="M36" s="453"/>
      <c r="N36" s="453"/>
      <c r="O36" s="453"/>
      <c r="P36" s="453"/>
      <c r="Q36" s="453"/>
      <c r="R36" s="453"/>
      <c r="S36" s="453"/>
      <c r="T36" s="453"/>
      <c r="U36" s="454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</row>
    <row r="37" spans="2:38" ht="45" customHeight="1">
      <c r="B37" s="455"/>
      <c r="C37" s="25" t="s">
        <v>334</v>
      </c>
      <c r="D37" s="25" t="s">
        <v>335</v>
      </c>
      <c r="E37" s="37" t="s">
        <v>15</v>
      </c>
      <c r="F37" s="37" t="s">
        <v>259</v>
      </c>
      <c r="G37" s="37" t="s">
        <v>333</v>
      </c>
      <c r="H37" s="37"/>
      <c r="I37" s="37" t="s">
        <v>258</v>
      </c>
      <c r="J37" s="452" t="s">
        <v>377</v>
      </c>
      <c r="K37" s="453"/>
      <c r="L37" s="453"/>
      <c r="M37" s="453"/>
      <c r="N37" s="453"/>
      <c r="O37" s="453"/>
      <c r="P37" s="453"/>
      <c r="Q37" s="453"/>
      <c r="R37" s="453"/>
      <c r="S37" s="453"/>
      <c r="T37" s="453"/>
      <c r="U37" s="454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</row>
    <row r="38" spans="2:38" ht="48.75" customHeight="1">
      <c r="B38" s="455"/>
      <c r="C38" s="25" t="s">
        <v>336</v>
      </c>
      <c r="D38" s="25" t="s">
        <v>337</v>
      </c>
      <c r="E38" s="37" t="s">
        <v>15</v>
      </c>
      <c r="F38" s="37" t="s">
        <v>259</v>
      </c>
      <c r="G38" s="157">
        <v>1</v>
      </c>
      <c r="H38" s="25" t="s">
        <v>20</v>
      </c>
      <c r="I38" s="37" t="s">
        <v>258</v>
      </c>
      <c r="J38" s="452" t="s">
        <v>377</v>
      </c>
      <c r="K38" s="453"/>
      <c r="L38" s="453"/>
      <c r="M38" s="453"/>
      <c r="N38" s="453"/>
      <c r="O38" s="453"/>
      <c r="P38" s="453"/>
      <c r="Q38" s="453"/>
      <c r="R38" s="453"/>
      <c r="S38" s="453"/>
      <c r="T38" s="453"/>
      <c r="U38" s="454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</row>
    <row r="39" spans="2:38" ht="75.75" customHeight="1">
      <c r="B39" s="455" t="s">
        <v>338</v>
      </c>
      <c r="C39" s="152" t="s">
        <v>339</v>
      </c>
      <c r="D39" s="25" t="s">
        <v>341</v>
      </c>
      <c r="E39" s="37" t="s">
        <v>15</v>
      </c>
      <c r="F39" s="37" t="s">
        <v>259</v>
      </c>
      <c r="G39" s="37" t="s">
        <v>333</v>
      </c>
      <c r="H39" s="25" t="s">
        <v>20</v>
      </c>
      <c r="I39" s="37" t="s">
        <v>258</v>
      </c>
      <c r="J39" s="456"/>
      <c r="K39" s="457"/>
      <c r="L39" s="457"/>
      <c r="M39" s="457"/>
      <c r="N39" s="457"/>
      <c r="O39" s="457"/>
      <c r="P39" s="457"/>
      <c r="Q39" s="457"/>
      <c r="R39" s="457"/>
      <c r="S39" s="457"/>
      <c r="T39" s="457"/>
      <c r="U39" s="458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</row>
    <row r="40" spans="2:38" ht="78" customHeight="1">
      <c r="B40" s="455"/>
      <c r="C40" s="25" t="s">
        <v>340</v>
      </c>
      <c r="D40" s="25" t="s">
        <v>342</v>
      </c>
      <c r="E40" s="37" t="s">
        <v>15</v>
      </c>
      <c r="F40" s="37" t="s">
        <v>259</v>
      </c>
      <c r="G40" s="37" t="s">
        <v>333</v>
      </c>
      <c r="H40" s="25" t="s">
        <v>20</v>
      </c>
      <c r="I40" s="37" t="s">
        <v>258</v>
      </c>
      <c r="J40" s="456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8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</row>
    <row r="41" spans="2:38" ht="7.5" customHeight="1"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</row>
    <row r="42" spans="2:38" ht="33.75" customHeight="1"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</row>
    <row r="43" spans="2:38" ht="33.75" customHeight="1"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</row>
    <row r="44" spans="2:38" ht="33.75" customHeight="1"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</row>
    <row r="45" spans="2:38" ht="33.75" customHeight="1"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</row>
    <row r="46" spans="2:38" ht="33.75" customHeight="1"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</row>
    <row r="47" spans="2:38" ht="33.75" customHeight="1"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</row>
    <row r="48" spans="2:38" ht="33.75" customHeight="1"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</row>
    <row r="49" spans="2:38" ht="33.75" customHeight="1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</row>
    <row r="50" spans="2:38" ht="33.75" customHeight="1"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</row>
    <row r="51" spans="2:38" ht="33.75" customHeight="1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</row>
    <row r="52" spans="2:38" ht="33.75" customHeight="1"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</row>
    <row r="53" spans="2:38" ht="33.75" customHeight="1"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</row>
    <row r="54" spans="2:38" ht="33.75" customHeight="1"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</row>
    <row r="55" spans="2:38" ht="33.75" customHeight="1"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</row>
    <row r="56" spans="2:38" ht="33.75" customHeight="1"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</row>
    <row r="57" spans="2:38" ht="33.75" customHeight="1"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</row>
    <row r="58" spans="2:38" ht="33.75" customHeight="1"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</row>
    <row r="59" spans="2:38" ht="33.75" customHeight="1"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</row>
    <row r="60" spans="2:38" ht="33.75" customHeight="1"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</row>
    <row r="61" spans="2:38" ht="33.75" customHeight="1"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</row>
    <row r="62" spans="2:38" ht="33.75" customHeight="1"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</row>
    <row r="63" spans="2:38" ht="33.75" customHeight="1"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</row>
    <row r="64" spans="2:38" ht="33.75" customHeight="1"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</row>
    <row r="65" spans="2:38" ht="33.75" customHeight="1"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</row>
    <row r="66" spans="2:38" ht="33.75" customHeight="1"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</row>
    <row r="67" spans="2:38" ht="33.75" customHeight="1"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</row>
    <row r="68" spans="2:38" ht="33.75" customHeight="1"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</row>
    <row r="69" spans="2:38" ht="33.75" customHeight="1"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</row>
    <row r="70" spans="2:38" ht="33.75" customHeight="1"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</row>
    <row r="71" spans="2:38" ht="33.75" customHeight="1"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</row>
    <row r="72" spans="2:38" ht="33.75" customHeight="1"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</row>
    <row r="73" spans="2:38" ht="33.75" customHeight="1"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</row>
    <row r="74" spans="2:38" ht="33.75" customHeight="1"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</row>
    <row r="75" spans="2:38" ht="33.75" customHeight="1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</row>
    <row r="76" spans="2:38" ht="33.75" customHeight="1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</row>
    <row r="77" spans="2:38" ht="33.75" customHeight="1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</row>
    <row r="78" spans="2:38" ht="33.75" customHeight="1"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</row>
    <row r="79" spans="2:38" ht="33.75" customHeight="1"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</row>
    <row r="80" spans="2:38" ht="33.75" customHeight="1"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</row>
    <row r="81" spans="2:38" ht="33.75" customHeight="1"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</row>
    <row r="82" spans="2:38" ht="33.75" customHeight="1"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</row>
    <row r="83" spans="2:38" ht="33.75" customHeight="1"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</row>
    <row r="84" spans="2:38" ht="33.75" customHeight="1"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</row>
    <row r="85" spans="2:38" ht="33.75" customHeight="1"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</row>
    <row r="86" spans="2:38" ht="33.75" customHeight="1"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</row>
    <row r="87" spans="2:38" ht="33.75" customHeight="1"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</row>
    <row r="88" spans="2:38" ht="33.75" customHeight="1"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</row>
    <row r="89" spans="2:38" ht="33.75" customHeight="1"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</row>
    <row r="90" spans="2:38" ht="33.75" customHeight="1"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</row>
    <row r="91" spans="2:38" ht="33.75" customHeight="1"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</row>
    <row r="92" spans="2:38" ht="33.75" customHeight="1"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</row>
  </sheetData>
  <mergeCells count="59">
    <mergeCell ref="B1:U1"/>
    <mergeCell ref="S12:U12"/>
    <mergeCell ref="M12:O12"/>
    <mergeCell ref="J12:L12"/>
    <mergeCell ref="J6:O6"/>
    <mergeCell ref="J7:O7"/>
    <mergeCell ref="P6:U6"/>
    <mergeCell ref="B11:B13"/>
    <mergeCell ref="J13:L13"/>
    <mergeCell ref="M13:O13"/>
    <mergeCell ref="P13:R13"/>
    <mergeCell ref="S13:U13"/>
    <mergeCell ref="P12:R12"/>
    <mergeCell ref="J24:L24"/>
    <mergeCell ref="M24:O24"/>
    <mergeCell ref="P24:R24"/>
    <mergeCell ref="S24:U24"/>
    <mergeCell ref="B2:D2"/>
    <mergeCell ref="E2:P2"/>
    <mergeCell ref="Q2:U2"/>
    <mergeCell ref="P7:U7"/>
    <mergeCell ref="B9:B10"/>
    <mergeCell ref="B5:B7"/>
    <mergeCell ref="J5:U5"/>
    <mergeCell ref="B21:U21"/>
    <mergeCell ref="B22:U22"/>
    <mergeCell ref="B3:U3"/>
    <mergeCell ref="J20:L20"/>
    <mergeCell ref="M20:O20"/>
    <mergeCell ref="P20:R20"/>
    <mergeCell ref="S20:U20"/>
    <mergeCell ref="B14:B16"/>
    <mergeCell ref="B17:B19"/>
    <mergeCell ref="C17:C19"/>
    <mergeCell ref="B25:B26"/>
    <mergeCell ref="B27:B28"/>
    <mergeCell ref="B29:B30"/>
    <mergeCell ref="B31:B32"/>
    <mergeCell ref="B33:B34"/>
    <mergeCell ref="B39:B40"/>
    <mergeCell ref="B35:B38"/>
    <mergeCell ref="J32:U32"/>
    <mergeCell ref="J33:U33"/>
    <mergeCell ref="J35:U35"/>
    <mergeCell ref="J36:U36"/>
    <mergeCell ref="J37:U37"/>
    <mergeCell ref="J38:U38"/>
    <mergeCell ref="J39:U39"/>
    <mergeCell ref="J40:U40"/>
    <mergeCell ref="J28:L28"/>
    <mergeCell ref="M28:O28"/>
    <mergeCell ref="P28:R28"/>
    <mergeCell ref="S28:U28"/>
    <mergeCell ref="J34:L34"/>
    <mergeCell ref="M34:O34"/>
    <mergeCell ref="P34:R34"/>
    <mergeCell ref="S34:U34"/>
    <mergeCell ref="J30:O30"/>
    <mergeCell ref="P30:U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CAE6EE"/>
  </sheetPr>
  <dimension ref="A1:O43"/>
  <sheetViews>
    <sheetView showGridLines="0" topLeftCell="A28" zoomScaleNormal="100" zoomScaleSheetLayoutView="100" workbookViewId="0">
      <selection activeCell="N37" sqref="N37"/>
    </sheetView>
  </sheetViews>
  <sheetFormatPr baseColWidth="10" defaultRowHeight="16.5"/>
  <cols>
    <col min="1" max="1" width="6.28515625" style="69" customWidth="1"/>
    <col min="2" max="2" width="27.28515625" style="69" customWidth="1"/>
    <col min="3" max="3" width="8.7109375" style="69" customWidth="1"/>
    <col min="4" max="4" width="10.5703125" style="69" customWidth="1"/>
    <col min="5" max="5" width="8.7109375" style="69" customWidth="1"/>
    <col min="6" max="6" width="10.140625" style="69" customWidth="1"/>
    <col min="7" max="7" width="8.7109375" style="69" customWidth="1"/>
    <col min="8" max="8" width="12.140625" style="69" bestFit="1" customWidth="1"/>
    <col min="9" max="9" width="8.7109375" style="69" customWidth="1"/>
    <col min="10" max="10" width="11.5703125" style="69" customWidth="1"/>
    <col min="11" max="11" width="12.42578125" style="69" customWidth="1"/>
    <col min="12" max="12" width="10.140625" style="69" customWidth="1"/>
    <col min="13" max="13" width="11.85546875" style="69" customWidth="1"/>
    <col min="14" max="14" width="11.42578125" style="69" customWidth="1"/>
    <col min="15" max="16384" width="11.42578125" style="69"/>
  </cols>
  <sheetData>
    <row r="1" spans="1:15" ht="40.5" customHeight="1">
      <c r="A1" s="241"/>
      <c r="B1" s="242"/>
      <c r="C1" s="242"/>
      <c r="D1" s="250" t="s">
        <v>250</v>
      </c>
      <c r="E1" s="250"/>
      <c r="F1" s="250"/>
      <c r="G1" s="250"/>
      <c r="H1" s="250"/>
      <c r="I1" s="250"/>
      <c r="J1" s="250"/>
      <c r="K1" s="250"/>
      <c r="L1" s="250"/>
      <c r="M1" s="247" t="s">
        <v>249</v>
      </c>
      <c r="N1" s="248"/>
      <c r="O1" s="249"/>
    </row>
    <row r="2" spans="1:15" ht="39" customHeight="1">
      <c r="A2" s="243"/>
      <c r="B2" s="244"/>
      <c r="C2" s="244"/>
      <c r="D2" s="250" t="s">
        <v>251</v>
      </c>
      <c r="E2" s="250"/>
      <c r="F2" s="250"/>
      <c r="G2" s="250"/>
      <c r="H2" s="250"/>
      <c r="I2" s="250" t="s">
        <v>252</v>
      </c>
      <c r="J2" s="250"/>
      <c r="K2" s="250"/>
      <c r="L2" s="250"/>
      <c r="M2" s="251" t="s">
        <v>53</v>
      </c>
      <c r="N2" s="252"/>
      <c r="O2" s="253"/>
    </row>
    <row r="3" spans="1:15" s="70" customFormat="1" ht="18" customHeight="1">
      <c r="A3" s="262" t="s">
        <v>169</v>
      </c>
      <c r="B3" s="263"/>
      <c r="C3" s="266" t="s">
        <v>163</v>
      </c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45" t="s">
        <v>175</v>
      </c>
    </row>
    <row r="4" spans="1:15" ht="26.25" customHeight="1" thickBot="1">
      <c r="A4" s="264"/>
      <c r="B4" s="265"/>
      <c r="C4" s="109" t="s">
        <v>60</v>
      </c>
      <c r="D4" s="109" t="s">
        <v>61</v>
      </c>
      <c r="E4" s="109" t="s">
        <v>62</v>
      </c>
      <c r="F4" s="109" t="s">
        <v>63</v>
      </c>
      <c r="G4" s="109" t="s">
        <v>64</v>
      </c>
      <c r="H4" s="109" t="s">
        <v>65</v>
      </c>
      <c r="I4" s="109" t="s">
        <v>66</v>
      </c>
      <c r="J4" s="109" t="s">
        <v>67</v>
      </c>
      <c r="K4" s="109" t="s">
        <v>68</v>
      </c>
      <c r="L4" s="109" t="s">
        <v>69</v>
      </c>
      <c r="M4" s="109" t="s">
        <v>70</v>
      </c>
      <c r="N4" s="109" t="s">
        <v>71</v>
      </c>
      <c r="O4" s="246"/>
    </row>
    <row r="5" spans="1:15">
      <c r="A5" s="267" t="s">
        <v>162</v>
      </c>
      <c r="B5" s="74" t="s">
        <v>143</v>
      </c>
      <c r="C5" s="75">
        <v>0</v>
      </c>
      <c r="D5" s="75">
        <v>0</v>
      </c>
      <c r="E5" s="237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99"/>
    </row>
    <row r="6" spans="1:15">
      <c r="A6" s="268"/>
      <c r="B6" s="72" t="s">
        <v>144</v>
      </c>
      <c r="C6" s="75">
        <v>0</v>
      </c>
      <c r="D6" s="75">
        <v>0</v>
      </c>
      <c r="E6" s="237">
        <v>0</v>
      </c>
      <c r="F6" s="75">
        <v>0</v>
      </c>
      <c r="G6" s="75">
        <v>0</v>
      </c>
      <c r="H6" s="75">
        <v>0</v>
      </c>
      <c r="I6" s="75">
        <v>0</v>
      </c>
      <c r="J6" s="71">
        <v>0</v>
      </c>
      <c r="K6" s="75">
        <v>0</v>
      </c>
      <c r="L6" s="75">
        <v>0</v>
      </c>
      <c r="M6" s="71">
        <v>0</v>
      </c>
      <c r="N6" s="71">
        <v>0</v>
      </c>
      <c r="O6" s="100"/>
    </row>
    <row r="7" spans="1:15">
      <c r="A7" s="268"/>
      <c r="B7" s="72" t="s">
        <v>145</v>
      </c>
      <c r="C7" s="75">
        <v>0</v>
      </c>
      <c r="D7" s="75">
        <v>0</v>
      </c>
      <c r="E7" s="237">
        <v>0</v>
      </c>
      <c r="F7" s="75">
        <v>0</v>
      </c>
      <c r="G7" s="75">
        <v>0</v>
      </c>
      <c r="H7" s="75">
        <v>0</v>
      </c>
      <c r="I7" s="75">
        <v>0</v>
      </c>
      <c r="J7" s="71">
        <v>0</v>
      </c>
      <c r="K7" s="75">
        <v>0</v>
      </c>
      <c r="L7" s="75">
        <v>0</v>
      </c>
      <c r="M7" s="71">
        <v>0</v>
      </c>
      <c r="N7" s="71">
        <v>0</v>
      </c>
      <c r="O7" s="100"/>
    </row>
    <row r="8" spans="1:15">
      <c r="A8" s="268"/>
      <c r="B8" s="72" t="s">
        <v>146</v>
      </c>
      <c r="C8" s="75">
        <v>0</v>
      </c>
      <c r="D8" s="75">
        <v>0</v>
      </c>
      <c r="E8" s="237">
        <v>0</v>
      </c>
      <c r="F8" s="75">
        <v>0</v>
      </c>
      <c r="G8" s="75">
        <v>0</v>
      </c>
      <c r="H8" s="75">
        <v>0</v>
      </c>
      <c r="I8" s="75">
        <v>0</v>
      </c>
      <c r="J8" s="71">
        <v>0</v>
      </c>
      <c r="K8" s="75">
        <v>0</v>
      </c>
      <c r="L8" s="75">
        <v>0</v>
      </c>
      <c r="M8" s="71">
        <v>0</v>
      </c>
      <c r="N8" s="71">
        <v>0</v>
      </c>
      <c r="O8" s="100"/>
    </row>
    <row r="9" spans="1:15">
      <c r="A9" s="268"/>
      <c r="B9" s="72" t="s">
        <v>147</v>
      </c>
      <c r="C9" s="75">
        <v>0</v>
      </c>
      <c r="D9" s="75">
        <v>0</v>
      </c>
      <c r="E9" s="237">
        <v>0</v>
      </c>
      <c r="F9" s="75">
        <v>0</v>
      </c>
      <c r="G9" s="75">
        <v>0</v>
      </c>
      <c r="H9" s="75">
        <v>0</v>
      </c>
      <c r="I9" s="75">
        <v>0</v>
      </c>
      <c r="J9" s="71">
        <v>0</v>
      </c>
      <c r="K9" s="75">
        <v>0</v>
      </c>
      <c r="L9" s="75">
        <v>0</v>
      </c>
      <c r="M9" s="71">
        <v>0</v>
      </c>
      <c r="N9" s="71">
        <v>0</v>
      </c>
      <c r="O9" s="100"/>
    </row>
    <row r="10" spans="1:15">
      <c r="A10" s="268"/>
      <c r="B10" s="72" t="s">
        <v>148</v>
      </c>
      <c r="C10" s="75">
        <v>0</v>
      </c>
      <c r="D10" s="75">
        <v>0</v>
      </c>
      <c r="E10" s="237">
        <v>0</v>
      </c>
      <c r="F10" s="75">
        <v>0</v>
      </c>
      <c r="G10" s="75">
        <v>0</v>
      </c>
      <c r="H10" s="75">
        <v>0</v>
      </c>
      <c r="I10" s="75">
        <v>0</v>
      </c>
      <c r="J10" s="71">
        <v>0</v>
      </c>
      <c r="K10" s="75">
        <v>0</v>
      </c>
      <c r="L10" s="75">
        <v>0</v>
      </c>
      <c r="M10" s="71">
        <v>0</v>
      </c>
      <c r="N10" s="71">
        <v>0</v>
      </c>
      <c r="O10" s="100"/>
    </row>
    <row r="11" spans="1:15">
      <c r="A11" s="268"/>
      <c r="B11" s="72" t="s">
        <v>149</v>
      </c>
      <c r="C11" s="75">
        <v>0</v>
      </c>
      <c r="D11" s="75">
        <v>0</v>
      </c>
      <c r="E11" s="237">
        <v>0</v>
      </c>
      <c r="F11" s="75">
        <v>0</v>
      </c>
      <c r="G11" s="75">
        <v>0</v>
      </c>
      <c r="H11" s="75">
        <v>0</v>
      </c>
      <c r="I11" s="75">
        <v>0</v>
      </c>
      <c r="J11" s="71">
        <v>0</v>
      </c>
      <c r="K11" s="75">
        <v>0</v>
      </c>
      <c r="L11" s="75">
        <v>0</v>
      </c>
      <c r="M11" s="71">
        <v>0</v>
      </c>
      <c r="N11" s="71">
        <v>0</v>
      </c>
      <c r="O11" s="100"/>
    </row>
    <row r="12" spans="1:15">
      <c r="A12" s="268"/>
      <c r="B12" s="72" t="s">
        <v>150</v>
      </c>
      <c r="C12" s="75">
        <v>0</v>
      </c>
      <c r="D12" s="75">
        <v>0</v>
      </c>
      <c r="E12" s="237">
        <v>0</v>
      </c>
      <c r="F12" s="75">
        <v>0</v>
      </c>
      <c r="G12" s="75">
        <v>0</v>
      </c>
      <c r="H12" s="75">
        <v>0</v>
      </c>
      <c r="I12" s="75">
        <v>0</v>
      </c>
      <c r="J12" s="71">
        <v>0</v>
      </c>
      <c r="K12" s="75">
        <v>0</v>
      </c>
      <c r="L12" s="75">
        <v>0</v>
      </c>
      <c r="M12" s="71">
        <v>0</v>
      </c>
      <c r="N12" s="71">
        <v>0</v>
      </c>
      <c r="O12" s="100"/>
    </row>
    <row r="13" spans="1:15">
      <c r="A13" s="268"/>
      <c r="B13" s="72" t="s">
        <v>151</v>
      </c>
      <c r="C13" s="75">
        <v>0</v>
      </c>
      <c r="D13" s="75">
        <v>0</v>
      </c>
      <c r="E13" s="237">
        <v>0</v>
      </c>
      <c r="F13" s="75">
        <v>0</v>
      </c>
      <c r="G13" s="75">
        <v>0</v>
      </c>
      <c r="H13" s="75">
        <v>0</v>
      </c>
      <c r="I13" s="75">
        <v>0</v>
      </c>
      <c r="J13" s="71">
        <v>0</v>
      </c>
      <c r="K13" s="75">
        <v>0</v>
      </c>
      <c r="L13" s="75">
        <v>0</v>
      </c>
      <c r="M13" s="71">
        <v>0</v>
      </c>
      <c r="N13" s="71">
        <v>0</v>
      </c>
      <c r="O13" s="100"/>
    </row>
    <row r="14" spans="1:15">
      <c r="A14" s="268"/>
      <c r="B14" s="72" t="s">
        <v>152</v>
      </c>
      <c r="C14" s="75">
        <v>0</v>
      </c>
      <c r="D14" s="75">
        <v>0</v>
      </c>
      <c r="E14" s="237">
        <v>0</v>
      </c>
      <c r="F14" s="75">
        <v>0</v>
      </c>
      <c r="G14" s="75">
        <v>0</v>
      </c>
      <c r="H14" s="75">
        <v>0</v>
      </c>
      <c r="I14" s="75">
        <v>0</v>
      </c>
      <c r="J14" s="71">
        <v>0</v>
      </c>
      <c r="K14" s="75">
        <v>0</v>
      </c>
      <c r="L14" s="75">
        <v>0</v>
      </c>
      <c r="M14" s="71">
        <v>0</v>
      </c>
      <c r="N14" s="71">
        <v>0</v>
      </c>
      <c r="O14" s="100"/>
    </row>
    <row r="15" spans="1:15">
      <c r="A15" s="268"/>
      <c r="B15" s="72" t="s">
        <v>153</v>
      </c>
      <c r="C15" s="75">
        <v>0</v>
      </c>
      <c r="D15" s="75">
        <v>0</v>
      </c>
      <c r="E15" s="237">
        <v>0</v>
      </c>
      <c r="F15" s="75">
        <v>0</v>
      </c>
      <c r="G15" s="75">
        <v>0</v>
      </c>
      <c r="H15" s="75">
        <v>0</v>
      </c>
      <c r="I15" s="75">
        <v>0</v>
      </c>
      <c r="J15" s="71">
        <v>0</v>
      </c>
      <c r="K15" s="75">
        <v>0</v>
      </c>
      <c r="L15" s="75">
        <v>0</v>
      </c>
      <c r="M15" s="71">
        <v>0</v>
      </c>
      <c r="N15" s="71">
        <v>0</v>
      </c>
      <c r="O15" s="100"/>
    </row>
    <row r="16" spans="1:15">
      <c r="A16" s="268"/>
      <c r="B16" s="72" t="s">
        <v>243</v>
      </c>
      <c r="C16" s="75">
        <v>0</v>
      </c>
      <c r="D16" s="75">
        <v>0</v>
      </c>
      <c r="E16" s="237">
        <v>0</v>
      </c>
      <c r="F16" s="71">
        <v>327</v>
      </c>
      <c r="G16" s="75">
        <v>0</v>
      </c>
      <c r="H16" s="75">
        <v>0</v>
      </c>
      <c r="I16" s="75">
        <v>0</v>
      </c>
      <c r="J16" s="71">
        <v>0</v>
      </c>
      <c r="K16" s="75">
        <v>0</v>
      </c>
      <c r="L16" s="75">
        <v>0</v>
      </c>
      <c r="M16" s="71">
        <v>0</v>
      </c>
      <c r="N16" s="71">
        <v>0</v>
      </c>
      <c r="O16" s="100"/>
    </row>
    <row r="17" spans="1:15">
      <c r="A17" s="268"/>
      <c r="B17" s="72" t="s">
        <v>154</v>
      </c>
      <c r="C17" s="75">
        <v>0</v>
      </c>
      <c r="D17" s="75">
        <v>0</v>
      </c>
      <c r="E17" s="237">
        <v>0</v>
      </c>
      <c r="F17" s="71">
        <v>0</v>
      </c>
      <c r="G17" s="75">
        <v>0</v>
      </c>
      <c r="H17" s="75">
        <v>0</v>
      </c>
      <c r="I17" s="75">
        <v>0</v>
      </c>
      <c r="J17" s="71">
        <v>0</v>
      </c>
      <c r="K17" s="75">
        <v>0</v>
      </c>
      <c r="L17" s="75">
        <v>0</v>
      </c>
      <c r="M17" s="71">
        <v>0</v>
      </c>
      <c r="N17" s="71">
        <v>0</v>
      </c>
      <c r="O17" s="100"/>
    </row>
    <row r="18" spans="1:15">
      <c r="A18" s="268"/>
      <c r="B18" s="72" t="s">
        <v>155</v>
      </c>
      <c r="C18" s="75">
        <v>0</v>
      </c>
      <c r="D18" s="75">
        <v>0</v>
      </c>
      <c r="E18" s="237">
        <v>0</v>
      </c>
      <c r="F18" s="71">
        <v>0</v>
      </c>
      <c r="G18" s="75">
        <v>0</v>
      </c>
      <c r="H18" s="75">
        <v>0</v>
      </c>
      <c r="I18" s="75">
        <v>0</v>
      </c>
      <c r="J18" s="71">
        <v>0</v>
      </c>
      <c r="K18" s="75">
        <v>0</v>
      </c>
      <c r="L18" s="75">
        <v>0</v>
      </c>
      <c r="M18" s="71">
        <v>0</v>
      </c>
      <c r="N18" s="71">
        <v>0</v>
      </c>
      <c r="O18" s="100"/>
    </row>
    <row r="19" spans="1:15">
      <c r="A19" s="268"/>
      <c r="B19" s="72" t="s">
        <v>156</v>
      </c>
      <c r="C19" s="75">
        <v>0</v>
      </c>
      <c r="D19" s="75">
        <v>0</v>
      </c>
      <c r="E19" s="237">
        <v>0</v>
      </c>
      <c r="F19" s="71">
        <v>0</v>
      </c>
      <c r="G19" s="75">
        <v>0</v>
      </c>
      <c r="H19" s="75">
        <v>0</v>
      </c>
      <c r="I19" s="75">
        <v>0</v>
      </c>
      <c r="J19" s="71">
        <v>0</v>
      </c>
      <c r="K19" s="75">
        <v>0</v>
      </c>
      <c r="L19" s="75">
        <v>0</v>
      </c>
      <c r="M19" s="71">
        <v>0</v>
      </c>
      <c r="N19" s="71">
        <v>0</v>
      </c>
      <c r="O19" s="100"/>
    </row>
    <row r="20" spans="1:15">
      <c r="A20" s="268"/>
      <c r="B20" s="72" t="s">
        <v>345</v>
      </c>
      <c r="C20" s="75">
        <v>0</v>
      </c>
      <c r="D20" s="75">
        <v>0</v>
      </c>
      <c r="E20" s="237">
        <v>0</v>
      </c>
      <c r="F20" s="71">
        <v>0</v>
      </c>
      <c r="G20" s="75">
        <v>0</v>
      </c>
      <c r="H20" s="75">
        <v>0</v>
      </c>
      <c r="I20" s="75">
        <v>0</v>
      </c>
      <c r="J20" s="71">
        <v>0</v>
      </c>
      <c r="K20" s="75">
        <v>0</v>
      </c>
      <c r="L20" s="75">
        <v>0</v>
      </c>
      <c r="M20" s="71">
        <v>0</v>
      </c>
      <c r="N20" s="71">
        <v>0</v>
      </c>
      <c r="O20" s="100"/>
    </row>
    <row r="21" spans="1:15">
      <c r="A21" s="268"/>
      <c r="B21" s="72" t="s">
        <v>157</v>
      </c>
      <c r="C21" s="75">
        <v>0</v>
      </c>
      <c r="D21" s="75">
        <v>0</v>
      </c>
      <c r="E21" s="237">
        <v>0</v>
      </c>
      <c r="F21" s="71">
        <v>149</v>
      </c>
      <c r="G21" s="75">
        <v>0</v>
      </c>
      <c r="H21" s="75">
        <v>0</v>
      </c>
      <c r="I21" s="75">
        <v>0</v>
      </c>
      <c r="J21" s="71">
        <v>29</v>
      </c>
      <c r="K21" s="75">
        <v>0</v>
      </c>
      <c r="L21" s="75">
        <v>0</v>
      </c>
      <c r="M21" s="71">
        <v>41</v>
      </c>
      <c r="N21" s="71">
        <v>0</v>
      </c>
      <c r="O21" s="100"/>
    </row>
    <row r="22" spans="1:15">
      <c r="A22" s="268"/>
      <c r="B22" s="73" t="s">
        <v>158</v>
      </c>
      <c r="C22" s="75">
        <v>0</v>
      </c>
      <c r="D22" s="75">
        <v>0</v>
      </c>
      <c r="E22" s="237">
        <v>0</v>
      </c>
      <c r="F22" s="71">
        <v>0</v>
      </c>
      <c r="G22" s="75">
        <v>0</v>
      </c>
      <c r="H22" s="75">
        <v>0</v>
      </c>
      <c r="I22" s="75">
        <v>0</v>
      </c>
      <c r="J22" s="71">
        <v>0</v>
      </c>
      <c r="K22" s="75">
        <v>0</v>
      </c>
      <c r="L22" s="75">
        <v>0</v>
      </c>
      <c r="M22" s="71">
        <v>0</v>
      </c>
      <c r="N22" s="71">
        <v>0</v>
      </c>
      <c r="O22" s="100"/>
    </row>
    <row r="23" spans="1:15">
      <c r="A23" s="268"/>
      <c r="B23" s="72" t="s">
        <v>159</v>
      </c>
      <c r="C23" s="75">
        <v>0</v>
      </c>
      <c r="D23" s="75">
        <v>0</v>
      </c>
      <c r="E23" s="237">
        <v>0</v>
      </c>
      <c r="F23" s="71">
        <v>0</v>
      </c>
      <c r="G23" s="75">
        <v>0</v>
      </c>
      <c r="H23" s="75">
        <v>0</v>
      </c>
      <c r="I23" s="75">
        <v>0</v>
      </c>
      <c r="J23" s="71">
        <v>0</v>
      </c>
      <c r="K23" s="75">
        <v>0</v>
      </c>
      <c r="L23" s="75">
        <v>0</v>
      </c>
      <c r="M23" s="71">
        <v>0</v>
      </c>
      <c r="N23" s="71">
        <v>0</v>
      </c>
      <c r="O23" s="100"/>
    </row>
    <row r="24" spans="1:15">
      <c r="A24" s="268"/>
      <c r="B24" s="72" t="s">
        <v>244</v>
      </c>
      <c r="C24" s="75">
        <v>0</v>
      </c>
      <c r="D24" s="75">
        <v>0</v>
      </c>
      <c r="E24" s="237">
        <v>0</v>
      </c>
      <c r="F24" s="71">
        <v>0</v>
      </c>
      <c r="G24" s="75">
        <v>0</v>
      </c>
      <c r="H24" s="75">
        <v>0</v>
      </c>
      <c r="I24" s="75">
        <v>0</v>
      </c>
      <c r="J24" s="71">
        <v>0</v>
      </c>
      <c r="K24" s="75">
        <v>0</v>
      </c>
      <c r="L24" s="75">
        <v>0</v>
      </c>
      <c r="M24" s="71">
        <v>0</v>
      </c>
      <c r="N24" s="71">
        <v>0</v>
      </c>
      <c r="O24" s="100"/>
    </row>
    <row r="25" spans="1:15">
      <c r="A25" s="268"/>
      <c r="B25" s="72" t="s">
        <v>160</v>
      </c>
      <c r="C25" s="75">
        <v>0</v>
      </c>
      <c r="D25" s="75">
        <v>0</v>
      </c>
      <c r="E25" s="237">
        <v>0</v>
      </c>
      <c r="F25" s="71">
        <v>0</v>
      </c>
      <c r="G25" s="75">
        <v>0</v>
      </c>
      <c r="H25" s="75">
        <v>0</v>
      </c>
      <c r="I25" s="75">
        <v>0</v>
      </c>
      <c r="J25" s="71">
        <v>6000</v>
      </c>
      <c r="K25" s="71">
        <v>802</v>
      </c>
      <c r="L25" s="75">
        <v>0</v>
      </c>
      <c r="M25" s="71">
        <v>2048</v>
      </c>
      <c r="N25" s="71">
        <v>3210</v>
      </c>
      <c r="O25" s="100"/>
    </row>
    <row r="26" spans="1:15" ht="17.25" thickBot="1">
      <c r="A26" s="269"/>
      <c r="B26" s="72" t="s">
        <v>161</v>
      </c>
      <c r="C26" s="75">
        <v>0</v>
      </c>
      <c r="D26" s="75">
        <v>0</v>
      </c>
      <c r="E26" s="237">
        <v>0</v>
      </c>
      <c r="F26" s="71">
        <v>0</v>
      </c>
      <c r="G26" s="75">
        <v>0</v>
      </c>
      <c r="H26" s="75">
        <v>0</v>
      </c>
      <c r="I26" s="75">
        <v>0</v>
      </c>
      <c r="J26" s="71">
        <v>0</v>
      </c>
      <c r="K26" s="71">
        <v>0</v>
      </c>
      <c r="L26" s="75">
        <v>0</v>
      </c>
      <c r="M26" s="71">
        <v>0</v>
      </c>
      <c r="N26" s="71">
        <v>0</v>
      </c>
      <c r="O26" s="100"/>
    </row>
    <row r="27" spans="1:15">
      <c r="A27" s="259" t="s">
        <v>168</v>
      </c>
      <c r="B27" s="72" t="s">
        <v>164</v>
      </c>
      <c r="C27" s="75">
        <v>0</v>
      </c>
      <c r="D27" s="75">
        <v>0</v>
      </c>
      <c r="E27" s="237">
        <v>0</v>
      </c>
      <c r="F27" s="71">
        <v>0</v>
      </c>
      <c r="G27" s="75">
        <v>0</v>
      </c>
      <c r="H27" s="75">
        <v>0</v>
      </c>
      <c r="I27" s="75">
        <v>0</v>
      </c>
      <c r="J27" s="71">
        <v>0</v>
      </c>
      <c r="K27" s="71">
        <v>0</v>
      </c>
      <c r="L27" s="75">
        <v>0</v>
      </c>
      <c r="M27" s="71">
        <v>0</v>
      </c>
      <c r="N27" s="71">
        <v>0</v>
      </c>
      <c r="O27" s="100"/>
    </row>
    <row r="28" spans="1:15">
      <c r="A28" s="260"/>
      <c r="B28" s="72" t="s">
        <v>165</v>
      </c>
      <c r="C28" s="75">
        <v>0</v>
      </c>
      <c r="D28" s="75">
        <v>0</v>
      </c>
      <c r="E28" s="237">
        <v>0</v>
      </c>
      <c r="F28" s="71">
        <v>0</v>
      </c>
      <c r="G28" s="75">
        <v>0</v>
      </c>
      <c r="H28" s="75">
        <v>0</v>
      </c>
      <c r="I28" s="75">
        <v>0</v>
      </c>
      <c r="J28" s="71">
        <v>0</v>
      </c>
      <c r="K28" s="71">
        <v>0</v>
      </c>
      <c r="L28" s="75">
        <v>0</v>
      </c>
      <c r="M28" s="71">
        <v>0</v>
      </c>
      <c r="N28" s="71">
        <v>0</v>
      </c>
      <c r="O28" s="100"/>
    </row>
    <row r="29" spans="1:15">
      <c r="A29" s="260"/>
      <c r="B29" s="72" t="s">
        <v>166</v>
      </c>
      <c r="C29" s="75">
        <v>0</v>
      </c>
      <c r="D29" s="75">
        <v>0</v>
      </c>
      <c r="E29" s="237">
        <v>0</v>
      </c>
      <c r="F29" s="71">
        <v>0</v>
      </c>
      <c r="G29" s="75">
        <v>0</v>
      </c>
      <c r="H29" s="75">
        <v>0</v>
      </c>
      <c r="I29" s="75">
        <v>0</v>
      </c>
      <c r="J29" s="71">
        <v>0</v>
      </c>
      <c r="K29" s="71">
        <v>0</v>
      </c>
      <c r="L29" s="75">
        <v>0</v>
      </c>
      <c r="M29" s="71">
        <v>0</v>
      </c>
      <c r="N29" s="71">
        <v>0</v>
      </c>
      <c r="O29" s="100"/>
    </row>
    <row r="30" spans="1:15">
      <c r="A30" s="260"/>
      <c r="B30" s="72" t="s">
        <v>344</v>
      </c>
      <c r="C30" s="75">
        <v>0</v>
      </c>
      <c r="D30" s="75">
        <v>0</v>
      </c>
      <c r="E30" s="237">
        <v>0</v>
      </c>
      <c r="F30" s="71">
        <v>0</v>
      </c>
      <c r="G30" s="75">
        <v>0</v>
      </c>
      <c r="H30" s="75">
        <v>0</v>
      </c>
      <c r="I30" s="75">
        <v>0</v>
      </c>
      <c r="J30" s="71">
        <v>0</v>
      </c>
      <c r="K30" s="71">
        <v>0</v>
      </c>
      <c r="L30" s="75">
        <v>0</v>
      </c>
      <c r="M30" s="71">
        <v>0</v>
      </c>
      <c r="N30" s="71">
        <v>0</v>
      </c>
      <c r="O30" s="100"/>
    </row>
    <row r="31" spans="1:15" ht="17.25" thickBot="1">
      <c r="A31" s="261"/>
      <c r="B31" s="72" t="s">
        <v>167</v>
      </c>
      <c r="C31" s="75">
        <v>0</v>
      </c>
      <c r="D31" s="75">
        <v>0</v>
      </c>
      <c r="E31" s="237">
        <v>0</v>
      </c>
      <c r="F31" s="71">
        <v>0</v>
      </c>
      <c r="G31" s="75">
        <v>0</v>
      </c>
      <c r="H31" s="75">
        <v>0</v>
      </c>
      <c r="I31" s="75">
        <v>0</v>
      </c>
      <c r="J31" s="71">
        <v>0</v>
      </c>
      <c r="K31" s="71">
        <v>0</v>
      </c>
      <c r="L31" s="75">
        <v>0</v>
      </c>
      <c r="M31" s="71">
        <v>0</v>
      </c>
      <c r="N31" s="71">
        <v>0</v>
      </c>
      <c r="O31" s="100"/>
    </row>
    <row r="32" spans="1:15">
      <c r="A32" s="257" t="s">
        <v>174</v>
      </c>
      <c r="B32" s="67" t="s">
        <v>170</v>
      </c>
      <c r="C32" s="75">
        <v>0</v>
      </c>
      <c r="D32" s="75">
        <v>0</v>
      </c>
      <c r="E32" s="237">
        <v>0</v>
      </c>
      <c r="F32" s="71">
        <v>0</v>
      </c>
      <c r="G32" s="75">
        <v>0</v>
      </c>
      <c r="H32" s="75">
        <v>0</v>
      </c>
      <c r="I32" s="75">
        <v>0</v>
      </c>
      <c r="J32" s="71">
        <v>0</v>
      </c>
      <c r="K32" s="71">
        <v>0</v>
      </c>
      <c r="L32" s="75">
        <v>0</v>
      </c>
      <c r="M32" s="71">
        <v>10</v>
      </c>
      <c r="N32" s="71">
        <v>0</v>
      </c>
      <c r="O32" s="100"/>
    </row>
    <row r="33" spans="1:15">
      <c r="A33" s="258"/>
      <c r="B33" s="65" t="s">
        <v>171</v>
      </c>
      <c r="C33" s="75">
        <v>0</v>
      </c>
      <c r="D33" s="75">
        <v>0</v>
      </c>
      <c r="E33" s="237">
        <v>0</v>
      </c>
      <c r="F33" s="71">
        <v>0</v>
      </c>
      <c r="G33" s="75">
        <v>0</v>
      </c>
      <c r="H33" s="75">
        <v>0</v>
      </c>
      <c r="I33" s="75">
        <v>0</v>
      </c>
      <c r="J33" s="71">
        <v>0</v>
      </c>
      <c r="K33" s="71">
        <v>0</v>
      </c>
      <c r="L33" s="75">
        <v>0</v>
      </c>
      <c r="M33" s="71">
        <v>5</v>
      </c>
      <c r="N33" s="71">
        <v>0</v>
      </c>
      <c r="O33" s="100"/>
    </row>
    <row r="34" spans="1:15">
      <c r="A34" s="258"/>
      <c r="B34" s="65" t="s">
        <v>172</v>
      </c>
      <c r="C34" s="75">
        <v>0</v>
      </c>
      <c r="D34" s="75">
        <v>0</v>
      </c>
      <c r="E34" s="237">
        <v>0</v>
      </c>
      <c r="F34" s="71">
        <v>0</v>
      </c>
      <c r="G34" s="75">
        <v>0</v>
      </c>
      <c r="H34" s="75">
        <v>0</v>
      </c>
      <c r="I34" s="75">
        <v>0</v>
      </c>
      <c r="J34" s="71">
        <v>0</v>
      </c>
      <c r="K34" s="71">
        <v>0</v>
      </c>
      <c r="L34" s="75">
        <v>0</v>
      </c>
      <c r="M34" s="71">
        <v>0</v>
      </c>
      <c r="N34" s="71">
        <v>0</v>
      </c>
      <c r="O34" s="100"/>
    </row>
    <row r="35" spans="1:15">
      <c r="A35" s="258"/>
      <c r="B35" s="65" t="s">
        <v>236</v>
      </c>
      <c r="C35" s="75">
        <v>0</v>
      </c>
      <c r="D35" s="75">
        <v>0</v>
      </c>
      <c r="E35" s="237">
        <v>0</v>
      </c>
      <c r="F35" s="71">
        <v>0</v>
      </c>
      <c r="G35" s="75">
        <v>0</v>
      </c>
      <c r="H35" s="75">
        <v>0</v>
      </c>
      <c r="I35" s="75">
        <v>0</v>
      </c>
      <c r="J35" s="71">
        <v>0</v>
      </c>
      <c r="K35" s="71">
        <v>0</v>
      </c>
      <c r="L35" s="75">
        <v>0</v>
      </c>
      <c r="M35" s="71">
        <v>0</v>
      </c>
      <c r="N35" s="71">
        <v>0</v>
      </c>
      <c r="O35" s="100"/>
    </row>
    <row r="36" spans="1:15">
      <c r="A36" s="258"/>
      <c r="B36" s="66" t="s">
        <v>173</v>
      </c>
      <c r="C36" s="75">
        <v>0</v>
      </c>
      <c r="D36" s="75">
        <v>0</v>
      </c>
      <c r="E36" s="237">
        <v>0</v>
      </c>
      <c r="F36" s="71">
        <v>0</v>
      </c>
      <c r="G36" s="75">
        <v>0</v>
      </c>
      <c r="H36" s="75">
        <v>0</v>
      </c>
      <c r="I36" s="75">
        <v>0</v>
      </c>
      <c r="J36" s="71">
        <v>0</v>
      </c>
      <c r="K36" s="71">
        <v>0</v>
      </c>
      <c r="L36" s="75">
        <v>0</v>
      </c>
      <c r="M36" s="71">
        <v>0</v>
      </c>
      <c r="N36" s="71">
        <v>0</v>
      </c>
      <c r="O36" s="100"/>
    </row>
    <row r="37" spans="1:15" ht="22.5" customHeight="1">
      <c r="A37" s="254" t="s">
        <v>176</v>
      </c>
      <c r="B37" s="110" t="s">
        <v>175</v>
      </c>
      <c r="C37" s="113">
        <f>SUM(C5:C36)</f>
        <v>0</v>
      </c>
      <c r="D37" s="113">
        <f>+D18+D19+D20+D32+D33</f>
        <v>0</v>
      </c>
      <c r="E37" s="113">
        <f t="shared" ref="E37:L37" si="0">SUM(E5:E36)</f>
        <v>0</v>
      </c>
      <c r="F37" s="113">
        <f>SUM(F5:F36)</f>
        <v>476</v>
      </c>
      <c r="G37" s="113">
        <f t="shared" si="0"/>
        <v>0</v>
      </c>
      <c r="H37" s="113">
        <f>SUM(H5:H29)</f>
        <v>0</v>
      </c>
      <c r="I37" s="113">
        <f t="shared" si="0"/>
        <v>0</v>
      </c>
      <c r="J37" s="113">
        <f>+J34+J23+J21+J15</f>
        <v>29</v>
      </c>
      <c r="K37" s="113">
        <v>0</v>
      </c>
      <c r="L37" s="113">
        <f t="shared" si="0"/>
        <v>0</v>
      </c>
      <c r="M37" s="113">
        <f>+M35+M23+M21+M7+M9+M19+M16</f>
        <v>41</v>
      </c>
      <c r="N37" s="113">
        <v>0</v>
      </c>
      <c r="O37" s="114">
        <f>SUM(C37:N37)</f>
        <v>546</v>
      </c>
    </row>
    <row r="38" spans="1:15">
      <c r="A38" s="255"/>
      <c r="B38" s="110" t="s">
        <v>178</v>
      </c>
      <c r="C38" s="71">
        <f>+'TON  MOV '!B4</f>
        <v>39344</v>
      </c>
      <c r="D38" s="147">
        <f>+'TON  MOV '!C4</f>
        <v>30364</v>
      </c>
      <c r="E38" s="71">
        <f>+'TON  MOV '!D4</f>
        <v>16913</v>
      </c>
      <c r="F38" s="71">
        <f>+'TON  MOV '!E4</f>
        <v>49992</v>
      </c>
      <c r="G38" s="71">
        <f>+'TON  MOV '!F4</f>
        <v>25073</v>
      </c>
      <c r="H38" s="71">
        <f>+'TON  MOV '!G4</f>
        <v>30744</v>
      </c>
      <c r="I38" s="71">
        <f>+'TON  MOV '!H4</f>
        <v>48048</v>
      </c>
      <c r="J38" s="71">
        <f>+'TON  MOV '!I4</f>
        <v>19802</v>
      </c>
      <c r="K38" s="71">
        <f>+'TON  MOV '!J4</f>
        <v>24843</v>
      </c>
      <c r="L38" s="71">
        <f>+'TON  MOV '!K4</f>
        <v>19737</v>
      </c>
      <c r="M38" s="71">
        <f>+'TON  MOV '!L4</f>
        <v>4968</v>
      </c>
      <c r="N38" s="71">
        <f>+'TON  MOV '!M4</f>
        <v>11201</v>
      </c>
      <c r="O38" s="100">
        <f>SUM(C38:N38)</f>
        <v>321029</v>
      </c>
    </row>
    <row r="39" spans="1:15">
      <c r="A39" s="255"/>
      <c r="B39" s="105" t="s">
        <v>179</v>
      </c>
      <c r="C39" s="189">
        <f>+C37/C38</f>
        <v>0</v>
      </c>
      <c r="D39" s="146">
        <f t="shared" ref="D39:M39" si="1">+D37/D38</f>
        <v>0</v>
      </c>
      <c r="E39" s="71">
        <f t="shared" si="1"/>
        <v>0</v>
      </c>
      <c r="F39" s="189">
        <f t="shared" si="1"/>
        <v>9.521523443751E-3</v>
      </c>
      <c r="G39" s="71">
        <f t="shared" si="1"/>
        <v>0</v>
      </c>
      <c r="H39" s="189">
        <f t="shared" si="1"/>
        <v>0</v>
      </c>
      <c r="I39" s="71">
        <f t="shared" si="1"/>
        <v>0</v>
      </c>
      <c r="J39" s="188">
        <f t="shared" si="1"/>
        <v>1.4644985355014644E-3</v>
      </c>
      <c r="K39" s="71">
        <f t="shared" si="1"/>
        <v>0</v>
      </c>
      <c r="L39" s="189">
        <f t="shared" si="1"/>
        <v>0</v>
      </c>
      <c r="M39" s="189">
        <f t="shared" si="1"/>
        <v>8.2528180354267313E-3</v>
      </c>
      <c r="N39" s="71">
        <f>+N37/N38</f>
        <v>0</v>
      </c>
      <c r="O39" s="199">
        <f>AVERAGE(C39:N39)</f>
        <v>1.6032366678899329E-3</v>
      </c>
    </row>
    <row r="40" spans="1:15">
      <c r="A40" s="255"/>
      <c r="B40" s="111" t="s">
        <v>180</v>
      </c>
      <c r="C40" s="71"/>
      <c r="D40" s="145">
        <v>589600</v>
      </c>
      <c r="E40" s="71"/>
      <c r="F40" s="145">
        <v>198000</v>
      </c>
      <c r="G40" s="71"/>
      <c r="H40" s="145">
        <v>1500480</v>
      </c>
      <c r="I40" s="71"/>
      <c r="J40" s="145">
        <v>955099</v>
      </c>
      <c r="K40" s="71"/>
      <c r="L40" s="145">
        <v>200000</v>
      </c>
      <c r="M40" s="145">
        <v>1805120</v>
      </c>
      <c r="N40" s="145">
        <v>518872</v>
      </c>
      <c r="O40" s="198">
        <f>SUM(C40:N40)</f>
        <v>5767171</v>
      </c>
    </row>
    <row r="41" spans="1:15">
      <c r="A41" s="255"/>
      <c r="B41" s="110" t="s">
        <v>182</v>
      </c>
      <c r="C41" s="71"/>
      <c r="D41" s="202" t="e">
        <f>+D40/D37</f>
        <v>#DIV/0!</v>
      </c>
      <c r="E41" s="71">
        <v>0</v>
      </c>
      <c r="F41" s="145">
        <f>+F40/F37</f>
        <v>415.96638655462186</v>
      </c>
      <c r="G41" s="71">
        <v>0</v>
      </c>
      <c r="H41" s="145" t="e">
        <f>+H40/(H37+H30)</f>
        <v>#DIV/0!</v>
      </c>
      <c r="I41" s="71">
        <v>0</v>
      </c>
      <c r="J41" s="201">
        <f>+J40/(J37+J30)</f>
        <v>32934.448275862072</v>
      </c>
      <c r="K41" s="71">
        <v>0</v>
      </c>
      <c r="L41" s="145" t="e">
        <f>+L40/L37</f>
        <v>#DIV/0!</v>
      </c>
      <c r="M41" s="145">
        <f>+M40/(M37+M30)</f>
        <v>44027.317073170729</v>
      </c>
      <c r="N41" s="145" t="e">
        <f>+N40/(N37+N30)</f>
        <v>#DIV/0!</v>
      </c>
      <c r="O41" s="200">
        <f>O40/(O37+O30)</f>
        <v>10562.58424908425</v>
      </c>
    </row>
    <row r="42" spans="1:15">
      <c r="A42" s="255"/>
      <c r="B42" s="111" t="s">
        <v>181</v>
      </c>
      <c r="C42" s="71">
        <f>+C40/C38</f>
        <v>0</v>
      </c>
      <c r="D42" s="146">
        <f>+D40/D38</f>
        <v>19.417731524173362</v>
      </c>
      <c r="E42" s="71">
        <f t="shared" ref="E42:O42" si="2">+E40/E38</f>
        <v>0</v>
      </c>
      <c r="F42" s="190">
        <f t="shared" si="2"/>
        <v>3.9606337013922226</v>
      </c>
      <c r="G42" s="71">
        <f t="shared" si="2"/>
        <v>0</v>
      </c>
      <c r="H42" s="190">
        <f t="shared" si="2"/>
        <v>48.805620608899297</v>
      </c>
      <c r="I42" s="71">
        <f t="shared" si="2"/>
        <v>0</v>
      </c>
      <c r="J42" s="190">
        <f t="shared" si="2"/>
        <v>48.232451267548733</v>
      </c>
      <c r="K42" s="71">
        <f t="shared" si="2"/>
        <v>0</v>
      </c>
      <c r="L42" s="190">
        <f t="shared" si="2"/>
        <v>10.133252267315195</v>
      </c>
      <c r="M42" s="190">
        <f t="shared" si="2"/>
        <v>363.34943639291464</v>
      </c>
      <c r="N42" s="71">
        <f t="shared" si="2"/>
        <v>46.323721096330686</v>
      </c>
      <c r="O42" s="100">
        <f t="shared" si="2"/>
        <v>17.964641823635869</v>
      </c>
    </row>
    <row r="43" spans="1:15" ht="33.75" thickBot="1">
      <c r="A43" s="256"/>
      <c r="B43" s="112" t="s">
        <v>364</v>
      </c>
      <c r="C43" s="101" t="str">
        <f>+IF(C37&lt;=500,"CUMPLE","NO CUMPLE")</f>
        <v>CUMPLE</v>
      </c>
      <c r="D43" s="101" t="str">
        <f t="shared" ref="D43:N43" si="3">+IF(D37&lt;=500,"CUMPLE","NO CUMPLE")</f>
        <v>CUMPLE</v>
      </c>
      <c r="E43" s="101" t="str">
        <f t="shared" si="3"/>
        <v>CUMPLE</v>
      </c>
      <c r="F43" s="101" t="str">
        <f t="shared" si="3"/>
        <v>CUMPLE</v>
      </c>
      <c r="G43" s="101" t="str">
        <f t="shared" si="3"/>
        <v>CUMPLE</v>
      </c>
      <c r="H43" s="101" t="str">
        <f t="shared" si="3"/>
        <v>CUMPLE</v>
      </c>
      <c r="I43" s="101" t="str">
        <f t="shared" si="3"/>
        <v>CUMPLE</v>
      </c>
      <c r="J43" s="101" t="str">
        <f t="shared" si="3"/>
        <v>CUMPLE</v>
      </c>
      <c r="K43" s="101" t="str">
        <f t="shared" si="3"/>
        <v>CUMPLE</v>
      </c>
      <c r="L43" s="101" t="str">
        <f t="shared" si="3"/>
        <v>CUMPLE</v>
      </c>
      <c r="M43" s="101" t="str">
        <f t="shared" si="3"/>
        <v>CUMPLE</v>
      </c>
      <c r="N43" s="101" t="str">
        <f t="shared" si="3"/>
        <v>CUMPLE</v>
      </c>
      <c r="O43" s="102" t="s">
        <v>350</v>
      </c>
    </row>
  </sheetData>
  <mergeCells count="13">
    <mergeCell ref="A37:A43"/>
    <mergeCell ref="A32:A36"/>
    <mergeCell ref="A27:A31"/>
    <mergeCell ref="A3:B4"/>
    <mergeCell ref="C3:N3"/>
    <mergeCell ref="A5:A26"/>
    <mergeCell ref="A1:C2"/>
    <mergeCell ref="O3:O4"/>
    <mergeCell ref="M1:O1"/>
    <mergeCell ref="D1:L1"/>
    <mergeCell ref="D2:H2"/>
    <mergeCell ref="I2:L2"/>
    <mergeCell ref="M2:O2"/>
  </mergeCells>
  <conditionalFormatting sqref="C43:N43">
    <cfRule type="containsText" dxfId="263" priority="3" operator="containsText" text="NO CUMPLE">
      <formula>NOT(ISERROR(SEARCH("NO CUMPLE",C43)))</formula>
    </cfRule>
    <cfRule type="containsText" dxfId="262" priority="4" operator="containsText" text="CUMPLE">
      <formula>NOT(ISERROR(SEARCH("CUMPLE",C43)))</formula>
    </cfRule>
  </conditionalFormatting>
  <pageMargins left="0.7" right="0.7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181"/>
  <sheetViews>
    <sheetView showGridLines="0" topLeftCell="A124" zoomScale="85" zoomScaleNormal="85" zoomScaleSheetLayoutView="85" workbookViewId="0">
      <selection activeCell="L186" sqref="L186"/>
    </sheetView>
  </sheetViews>
  <sheetFormatPr baseColWidth="10" defaultRowHeight="15"/>
  <sheetData>
    <row r="1" spans="1:18" ht="51" customHeight="1" thickBot="1">
      <c r="A1" s="279" t="s">
        <v>183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1"/>
    </row>
    <row r="2" spans="1:18">
      <c r="A2" s="270"/>
      <c r="B2" s="271"/>
      <c r="C2" s="271"/>
      <c r="D2" s="271"/>
      <c r="E2" s="271"/>
      <c r="F2" s="272"/>
      <c r="G2" s="270"/>
      <c r="H2" s="271"/>
      <c r="I2" s="271"/>
      <c r="J2" s="271"/>
      <c r="K2" s="271"/>
      <c r="L2" s="272"/>
      <c r="M2" s="270"/>
      <c r="N2" s="271"/>
      <c r="O2" s="271"/>
      <c r="P2" s="271"/>
      <c r="Q2" s="271"/>
      <c r="R2" s="272"/>
    </row>
    <row r="3" spans="1:18">
      <c r="A3" s="273"/>
      <c r="B3" s="274"/>
      <c r="C3" s="274"/>
      <c r="D3" s="274"/>
      <c r="E3" s="274"/>
      <c r="F3" s="275"/>
      <c r="G3" s="273"/>
      <c r="H3" s="274"/>
      <c r="I3" s="274"/>
      <c r="J3" s="274"/>
      <c r="K3" s="274"/>
      <c r="L3" s="275"/>
      <c r="M3" s="273"/>
      <c r="N3" s="274"/>
      <c r="O3" s="274"/>
      <c r="P3" s="274"/>
      <c r="Q3" s="274"/>
      <c r="R3" s="275"/>
    </row>
    <row r="4" spans="1:18">
      <c r="A4" s="273"/>
      <c r="B4" s="274"/>
      <c r="C4" s="274"/>
      <c r="D4" s="274"/>
      <c r="E4" s="274"/>
      <c r="F4" s="275"/>
      <c r="G4" s="273"/>
      <c r="H4" s="274"/>
      <c r="I4" s="274"/>
      <c r="J4" s="274"/>
      <c r="K4" s="274"/>
      <c r="L4" s="275"/>
      <c r="M4" s="273"/>
      <c r="N4" s="274"/>
      <c r="O4" s="274"/>
      <c r="P4" s="274"/>
      <c r="Q4" s="274"/>
      <c r="R4" s="275"/>
    </row>
    <row r="5" spans="1:18">
      <c r="A5" s="273"/>
      <c r="B5" s="274"/>
      <c r="C5" s="274"/>
      <c r="D5" s="274"/>
      <c r="E5" s="274"/>
      <c r="F5" s="275"/>
      <c r="G5" s="273"/>
      <c r="H5" s="274"/>
      <c r="I5" s="274"/>
      <c r="J5" s="274"/>
      <c r="K5" s="274"/>
      <c r="L5" s="275"/>
      <c r="M5" s="273"/>
      <c r="N5" s="274"/>
      <c r="O5" s="274"/>
      <c r="P5" s="274"/>
      <c r="Q5" s="274"/>
      <c r="R5" s="275"/>
    </row>
    <row r="6" spans="1:18">
      <c r="A6" s="273"/>
      <c r="B6" s="274"/>
      <c r="C6" s="274"/>
      <c r="D6" s="274"/>
      <c r="E6" s="274"/>
      <c r="F6" s="275"/>
      <c r="G6" s="273"/>
      <c r="H6" s="274"/>
      <c r="I6" s="274"/>
      <c r="J6" s="274"/>
      <c r="K6" s="274"/>
      <c r="L6" s="275"/>
      <c r="M6" s="273"/>
      <c r="N6" s="274"/>
      <c r="O6" s="274"/>
      <c r="P6" s="274"/>
      <c r="Q6" s="274"/>
      <c r="R6" s="275"/>
    </row>
    <row r="7" spans="1:18">
      <c r="A7" s="273"/>
      <c r="B7" s="274"/>
      <c r="C7" s="274"/>
      <c r="D7" s="274"/>
      <c r="E7" s="274"/>
      <c r="F7" s="275"/>
      <c r="G7" s="273"/>
      <c r="H7" s="274"/>
      <c r="I7" s="274"/>
      <c r="J7" s="274"/>
      <c r="K7" s="274"/>
      <c r="L7" s="275"/>
      <c r="M7" s="273"/>
      <c r="N7" s="274"/>
      <c r="O7" s="274"/>
      <c r="P7" s="274"/>
      <c r="Q7" s="274"/>
      <c r="R7" s="275"/>
    </row>
    <row r="8" spans="1:18">
      <c r="A8" s="273"/>
      <c r="B8" s="274"/>
      <c r="C8" s="274"/>
      <c r="D8" s="274"/>
      <c r="E8" s="274"/>
      <c r="F8" s="275"/>
      <c r="G8" s="273"/>
      <c r="H8" s="274"/>
      <c r="I8" s="274"/>
      <c r="J8" s="274"/>
      <c r="K8" s="274"/>
      <c r="L8" s="275"/>
      <c r="M8" s="273"/>
      <c r="N8" s="274"/>
      <c r="O8" s="274"/>
      <c r="P8" s="274"/>
      <c r="Q8" s="274"/>
      <c r="R8" s="275"/>
    </row>
    <row r="9" spans="1:18">
      <c r="A9" s="273"/>
      <c r="B9" s="274"/>
      <c r="C9" s="274"/>
      <c r="D9" s="274"/>
      <c r="E9" s="274"/>
      <c r="F9" s="275"/>
      <c r="G9" s="273"/>
      <c r="H9" s="274"/>
      <c r="I9" s="274"/>
      <c r="J9" s="274"/>
      <c r="K9" s="274"/>
      <c r="L9" s="275"/>
      <c r="M9" s="273"/>
      <c r="N9" s="274"/>
      <c r="O9" s="274"/>
      <c r="P9" s="274"/>
      <c r="Q9" s="274"/>
      <c r="R9" s="275"/>
    </row>
    <row r="10" spans="1:18">
      <c r="A10" s="273"/>
      <c r="B10" s="274"/>
      <c r="C10" s="274"/>
      <c r="D10" s="274"/>
      <c r="E10" s="274"/>
      <c r="F10" s="275"/>
      <c r="G10" s="273"/>
      <c r="H10" s="274"/>
      <c r="I10" s="274"/>
      <c r="J10" s="274"/>
      <c r="K10" s="274"/>
      <c r="L10" s="275"/>
      <c r="M10" s="273"/>
      <c r="N10" s="274"/>
      <c r="O10" s="274"/>
      <c r="P10" s="274"/>
      <c r="Q10" s="274"/>
      <c r="R10" s="275"/>
    </row>
    <row r="11" spans="1:18">
      <c r="A11" s="273"/>
      <c r="B11" s="274"/>
      <c r="C11" s="274"/>
      <c r="D11" s="274"/>
      <c r="E11" s="274"/>
      <c r="F11" s="275"/>
      <c r="G11" s="273"/>
      <c r="H11" s="274"/>
      <c r="I11" s="274"/>
      <c r="J11" s="274"/>
      <c r="K11" s="274"/>
      <c r="L11" s="275"/>
      <c r="M11" s="273"/>
      <c r="N11" s="274"/>
      <c r="O11" s="274"/>
      <c r="P11" s="274"/>
      <c r="Q11" s="274"/>
      <c r="R11" s="275"/>
    </row>
    <row r="12" spans="1:18">
      <c r="A12" s="273"/>
      <c r="B12" s="274"/>
      <c r="C12" s="274"/>
      <c r="D12" s="274"/>
      <c r="E12" s="274"/>
      <c r="F12" s="275"/>
      <c r="G12" s="273"/>
      <c r="H12" s="274"/>
      <c r="I12" s="274"/>
      <c r="J12" s="274"/>
      <c r="K12" s="274"/>
      <c r="L12" s="275"/>
      <c r="M12" s="273"/>
      <c r="N12" s="274"/>
      <c r="O12" s="274"/>
      <c r="P12" s="274"/>
      <c r="Q12" s="274"/>
      <c r="R12" s="275"/>
    </row>
    <row r="13" spans="1:18">
      <c r="A13" s="273"/>
      <c r="B13" s="274"/>
      <c r="C13" s="274"/>
      <c r="D13" s="274"/>
      <c r="E13" s="274"/>
      <c r="F13" s="275"/>
      <c r="G13" s="273"/>
      <c r="H13" s="274"/>
      <c r="I13" s="274"/>
      <c r="J13" s="274"/>
      <c r="K13" s="274"/>
      <c r="L13" s="275"/>
      <c r="M13" s="273"/>
      <c r="N13" s="274"/>
      <c r="O13" s="274"/>
      <c r="P13" s="274"/>
      <c r="Q13" s="274"/>
      <c r="R13" s="275"/>
    </row>
    <row r="14" spans="1:18">
      <c r="A14" s="273"/>
      <c r="B14" s="274"/>
      <c r="C14" s="274"/>
      <c r="D14" s="274"/>
      <c r="E14" s="274"/>
      <c r="F14" s="275"/>
      <c r="G14" s="273"/>
      <c r="H14" s="274"/>
      <c r="I14" s="274"/>
      <c r="J14" s="274"/>
      <c r="K14" s="274"/>
      <c r="L14" s="275"/>
      <c r="M14" s="273"/>
      <c r="N14" s="274"/>
      <c r="O14" s="274"/>
      <c r="P14" s="274"/>
      <c r="Q14" s="274"/>
      <c r="R14" s="275"/>
    </row>
    <row r="15" spans="1:18">
      <c r="A15" s="273"/>
      <c r="B15" s="274"/>
      <c r="C15" s="274"/>
      <c r="D15" s="274"/>
      <c r="E15" s="274"/>
      <c r="F15" s="275"/>
      <c r="G15" s="273"/>
      <c r="H15" s="274"/>
      <c r="I15" s="274"/>
      <c r="J15" s="274"/>
      <c r="K15" s="274"/>
      <c r="L15" s="275"/>
      <c r="M15" s="273"/>
      <c r="N15" s="274"/>
      <c r="O15" s="274"/>
      <c r="P15" s="274"/>
      <c r="Q15" s="274"/>
      <c r="R15" s="275"/>
    </row>
    <row r="16" spans="1:18" ht="15.75" thickBot="1">
      <c r="A16" s="276"/>
      <c r="B16" s="277"/>
      <c r="C16" s="277"/>
      <c r="D16" s="277"/>
      <c r="E16" s="277"/>
      <c r="F16" s="278"/>
      <c r="G16" s="276"/>
      <c r="H16" s="277"/>
      <c r="I16" s="277"/>
      <c r="J16" s="277"/>
      <c r="K16" s="277"/>
      <c r="L16" s="278"/>
      <c r="M16" s="276"/>
      <c r="N16" s="277"/>
      <c r="O16" s="277"/>
      <c r="P16" s="277"/>
      <c r="Q16" s="277"/>
      <c r="R16" s="278"/>
    </row>
    <row r="17" spans="1:18">
      <c r="A17" s="270"/>
      <c r="B17" s="271"/>
      <c r="C17" s="271"/>
      <c r="D17" s="271"/>
      <c r="E17" s="271"/>
      <c r="F17" s="272"/>
      <c r="G17" s="270"/>
      <c r="H17" s="271"/>
      <c r="I17" s="271"/>
      <c r="J17" s="271"/>
      <c r="K17" s="271"/>
      <c r="L17" s="272"/>
      <c r="M17" s="270"/>
      <c r="N17" s="271"/>
      <c r="O17" s="271"/>
      <c r="P17" s="271"/>
      <c r="Q17" s="271"/>
      <c r="R17" s="272"/>
    </row>
    <row r="18" spans="1:18">
      <c r="A18" s="273"/>
      <c r="B18" s="274"/>
      <c r="C18" s="274"/>
      <c r="D18" s="274"/>
      <c r="E18" s="274"/>
      <c r="F18" s="275"/>
      <c r="G18" s="273"/>
      <c r="H18" s="274"/>
      <c r="I18" s="274"/>
      <c r="J18" s="274"/>
      <c r="K18" s="274"/>
      <c r="L18" s="275"/>
      <c r="M18" s="273"/>
      <c r="N18" s="274"/>
      <c r="O18" s="274"/>
      <c r="P18" s="274"/>
      <c r="Q18" s="274"/>
      <c r="R18" s="275"/>
    </row>
    <row r="19" spans="1:18">
      <c r="A19" s="273"/>
      <c r="B19" s="274"/>
      <c r="C19" s="274"/>
      <c r="D19" s="274"/>
      <c r="E19" s="274"/>
      <c r="F19" s="275"/>
      <c r="G19" s="273"/>
      <c r="H19" s="274"/>
      <c r="I19" s="274"/>
      <c r="J19" s="274"/>
      <c r="K19" s="274"/>
      <c r="L19" s="275"/>
      <c r="M19" s="273"/>
      <c r="N19" s="274"/>
      <c r="O19" s="274"/>
      <c r="P19" s="274"/>
      <c r="Q19" s="274"/>
      <c r="R19" s="275"/>
    </row>
    <row r="20" spans="1:18">
      <c r="A20" s="273"/>
      <c r="B20" s="274"/>
      <c r="C20" s="274"/>
      <c r="D20" s="274"/>
      <c r="E20" s="274"/>
      <c r="F20" s="275"/>
      <c r="G20" s="273"/>
      <c r="H20" s="274"/>
      <c r="I20" s="274"/>
      <c r="J20" s="274"/>
      <c r="K20" s="274"/>
      <c r="L20" s="275"/>
      <c r="M20" s="273"/>
      <c r="N20" s="274"/>
      <c r="O20" s="274"/>
      <c r="P20" s="274"/>
      <c r="Q20" s="274"/>
      <c r="R20" s="275"/>
    </row>
    <row r="21" spans="1:18">
      <c r="A21" s="273"/>
      <c r="B21" s="274"/>
      <c r="C21" s="274"/>
      <c r="D21" s="274"/>
      <c r="E21" s="274"/>
      <c r="F21" s="275"/>
      <c r="G21" s="273"/>
      <c r="H21" s="274"/>
      <c r="I21" s="274"/>
      <c r="J21" s="274"/>
      <c r="K21" s="274"/>
      <c r="L21" s="275"/>
      <c r="M21" s="273"/>
      <c r="N21" s="274"/>
      <c r="O21" s="274"/>
      <c r="P21" s="274"/>
      <c r="Q21" s="274"/>
      <c r="R21" s="275"/>
    </row>
    <row r="22" spans="1:18">
      <c r="A22" s="273"/>
      <c r="B22" s="274"/>
      <c r="C22" s="274"/>
      <c r="D22" s="274"/>
      <c r="E22" s="274"/>
      <c r="F22" s="275"/>
      <c r="G22" s="273"/>
      <c r="H22" s="274"/>
      <c r="I22" s="274"/>
      <c r="J22" s="274"/>
      <c r="K22" s="274"/>
      <c r="L22" s="275"/>
      <c r="M22" s="273"/>
      <c r="N22" s="274"/>
      <c r="O22" s="274"/>
      <c r="P22" s="274"/>
      <c r="Q22" s="274"/>
      <c r="R22" s="275"/>
    </row>
    <row r="23" spans="1:18">
      <c r="A23" s="273"/>
      <c r="B23" s="274"/>
      <c r="C23" s="274"/>
      <c r="D23" s="274"/>
      <c r="E23" s="274"/>
      <c r="F23" s="275"/>
      <c r="G23" s="273"/>
      <c r="H23" s="274"/>
      <c r="I23" s="274"/>
      <c r="J23" s="274"/>
      <c r="K23" s="274"/>
      <c r="L23" s="275"/>
      <c r="M23" s="273"/>
      <c r="N23" s="274"/>
      <c r="O23" s="274"/>
      <c r="P23" s="274"/>
      <c r="Q23" s="274"/>
      <c r="R23" s="275"/>
    </row>
    <row r="24" spans="1:18">
      <c r="A24" s="273"/>
      <c r="B24" s="274"/>
      <c r="C24" s="274"/>
      <c r="D24" s="274"/>
      <c r="E24" s="274"/>
      <c r="F24" s="275"/>
      <c r="G24" s="273"/>
      <c r="H24" s="274"/>
      <c r="I24" s="274"/>
      <c r="J24" s="274"/>
      <c r="K24" s="274"/>
      <c r="L24" s="275"/>
      <c r="M24" s="273"/>
      <c r="N24" s="274"/>
      <c r="O24" s="274"/>
      <c r="P24" s="274"/>
      <c r="Q24" s="274"/>
      <c r="R24" s="275"/>
    </row>
    <row r="25" spans="1:18">
      <c r="A25" s="273"/>
      <c r="B25" s="274"/>
      <c r="C25" s="274"/>
      <c r="D25" s="274"/>
      <c r="E25" s="274"/>
      <c r="F25" s="275"/>
      <c r="G25" s="273"/>
      <c r="H25" s="274"/>
      <c r="I25" s="274"/>
      <c r="J25" s="274"/>
      <c r="K25" s="274"/>
      <c r="L25" s="275"/>
      <c r="M25" s="273"/>
      <c r="N25" s="274"/>
      <c r="O25" s="274"/>
      <c r="P25" s="274"/>
      <c r="Q25" s="274"/>
      <c r="R25" s="275"/>
    </row>
    <row r="26" spans="1:18">
      <c r="A26" s="273"/>
      <c r="B26" s="274"/>
      <c r="C26" s="274"/>
      <c r="D26" s="274"/>
      <c r="E26" s="274"/>
      <c r="F26" s="275"/>
      <c r="G26" s="273"/>
      <c r="H26" s="274"/>
      <c r="I26" s="274"/>
      <c r="J26" s="274"/>
      <c r="K26" s="274"/>
      <c r="L26" s="275"/>
      <c r="M26" s="273"/>
      <c r="N26" s="274"/>
      <c r="O26" s="274"/>
      <c r="P26" s="274"/>
      <c r="Q26" s="274"/>
      <c r="R26" s="275"/>
    </row>
    <row r="27" spans="1:18">
      <c r="A27" s="273"/>
      <c r="B27" s="274"/>
      <c r="C27" s="274"/>
      <c r="D27" s="274"/>
      <c r="E27" s="274"/>
      <c r="F27" s="275"/>
      <c r="G27" s="273"/>
      <c r="H27" s="274"/>
      <c r="I27" s="274"/>
      <c r="J27" s="274"/>
      <c r="K27" s="274"/>
      <c r="L27" s="275"/>
      <c r="M27" s="273"/>
      <c r="N27" s="274"/>
      <c r="O27" s="274"/>
      <c r="P27" s="274"/>
      <c r="Q27" s="274"/>
      <c r="R27" s="275"/>
    </row>
    <row r="28" spans="1:18">
      <c r="A28" s="273"/>
      <c r="B28" s="274"/>
      <c r="C28" s="274"/>
      <c r="D28" s="274"/>
      <c r="E28" s="274"/>
      <c r="F28" s="275"/>
      <c r="G28" s="273"/>
      <c r="H28" s="274"/>
      <c r="I28" s="274"/>
      <c r="J28" s="274"/>
      <c r="K28" s="274"/>
      <c r="L28" s="275"/>
      <c r="M28" s="273"/>
      <c r="N28" s="274"/>
      <c r="O28" s="274"/>
      <c r="P28" s="274"/>
      <c r="Q28" s="274"/>
      <c r="R28" s="275"/>
    </row>
    <row r="29" spans="1:18">
      <c r="A29" s="273"/>
      <c r="B29" s="274"/>
      <c r="C29" s="274"/>
      <c r="D29" s="274"/>
      <c r="E29" s="274"/>
      <c r="F29" s="275"/>
      <c r="G29" s="273"/>
      <c r="H29" s="274"/>
      <c r="I29" s="274"/>
      <c r="J29" s="274"/>
      <c r="K29" s="274"/>
      <c r="L29" s="275"/>
      <c r="M29" s="273"/>
      <c r="N29" s="274"/>
      <c r="O29" s="274"/>
      <c r="P29" s="274"/>
      <c r="Q29" s="274"/>
      <c r="R29" s="275"/>
    </row>
    <row r="30" spans="1:18">
      <c r="A30" s="273"/>
      <c r="B30" s="274"/>
      <c r="C30" s="274"/>
      <c r="D30" s="274"/>
      <c r="E30" s="274"/>
      <c r="F30" s="275"/>
      <c r="G30" s="273"/>
      <c r="H30" s="274"/>
      <c r="I30" s="274"/>
      <c r="J30" s="274"/>
      <c r="K30" s="274"/>
      <c r="L30" s="275"/>
      <c r="M30" s="273"/>
      <c r="N30" s="274"/>
      <c r="O30" s="274"/>
      <c r="P30" s="274"/>
      <c r="Q30" s="274"/>
      <c r="R30" s="275"/>
    </row>
    <row r="31" spans="1:18" ht="15.75" thickBot="1">
      <c r="A31" s="276"/>
      <c r="B31" s="277"/>
      <c r="C31" s="277"/>
      <c r="D31" s="277"/>
      <c r="E31" s="277"/>
      <c r="F31" s="278"/>
      <c r="G31" s="276"/>
      <c r="H31" s="277"/>
      <c r="I31" s="277"/>
      <c r="J31" s="277"/>
      <c r="K31" s="277"/>
      <c r="L31" s="278"/>
      <c r="M31" s="276"/>
      <c r="N31" s="277"/>
      <c r="O31" s="277"/>
      <c r="P31" s="277"/>
      <c r="Q31" s="277"/>
      <c r="R31" s="278"/>
    </row>
    <row r="32" spans="1:18">
      <c r="A32" s="270"/>
      <c r="B32" s="271"/>
      <c r="C32" s="271"/>
      <c r="D32" s="271"/>
      <c r="E32" s="271"/>
      <c r="F32" s="272"/>
      <c r="G32" s="270"/>
      <c r="H32" s="271"/>
      <c r="I32" s="271"/>
      <c r="J32" s="271"/>
      <c r="K32" s="271"/>
      <c r="L32" s="272"/>
      <c r="M32" s="270"/>
      <c r="N32" s="271"/>
      <c r="O32" s="271"/>
      <c r="P32" s="271"/>
      <c r="Q32" s="271"/>
      <c r="R32" s="272"/>
    </row>
    <row r="33" spans="1:18">
      <c r="A33" s="273"/>
      <c r="B33" s="274"/>
      <c r="C33" s="274"/>
      <c r="D33" s="274"/>
      <c r="E33" s="274"/>
      <c r="F33" s="275"/>
      <c r="G33" s="273"/>
      <c r="H33" s="274"/>
      <c r="I33" s="274"/>
      <c r="J33" s="274"/>
      <c r="K33" s="274"/>
      <c r="L33" s="275"/>
      <c r="M33" s="273"/>
      <c r="N33" s="274"/>
      <c r="O33" s="274"/>
      <c r="P33" s="274"/>
      <c r="Q33" s="274"/>
      <c r="R33" s="275"/>
    </row>
    <row r="34" spans="1:18">
      <c r="A34" s="273"/>
      <c r="B34" s="274"/>
      <c r="C34" s="274"/>
      <c r="D34" s="274"/>
      <c r="E34" s="274"/>
      <c r="F34" s="275"/>
      <c r="G34" s="273"/>
      <c r="H34" s="274"/>
      <c r="I34" s="274"/>
      <c r="J34" s="274"/>
      <c r="K34" s="274"/>
      <c r="L34" s="275"/>
      <c r="M34" s="273"/>
      <c r="N34" s="274"/>
      <c r="O34" s="274"/>
      <c r="P34" s="274"/>
      <c r="Q34" s="274"/>
      <c r="R34" s="275"/>
    </row>
    <row r="35" spans="1:18">
      <c r="A35" s="273"/>
      <c r="B35" s="274"/>
      <c r="C35" s="274"/>
      <c r="D35" s="274"/>
      <c r="E35" s="274"/>
      <c r="F35" s="275"/>
      <c r="G35" s="273"/>
      <c r="H35" s="274"/>
      <c r="I35" s="274"/>
      <c r="J35" s="274"/>
      <c r="K35" s="274"/>
      <c r="L35" s="275"/>
      <c r="M35" s="273"/>
      <c r="N35" s="274"/>
      <c r="O35" s="274"/>
      <c r="P35" s="274"/>
      <c r="Q35" s="274"/>
      <c r="R35" s="275"/>
    </row>
    <row r="36" spans="1:18">
      <c r="A36" s="273"/>
      <c r="B36" s="274"/>
      <c r="C36" s="274"/>
      <c r="D36" s="274"/>
      <c r="E36" s="274"/>
      <c r="F36" s="275"/>
      <c r="G36" s="273"/>
      <c r="H36" s="274"/>
      <c r="I36" s="274"/>
      <c r="J36" s="274"/>
      <c r="K36" s="274"/>
      <c r="L36" s="275"/>
      <c r="M36" s="273"/>
      <c r="N36" s="274"/>
      <c r="O36" s="274"/>
      <c r="P36" s="274"/>
      <c r="Q36" s="274"/>
      <c r="R36" s="275"/>
    </row>
    <row r="37" spans="1:18">
      <c r="A37" s="273"/>
      <c r="B37" s="274"/>
      <c r="C37" s="274"/>
      <c r="D37" s="274"/>
      <c r="E37" s="274"/>
      <c r="F37" s="275"/>
      <c r="G37" s="273"/>
      <c r="H37" s="274"/>
      <c r="I37" s="274"/>
      <c r="J37" s="274"/>
      <c r="K37" s="274"/>
      <c r="L37" s="275"/>
      <c r="M37" s="273"/>
      <c r="N37" s="274"/>
      <c r="O37" s="274"/>
      <c r="P37" s="274"/>
      <c r="Q37" s="274"/>
      <c r="R37" s="275"/>
    </row>
    <row r="38" spans="1:18">
      <c r="A38" s="273"/>
      <c r="B38" s="274"/>
      <c r="C38" s="274"/>
      <c r="D38" s="274"/>
      <c r="E38" s="274"/>
      <c r="F38" s="275"/>
      <c r="G38" s="273"/>
      <c r="H38" s="274"/>
      <c r="I38" s="274"/>
      <c r="J38" s="274"/>
      <c r="K38" s="274"/>
      <c r="L38" s="275"/>
      <c r="M38" s="273"/>
      <c r="N38" s="274"/>
      <c r="O38" s="274"/>
      <c r="P38" s="274"/>
      <c r="Q38" s="274"/>
      <c r="R38" s="275"/>
    </row>
    <row r="39" spans="1:18">
      <c r="A39" s="273"/>
      <c r="B39" s="274"/>
      <c r="C39" s="274"/>
      <c r="D39" s="274"/>
      <c r="E39" s="274"/>
      <c r="F39" s="275"/>
      <c r="G39" s="273"/>
      <c r="H39" s="274"/>
      <c r="I39" s="274"/>
      <c r="J39" s="274"/>
      <c r="K39" s="274"/>
      <c r="L39" s="275"/>
      <c r="M39" s="273"/>
      <c r="N39" s="274"/>
      <c r="O39" s="274"/>
      <c r="P39" s="274"/>
      <c r="Q39" s="274"/>
      <c r="R39" s="275"/>
    </row>
    <row r="40" spans="1:18">
      <c r="A40" s="273"/>
      <c r="B40" s="274"/>
      <c r="C40" s="274"/>
      <c r="D40" s="274"/>
      <c r="E40" s="274"/>
      <c r="F40" s="275"/>
      <c r="G40" s="273"/>
      <c r="H40" s="274"/>
      <c r="I40" s="274"/>
      <c r="J40" s="274"/>
      <c r="K40" s="274"/>
      <c r="L40" s="275"/>
      <c r="M40" s="273"/>
      <c r="N40" s="274"/>
      <c r="O40" s="274"/>
      <c r="P40" s="274"/>
      <c r="Q40" s="274"/>
      <c r="R40" s="275"/>
    </row>
    <row r="41" spans="1:18">
      <c r="A41" s="273"/>
      <c r="B41" s="274"/>
      <c r="C41" s="274"/>
      <c r="D41" s="274"/>
      <c r="E41" s="274"/>
      <c r="F41" s="275"/>
      <c r="G41" s="273"/>
      <c r="H41" s="274"/>
      <c r="I41" s="274"/>
      <c r="J41" s="274"/>
      <c r="K41" s="274"/>
      <c r="L41" s="275"/>
      <c r="M41" s="273"/>
      <c r="N41" s="274"/>
      <c r="O41" s="274"/>
      <c r="P41" s="274"/>
      <c r="Q41" s="274"/>
      <c r="R41" s="275"/>
    </row>
    <row r="42" spans="1:18">
      <c r="A42" s="273"/>
      <c r="B42" s="274"/>
      <c r="C42" s="274"/>
      <c r="D42" s="274"/>
      <c r="E42" s="274"/>
      <c r="F42" s="275"/>
      <c r="G42" s="273"/>
      <c r="H42" s="274"/>
      <c r="I42" s="274"/>
      <c r="J42" s="274"/>
      <c r="K42" s="274"/>
      <c r="L42" s="275"/>
      <c r="M42" s="273"/>
      <c r="N42" s="274"/>
      <c r="O42" s="274"/>
      <c r="P42" s="274"/>
      <c r="Q42" s="274"/>
      <c r="R42" s="275"/>
    </row>
    <row r="43" spans="1:18">
      <c r="A43" s="273"/>
      <c r="B43" s="274"/>
      <c r="C43" s="274"/>
      <c r="D43" s="274"/>
      <c r="E43" s="274"/>
      <c r="F43" s="275"/>
      <c r="G43" s="273"/>
      <c r="H43" s="274"/>
      <c r="I43" s="274"/>
      <c r="J43" s="274"/>
      <c r="K43" s="274"/>
      <c r="L43" s="275"/>
      <c r="M43" s="273"/>
      <c r="N43" s="274"/>
      <c r="O43" s="274"/>
      <c r="P43" s="274"/>
      <c r="Q43" s="274"/>
      <c r="R43" s="275"/>
    </row>
    <row r="44" spans="1:18">
      <c r="A44" s="273"/>
      <c r="B44" s="274"/>
      <c r="C44" s="274"/>
      <c r="D44" s="274"/>
      <c r="E44" s="274"/>
      <c r="F44" s="275"/>
      <c r="G44" s="273"/>
      <c r="H44" s="274"/>
      <c r="I44" s="274"/>
      <c r="J44" s="274"/>
      <c r="K44" s="274"/>
      <c r="L44" s="275"/>
      <c r="M44" s="273"/>
      <c r="N44" s="274"/>
      <c r="O44" s="274"/>
      <c r="P44" s="274"/>
      <c r="Q44" s="274"/>
      <c r="R44" s="275"/>
    </row>
    <row r="45" spans="1:18">
      <c r="A45" s="273"/>
      <c r="B45" s="274"/>
      <c r="C45" s="274"/>
      <c r="D45" s="274"/>
      <c r="E45" s="274"/>
      <c r="F45" s="275"/>
      <c r="G45" s="273"/>
      <c r="H45" s="274"/>
      <c r="I45" s="274"/>
      <c r="J45" s="274"/>
      <c r="K45" s="274"/>
      <c r="L45" s="275"/>
      <c r="M45" s="273"/>
      <c r="N45" s="274"/>
      <c r="O45" s="274"/>
      <c r="P45" s="274"/>
      <c r="Q45" s="274"/>
      <c r="R45" s="275"/>
    </row>
    <row r="46" spans="1:18" ht="15.75" thickBot="1">
      <c r="A46" s="276"/>
      <c r="B46" s="277"/>
      <c r="C46" s="277"/>
      <c r="D46" s="277"/>
      <c r="E46" s="277"/>
      <c r="F46" s="278"/>
      <c r="G46" s="276"/>
      <c r="H46" s="277"/>
      <c r="I46" s="277"/>
      <c r="J46" s="277"/>
      <c r="K46" s="277"/>
      <c r="L46" s="278"/>
      <c r="M46" s="276"/>
      <c r="N46" s="277"/>
      <c r="O46" s="277"/>
      <c r="P46" s="277"/>
      <c r="Q46" s="277"/>
      <c r="R46" s="278"/>
    </row>
    <row r="47" spans="1:18">
      <c r="A47" s="270"/>
      <c r="B47" s="271"/>
      <c r="C47" s="271"/>
      <c r="D47" s="271"/>
      <c r="E47" s="271"/>
      <c r="F47" s="272"/>
      <c r="G47" s="270"/>
      <c r="H47" s="271"/>
      <c r="I47" s="271"/>
      <c r="J47" s="271"/>
      <c r="K47" s="271"/>
      <c r="L47" s="272"/>
      <c r="M47" s="270"/>
      <c r="N47" s="271"/>
      <c r="O47" s="271"/>
      <c r="P47" s="271"/>
      <c r="Q47" s="271"/>
      <c r="R47" s="272"/>
    </row>
    <row r="48" spans="1:18">
      <c r="A48" s="273"/>
      <c r="B48" s="274"/>
      <c r="C48" s="274"/>
      <c r="D48" s="274"/>
      <c r="E48" s="274"/>
      <c r="F48" s="275"/>
      <c r="G48" s="273"/>
      <c r="H48" s="274"/>
      <c r="I48" s="274"/>
      <c r="J48" s="274"/>
      <c r="K48" s="274"/>
      <c r="L48" s="275"/>
      <c r="M48" s="273"/>
      <c r="N48" s="274"/>
      <c r="O48" s="274"/>
      <c r="P48" s="274"/>
      <c r="Q48" s="274"/>
      <c r="R48" s="275"/>
    </row>
    <row r="49" spans="1:18">
      <c r="A49" s="273"/>
      <c r="B49" s="274"/>
      <c r="C49" s="274"/>
      <c r="D49" s="274"/>
      <c r="E49" s="274"/>
      <c r="F49" s="275"/>
      <c r="G49" s="273"/>
      <c r="H49" s="274"/>
      <c r="I49" s="274"/>
      <c r="J49" s="274"/>
      <c r="K49" s="274"/>
      <c r="L49" s="275"/>
      <c r="M49" s="273"/>
      <c r="N49" s="274"/>
      <c r="O49" s="274"/>
      <c r="P49" s="274"/>
      <c r="Q49" s="274"/>
      <c r="R49" s="275"/>
    </row>
    <row r="50" spans="1:18">
      <c r="A50" s="273"/>
      <c r="B50" s="274"/>
      <c r="C50" s="274"/>
      <c r="D50" s="274"/>
      <c r="E50" s="274"/>
      <c r="F50" s="275"/>
      <c r="G50" s="273"/>
      <c r="H50" s="274"/>
      <c r="I50" s="274"/>
      <c r="J50" s="274"/>
      <c r="K50" s="274"/>
      <c r="L50" s="275"/>
      <c r="M50" s="273"/>
      <c r="N50" s="274"/>
      <c r="O50" s="274"/>
      <c r="P50" s="274"/>
      <c r="Q50" s="274"/>
      <c r="R50" s="275"/>
    </row>
    <row r="51" spans="1:18">
      <c r="A51" s="273"/>
      <c r="B51" s="274"/>
      <c r="C51" s="274"/>
      <c r="D51" s="274"/>
      <c r="E51" s="274"/>
      <c r="F51" s="275"/>
      <c r="G51" s="273"/>
      <c r="H51" s="274"/>
      <c r="I51" s="274"/>
      <c r="J51" s="274"/>
      <c r="K51" s="274"/>
      <c r="L51" s="275"/>
      <c r="M51" s="273"/>
      <c r="N51" s="274"/>
      <c r="O51" s="274"/>
      <c r="P51" s="274"/>
      <c r="Q51" s="274"/>
      <c r="R51" s="275"/>
    </row>
    <row r="52" spans="1:18">
      <c r="A52" s="273"/>
      <c r="B52" s="274"/>
      <c r="C52" s="274"/>
      <c r="D52" s="274"/>
      <c r="E52" s="274"/>
      <c r="F52" s="275"/>
      <c r="G52" s="273"/>
      <c r="H52" s="274"/>
      <c r="I52" s="274"/>
      <c r="J52" s="274"/>
      <c r="K52" s="274"/>
      <c r="L52" s="275"/>
      <c r="M52" s="273"/>
      <c r="N52" s="274"/>
      <c r="O52" s="274"/>
      <c r="P52" s="274"/>
      <c r="Q52" s="274"/>
      <c r="R52" s="275"/>
    </row>
    <row r="53" spans="1:18">
      <c r="A53" s="273"/>
      <c r="B53" s="274"/>
      <c r="C53" s="274"/>
      <c r="D53" s="274"/>
      <c r="E53" s="274"/>
      <c r="F53" s="275"/>
      <c r="G53" s="273"/>
      <c r="H53" s="274"/>
      <c r="I53" s="274"/>
      <c r="J53" s="274"/>
      <c r="K53" s="274"/>
      <c r="L53" s="275"/>
      <c r="M53" s="273"/>
      <c r="N53" s="274"/>
      <c r="O53" s="274"/>
      <c r="P53" s="274"/>
      <c r="Q53" s="274"/>
      <c r="R53" s="275"/>
    </row>
    <row r="54" spans="1:18">
      <c r="A54" s="273"/>
      <c r="B54" s="274"/>
      <c r="C54" s="274"/>
      <c r="D54" s="274"/>
      <c r="E54" s="274"/>
      <c r="F54" s="275"/>
      <c r="G54" s="273"/>
      <c r="H54" s="274"/>
      <c r="I54" s="274"/>
      <c r="J54" s="274"/>
      <c r="K54" s="274"/>
      <c r="L54" s="275"/>
      <c r="M54" s="273"/>
      <c r="N54" s="274"/>
      <c r="O54" s="274"/>
      <c r="P54" s="274"/>
      <c r="Q54" s="274"/>
      <c r="R54" s="275"/>
    </row>
    <row r="55" spans="1:18">
      <c r="A55" s="273"/>
      <c r="B55" s="274"/>
      <c r="C55" s="274"/>
      <c r="D55" s="274"/>
      <c r="E55" s="274"/>
      <c r="F55" s="275"/>
      <c r="G55" s="273"/>
      <c r="H55" s="274"/>
      <c r="I55" s="274"/>
      <c r="J55" s="274"/>
      <c r="K55" s="274"/>
      <c r="L55" s="275"/>
      <c r="M55" s="273"/>
      <c r="N55" s="274"/>
      <c r="O55" s="274"/>
      <c r="P55" s="274"/>
      <c r="Q55" s="274"/>
      <c r="R55" s="275"/>
    </row>
    <row r="56" spans="1:18">
      <c r="A56" s="273"/>
      <c r="B56" s="274"/>
      <c r="C56" s="274"/>
      <c r="D56" s="274"/>
      <c r="E56" s="274"/>
      <c r="F56" s="275"/>
      <c r="G56" s="273"/>
      <c r="H56" s="274"/>
      <c r="I56" s="274"/>
      <c r="J56" s="274"/>
      <c r="K56" s="274"/>
      <c r="L56" s="275"/>
      <c r="M56" s="273"/>
      <c r="N56" s="274"/>
      <c r="O56" s="274"/>
      <c r="P56" s="274"/>
      <c r="Q56" s="274"/>
      <c r="R56" s="275"/>
    </row>
    <row r="57" spans="1:18">
      <c r="A57" s="273"/>
      <c r="B57" s="274"/>
      <c r="C57" s="274"/>
      <c r="D57" s="274"/>
      <c r="E57" s="274"/>
      <c r="F57" s="275"/>
      <c r="G57" s="273"/>
      <c r="H57" s="274"/>
      <c r="I57" s="274"/>
      <c r="J57" s="274"/>
      <c r="K57" s="274"/>
      <c r="L57" s="275"/>
      <c r="M57" s="273"/>
      <c r="N57" s="274"/>
      <c r="O57" s="274"/>
      <c r="P57" s="274"/>
      <c r="Q57" s="274"/>
      <c r="R57" s="275"/>
    </row>
    <row r="58" spans="1:18">
      <c r="A58" s="273"/>
      <c r="B58" s="274"/>
      <c r="C58" s="274"/>
      <c r="D58" s="274"/>
      <c r="E58" s="274"/>
      <c r="F58" s="275"/>
      <c r="G58" s="273"/>
      <c r="H58" s="274"/>
      <c r="I58" s="274"/>
      <c r="J58" s="274"/>
      <c r="K58" s="274"/>
      <c r="L58" s="275"/>
      <c r="M58" s="273"/>
      <c r="N58" s="274"/>
      <c r="O58" s="274"/>
      <c r="P58" s="274"/>
      <c r="Q58" s="274"/>
      <c r="R58" s="275"/>
    </row>
    <row r="59" spans="1:18">
      <c r="A59" s="273"/>
      <c r="B59" s="274"/>
      <c r="C59" s="274"/>
      <c r="D59" s="274"/>
      <c r="E59" s="274"/>
      <c r="F59" s="275"/>
      <c r="G59" s="273"/>
      <c r="H59" s="274"/>
      <c r="I59" s="274"/>
      <c r="J59" s="274"/>
      <c r="K59" s="274"/>
      <c r="L59" s="275"/>
      <c r="M59" s="273"/>
      <c r="N59" s="274"/>
      <c r="O59" s="274"/>
      <c r="P59" s="274"/>
      <c r="Q59" s="274"/>
      <c r="R59" s="275"/>
    </row>
    <row r="60" spans="1:18">
      <c r="A60" s="273"/>
      <c r="B60" s="274"/>
      <c r="C60" s="274"/>
      <c r="D60" s="274"/>
      <c r="E60" s="274"/>
      <c r="F60" s="275"/>
      <c r="G60" s="273"/>
      <c r="H60" s="274"/>
      <c r="I60" s="274"/>
      <c r="J60" s="274"/>
      <c r="K60" s="274"/>
      <c r="L60" s="275"/>
      <c r="M60" s="273"/>
      <c r="N60" s="274"/>
      <c r="O60" s="274"/>
      <c r="P60" s="274"/>
      <c r="Q60" s="274"/>
      <c r="R60" s="275"/>
    </row>
    <row r="61" spans="1:18" ht="15.75" thickBot="1">
      <c r="A61" s="276"/>
      <c r="B61" s="277"/>
      <c r="C61" s="277"/>
      <c r="D61" s="277"/>
      <c r="E61" s="277"/>
      <c r="F61" s="278"/>
      <c r="G61" s="276"/>
      <c r="H61" s="277"/>
      <c r="I61" s="277"/>
      <c r="J61" s="277"/>
      <c r="K61" s="277"/>
      <c r="L61" s="278"/>
      <c r="M61" s="276"/>
      <c r="N61" s="277"/>
      <c r="O61" s="277"/>
      <c r="P61" s="277"/>
      <c r="Q61" s="277"/>
      <c r="R61" s="278"/>
    </row>
    <row r="62" spans="1:18">
      <c r="A62" s="270"/>
      <c r="B62" s="271"/>
      <c r="C62" s="271"/>
      <c r="D62" s="271"/>
      <c r="E62" s="271"/>
      <c r="F62" s="272"/>
      <c r="G62" s="270"/>
      <c r="H62" s="271"/>
      <c r="I62" s="271"/>
      <c r="J62" s="271"/>
      <c r="K62" s="271"/>
      <c r="L62" s="272"/>
      <c r="M62" s="270"/>
      <c r="N62" s="271"/>
      <c r="O62" s="271"/>
      <c r="P62" s="271"/>
      <c r="Q62" s="271"/>
      <c r="R62" s="272"/>
    </row>
    <row r="63" spans="1:18">
      <c r="A63" s="273"/>
      <c r="B63" s="274"/>
      <c r="C63" s="274"/>
      <c r="D63" s="274"/>
      <c r="E63" s="274"/>
      <c r="F63" s="275"/>
      <c r="G63" s="273"/>
      <c r="H63" s="274"/>
      <c r="I63" s="274"/>
      <c r="J63" s="274"/>
      <c r="K63" s="274"/>
      <c r="L63" s="275"/>
      <c r="M63" s="273"/>
      <c r="N63" s="274"/>
      <c r="O63" s="274"/>
      <c r="P63" s="274"/>
      <c r="Q63" s="274"/>
      <c r="R63" s="275"/>
    </row>
    <row r="64" spans="1:18">
      <c r="A64" s="273"/>
      <c r="B64" s="274"/>
      <c r="C64" s="274"/>
      <c r="D64" s="274"/>
      <c r="E64" s="274"/>
      <c r="F64" s="275"/>
      <c r="G64" s="273"/>
      <c r="H64" s="274"/>
      <c r="I64" s="274"/>
      <c r="J64" s="274"/>
      <c r="K64" s="274"/>
      <c r="L64" s="275"/>
      <c r="M64" s="273"/>
      <c r="N64" s="274"/>
      <c r="O64" s="274"/>
      <c r="P64" s="274"/>
      <c r="Q64" s="274"/>
      <c r="R64" s="275"/>
    </row>
    <row r="65" spans="1:18">
      <c r="A65" s="273"/>
      <c r="B65" s="274"/>
      <c r="C65" s="274"/>
      <c r="D65" s="274"/>
      <c r="E65" s="274"/>
      <c r="F65" s="275"/>
      <c r="G65" s="273"/>
      <c r="H65" s="274"/>
      <c r="I65" s="274"/>
      <c r="J65" s="274"/>
      <c r="K65" s="274"/>
      <c r="L65" s="275"/>
      <c r="M65" s="273"/>
      <c r="N65" s="274"/>
      <c r="O65" s="274"/>
      <c r="P65" s="274"/>
      <c r="Q65" s="274"/>
      <c r="R65" s="275"/>
    </row>
    <row r="66" spans="1:18">
      <c r="A66" s="273"/>
      <c r="B66" s="274"/>
      <c r="C66" s="274"/>
      <c r="D66" s="274"/>
      <c r="E66" s="274"/>
      <c r="F66" s="275"/>
      <c r="G66" s="273"/>
      <c r="H66" s="274"/>
      <c r="I66" s="274"/>
      <c r="J66" s="274"/>
      <c r="K66" s="274"/>
      <c r="L66" s="275"/>
      <c r="M66" s="273"/>
      <c r="N66" s="274"/>
      <c r="O66" s="274"/>
      <c r="P66" s="274"/>
      <c r="Q66" s="274"/>
      <c r="R66" s="275"/>
    </row>
    <row r="67" spans="1:18">
      <c r="A67" s="273"/>
      <c r="B67" s="274"/>
      <c r="C67" s="274"/>
      <c r="D67" s="274"/>
      <c r="E67" s="274"/>
      <c r="F67" s="275"/>
      <c r="G67" s="273"/>
      <c r="H67" s="274"/>
      <c r="I67" s="274"/>
      <c r="J67" s="274"/>
      <c r="K67" s="274"/>
      <c r="L67" s="275"/>
      <c r="M67" s="273"/>
      <c r="N67" s="274"/>
      <c r="O67" s="274"/>
      <c r="P67" s="274"/>
      <c r="Q67" s="274"/>
      <c r="R67" s="275"/>
    </row>
    <row r="68" spans="1:18">
      <c r="A68" s="273"/>
      <c r="B68" s="274"/>
      <c r="C68" s="274"/>
      <c r="D68" s="274"/>
      <c r="E68" s="274"/>
      <c r="F68" s="275"/>
      <c r="G68" s="273"/>
      <c r="H68" s="274"/>
      <c r="I68" s="274"/>
      <c r="J68" s="274"/>
      <c r="K68" s="274"/>
      <c r="L68" s="275"/>
      <c r="M68" s="273"/>
      <c r="N68" s="274"/>
      <c r="O68" s="274"/>
      <c r="P68" s="274"/>
      <c r="Q68" s="274"/>
      <c r="R68" s="275"/>
    </row>
    <row r="69" spans="1:18">
      <c r="A69" s="273"/>
      <c r="B69" s="274"/>
      <c r="C69" s="274"/>
      <c r="D69" s="274"/>
      <c r="E69" s="274"/>
      <c r="F69" s="275"/>
      <c r="G69" s="273"/>
      <c r="H69" s="274"/>
      <c r="I69" s="274"/>
      <c r="J69" s="274"/>
      <c r="K69" s="274"/>
      <c r="L69" s="275"/>
      <c r="M69" s="273"/>
      <c r="N69" s="274"/>
      <c r="O69" s="274"/>
      <c r="P69" s="274"/>
      <c r="Q69" s="274"/>
      <c r="R69" s="275"/>
    </row>
    <row r="70" spans="1:18">
      <c r="A70" s="273"/>
      <c r="B70" s="274"/>
      <c r="C70" s="274"/>
      <c r="D70" s="274"/>
      <c r="E70" s="274"/>
      <c r="F70" s="275"/>
      <c r="G70" s="273"/>
      <c r="H70" s="274"/>
      <c r="I70" s="274"/>
      <c r="J70" s="274"/>
      <c r="K70" s="274"/>
      <c r="L70" s="275"/>
      <c r="M70" s="273"/>
      <c r="N70" s="274"/>
      <c r="O70" s="274"/>
      <c r="P70" s="274"/>
      <c r="Q70" s="274"/>
      <c r="R70" s="275"/>
    </row>
    <row r="71" spans="1:18">
      <c r="A71" s="273"/>
      <c r="B71" s="274"/>
      <c r="C71" s="274"/>
      <c r="D71" s="274"/>
      <c r="E71" s="274"/>
      <c r="F71" s="275"/>
      <c r="G71" s="273"/>
      <c r="H71" s="274"/>
      <c r="I71" s="274"/>
      <c r="J71" s="274"/>
      <c r="K71" s="274"/>
      <c r="L71" s="275"/>
      <c r="M71" s="273"/>
      <c r="N71" s="274"/>
      <c r="O71" s="274"/>
      <c r="P71" s="274"/>
      <c r="Q71" s="274"/>
      <c r="R71" s="275"/>
    </row>
    <row r="72" spans="1:18">
      <c r="A72" s="273"/>
      <c r="B72" s="274"/>
      <c r="C72" s="274"/>
      <c r="D72" s="274"/>
      <c r="E72" s="274"/>
      <c r="F72" s="275"/>
      <c r="G72" s="273"/>
      <c r="H72" s="274"/>
      <c r="I72" s="274"/>
      <c r="J72" s="274"/>
      <c r="K72" s="274"/>
      <c r="L72" s="275"/>
      <c r="M72" s="273"/>
      <c r="N72" s="274"/>
      <c r="O72" s="274"/>
      <c r="P72" s="274"/>
      <c r="Q72" s="274"/>
      <c r="R72" s="275"/>
    </row>
    <row r="73" spans="1:18">
      <c r="A73" s="273"/>
      <c r="B73" s="274"/>
      <c r="C73" s="274"/>
      <c r="D73" s="274"/>
      <c r="E73" s="274"/>
      <c r="F73" s="275"/>
      <c r="G73" s="273"/>
      <c r="H73" s="274"/>
      <c r="I73" s="274"/>
      <c r="J73" s="274"/>
      <c r="K73" s="274"/>
      <c r="L73" s="275"/>
      <c r="M73" s="273"/>
      <c r="N73" s="274"/>
      <c r="O73" s="274"/>
      <c r="P73" s="274"/>
      <c r="Q73" s="274"/>
      <c r="R73" s="275"/>
    </row>
    <row r="74" spans="1:18">
      <c r="A74" s="273"/>
      <c r="B74" s="274"/>
      <c r="C74" s="274"/>
      <c r="D74" s="274"/>
      <c r="E74" s="274"/>
      <c r="F74" s="275"/>
      <c r="G74" s="273"/>
      <c r="H74" s="274"/>
      <c r="I74" s="274"/>
      <c r="J74" s="274"/>
      <c r="K74" s="274"/>
      <c r="L74" s="275"/>
      <c r="M74" s="273"/>
      <c r="N74" s="274"/>
      <c r="O74" s="274"/>
      <c r="P74" s="274"/>
      <c r="Q74" s="274"/>
      <c r="R74" s="275"/>
    </row>
    <row r="75" spans="1:18">
      <c r="A75" s="273"/>
      <c r="B75" s="274"/>
      <c r="C75" s="274"/>
      <c r="D75" s="274"/>
      <c r="E75" s="274"/>
      <c r="F75" s="275"/>
      <c r="G75" s="273"/>
      <c r="H75" s="274"/>
      <c r="I75" s="274"/>
      <c r="J75" s="274"/>
      <c r="K75" s="274"/>
      <c r="L75" s="275"/>
      <c r="M75" s="273"/>
      <c r="N75" s="274"/>
      <c r="O75" s="274"/>
      <c r="P75" s="274"/>
      <c r="Q75" s="274"/>
      <c r="R75" s="275"/>
    </row>
    <row r="76" spans="1:18" ht="15.75" thickBot="1">
      <c r="A76" s="276"/>
      <c r="B76" s="277"/>
      <c r="C76" s="277"/>
      <c r="D76" s="277"/>
      <c r="E76" s="277"/>
      <c r="F76" s="278"/>
      <c r="G76" s="276"/>
      <c r="H76" s="277"/>
      <c r="I76" s="277"/>
      <c r="J76" s="277"/>
      <c r="K76" s="277"/>
      <c r="L76" s="278"/>
      <c r="M76" s="276"/>
      <c r="N76" s="277"/>
      <c r="O76" s="277"/>
      <c r="P76" s="277"/>
      <c r="Q76" s="277"/>
      <c r="R76" s="278"/>
    </row>
    <row r="77" spans="1:18">
      <c r="A77" s="270"/>
      <c r="B77" s="271"/>
      <c r="C77" s="271"/>
      <c r="D77" s="271"/>
      <c r="E77" s="271"/>
      <c r="F77" s="272"/>
      <c r="G77" s="270"/>
      <c r="H77" s="271"/>
      <c r="I77" s="271"/>
      <c r="J77" s="271"/>
      <c r="K77" s="271"/>
      <c r="L77" s="272"/>
      <c r="M77" s="270"/>
      <c r="N77" s="271"/>
      <c r="O77" s="271"/>
      <c r="P77" s="271"/>
      <c r="Q77" s="271"/>
      <c r="R77" s="272"/>
    </row>
    <row r="78" spans="1:18">
      <c r="A78" s="273"/>
      <c r="B78" s="274"/>
      <c r="C78" s="274"/>
      <c r="D78" s="274"/>
      <c r="E78" s="274"/>
      <c r="F78" s="275"/>
      <c r="G78" s="273"/>
      <c r="H78" s="274"/>
      <c r="I78" s="274"/>
      <c r="J78" s="274"/>
      <c r="K78" s="274"/>
      <c r="L78" s="275"/>
      <c r="M78" s="273"/>
      <c r="N78" s="274"/>
      <c r="O78" s="274"/>
      <c r="P78" s="274"/>
      <c r="Q78" s="274"/>
      <c r="R78" s="275"/>
    </row>
    <row r="79" spans="1:18">
      <c r="A79" s="273"/>
      <c r="B79" s="274"/>
      <c r="C79" s="274"/>
      <c r="D79" s="274"/>
      <c r="E79" s="274"/>
      <c r="F79" s="275"/>
      <c r="G79" s="273"/>
      <c r="H79" s="274"/>
      <c r="I79" s="274"/>
      <c r="J79" s="274"/>
      <c r="K79" s="274"/>
      <c r="L79" s="275"/>
      <c r="M79" s="273"/>
      <c r="N79" s="274"/>
      <c r="O79" s="274"/>
      <c r="P79" s="274"/>
      <c r="Q79" s="274"/>
      <c r="R79" s="275"/>
    </row>
    <row r="80" spans="1:18">
      <c r="A80" s="273"/>
      <c r="B80" s="274"/>
      <c r="C80" s="274"/>
      <c r="D80" s="274"/>
      <c r="E80" s="274"/>
      <c r="F80" s="275"/>
      <c r="G80" s="273"/>
      <c r="H80" s="274"/>
      <c r="I80" s="274"/>
      <c r="J80" s="274"/>
      <c r="K80" s="274"/>
      <c r="L80" s="275"/>
      <c r="M80" s="273"/>
      <c r="N80" s="274"/>
      <c r="O80" s="274"/>
      <c r="P80" s="274"/>
      <c r="Q80" s="274"/>
      <c r="R80" s="275"/>
    </row>
    <row r="81" spans="1:18">
      <c r="A81" s="273"/>
      <c r="B81" s="274"/>
      <c r="C81" s="274"/>
      <c r="D81" s="274"/>
      <c r="E81" s="274"/>
      <c r="F81" s="275"/>
      <c r="G81" s="273"/>
      <c r="H81" s="274"/>
      <c r="I81" s="274"/>
      <c r="J81" s="274"/>
      <c r="K81" s="274"/>
      <c r="L81" s="275"/>
      <c r="M81" s="273"/>
      <c r="N81" s="274"/>
      <c r="O81" s="274"/>
      <c r="P81" s="274"/>
      <c r="Q81" s="274"/>
      <c r="R81" s="275"/>
    </row>
    <row r="82" spans="1:18">
      <c r="A82" s="273"/>
      <c r="B82" s="274"/>
      <c r="C82" s="274"/>
      <c r="D82" s="274"/>
      <c r="E82" s="274"/>
      <c r="F82" s="275"/>
      <c r="G82" s="273"/>
      <c r="H82" s="274"/>
      <c r="I82" s="274"/>
      <c r="J82" s="274"/>
      <c r="K82" s="274"/>
      <c r="L82" s="275"/>
      <c r="M82" s="273"/>
      <c r="N82" s="274"/>
      <c r="O82" s="274"/>
      <c r="P82" s="274"/>
      <c r="Q82" s="274"/>
      <c r="R82" s="275"/>
    </row>
    <row r="83" spans="1:18">
      <c r="A83" s="273"/>
      <c r="B83" s="274"/>
      <c r="C83" s="274"/>
      <c r="D83" s="274"/>
      <c r="E83" s="274"/>
      <c r="F83" s="275"/>
      <c r="G83" s="273"/>
      <c r="H83" s="274"/>
      <c r="I83" s="274"/>
      <c r="J83" s="274"/>
      <c r="K83" s="274"/>
      <c r="L83" s="275"/>
      <c r="M83" s="273"/>
      <c r="N83" s="274"/>
      <c r="O83" s="274"/>
      <c r="P83" s="274"/>
      <c r="Q83" s="274"/>
      <c r="R83" s="275"/>
    </row>
    <row r="84" spans="1:18">
      <c r="A84" s="273"/>
      <c r="B84" s="274"/>
      <c r="C84" s="274"/>
      <c r="D84" s="274"/>
      <c r="E84" s="274"/>
      <c r="F84" s="275"/>
      <c r="G84" s="273"/>
      <c r="H84" s="274"/>
      <c r="I84" s="274"/>
      <c r="J84" s="274"/>
      <c r="K84" s="274"/>
      <c r="L84" s="275"/>
      <c r="M84" s="273"/>
      <c r="N84" s="274"/>
      <c r="O84" s="274"/>
      <c r="P84" s="274"/>
      <c r="Q84" s="274"/>
      <c r="R84" s="275"/>
    </row>
    <row r="85" spans="1:18">
      <c r="A85" s="273"/>
      <c r="B85" s="274"/>
      <c r="C85" s="274"/>
      <c r="D85" s="274"/>
      <c r="E85" s="274"/>
      <c r="F85" s="275"/>
      <c r="G85" s="273"/>
      <c r="H85" s="274"/>
      <c r="I85" s="274"/>
      <c r="J85" s="274"/>
      <c r="K85" s="274"/>
      <c r="L85" s="275"/>
      <c r="M85" s="273"/>
      <c r="N85" s="274"/>
      <c r="O85" s="274"/>
      <c r="P85" s="274"/>
      <c r="Q85" s="274"/>
      <c r="R85" s="275"/>
    </row>
    <row r="86" spans="1:18">
      <c r="A86" s="273"/>
      <c r="B86" s="274"/>
      <c r="C86" s="274"/>
      <c r="D86" s="274"/>
      <c r="E86" s="274"/>
      <c r="F86" s="275"/>
      <c r="G86" s="273"/>
      <c r="H86" s="274"/>
      <c r="I86" s="274"/>
      <c r="J86" s="274"/>
      <c r="K86" s="274"/>
      <c r="L86" s="275"/>
      <c r="M86" s="273"/>
      <c r="N86" s="274"/>
      <c r="O86" s="274"/>
      <c r="P86" s="274"/>
      <c r="Q86" s="274"/>
      <c r="R86" s="275"/>
    </row>
    <row r="87" spans="1:18">
      <c r="A87" s="273"/>
      <c r="B87" s="274"/>
      <c r="C87" s="274"/>
      <c r="D87" s="274"/>
      <c r="E87" s="274"/>
      <c r="F87" s="275"/>
      <c r="G87" s="273"/>
      <c r="H87" s="274"/>
      <c r="I87" s="274"/>
      <c r="J87" s="274"/>
      <c r="K87" s="274"/>
      <c r="L87" s="275"/>
      <c r="M87" s="273"/>
      <c r="N87" s="274"/>
      <c r="O87" s="274"/>
      <c r="P87" s="274"/>
      <c r="Q87" s="274"/>
      <c r="R87" s="275"/>
    </row>
    <row r="88" spans="1:18">
      <c r="A88" s="273"/>
      <c r="B88" s="274"/>
      <c r="C88" s="274"/>
      <c r="D88" s="274"/>
      <c r="E88" s="274"/>
      <c r="F88" s="275"/>
      <c r="G88" s="273"/>
      <c r="H88" s="274"/>
      <c r="I88" s="274"/>
      <c r="J88" s="274"/>
      <c r="K88" s="274"/>
      <c r="L88" s="275"/>
      <c r="M88" s="273"/>
      <c r="N88" s="274"/>
      <c r="O88" s="274"/>
      <c r="P88" s="274"/>
      <c r="Q88" s="274"/>
      <c r="R88" s="275"/>
    </row>
    <row r="89" spans="1:18">
      <c r="A89" s="273"/>
      <c r="B89" s="274"/>
      <c r="C89" s="274"/>
      <c r="D89" s="274"/>
      <c r="E89" s="274"/>
      <c r="F89" s="275"/>
      <c r="G89" s="273"/>
      <c r="H89" s="274"/>
      <c r="I89" s="274"/>
      <c r="J89" s="274"/>
      <c r="K89" s="274"/>
      <c r="L89" s="275"/>
      <c r="M89" s="273"/>
      <c r="N89" s="274"/>
      <c r="O89" s="274"/>
      <c r="P89" s="274"/>
      <c r="Q89" s="274"/>
      <c r="R89" s="275"/>
    </row>
    <row r="90" spans="1:18">
      <c r="A90" s="273"/>
      <c r="B90" s="274"/>
      <c r="C90" s="274"/>
      <c r="D90" s="274"/>
      <c r="E90" s="274"/>
      <c r="F90" s="275"/>
      <c r="G90" s="273"/>
      <c r="H90" s="274"/>
      <c r="I90" s="274"/>
      <c r="J90" s="274"/>
      <c r="K90" s="274"/>
      <c r="L90" s="275"/>
      <c r="M90" s="273"/>
      <c r="N90" s="274"/>
      <c r="O90" s="274"/>
      <c r="P90" s="274"/>
      <c r="Q90" s="274"/>
      <c r="R90" s="275"/>
    </row>
    <row r="91" spans="1:18" ht="15.75" thickBot="1">
      <c r="A91" s="276"/>
      <c r="B91" s="277"/>
      <c r="C91" s="277"/>
      <c r="D91" s="277"/>
      <c r="E91" s="277"/>
      <c r="F91" s="278"/>
      <c r="G91" s="276"/>
      <c r="H91" s="277"/>
      <c r="I91" s="277"/>
      <c r="J91" s="277"/>
      <c r="K91" s="277"/>
      <c r="L91" s="278"/>
      <c r="M91" s="276"/>
      <c r="N91" s="277"/>
      <c r="O91" s="277"/>
      <c r="P91" s="277"/>
      <c r="Q91" s="277"/>
      <c r="R91" s="278"/>
    </row>
    <row r="92" spans="1:18">
      <c r="A92" s="270"/>
      <c r="B92" s="271"/>
      <c r="C92" s="271"/>
      <c r="D92" s="271"/>
      <c r="E92" s="271"/>
      <c r="F92" s="272"/>
      <c r="G92" s="270"/>
      <c r="H92" s="271"/>
      <c r="I92" s="271"/>
      <c r="J92" s="271"/>
      <c r="K92" s="271"/>
      <c r="L92" s="272"/>
      <c r="M92" s="270"/>
      <c r="N92" s="271"/>
      <c r="O92" s="271"/>
      <c r="P92" s="271"/>
      <c r="Q92" s="271"/>
      <c r="R92" s="272"/>
    </row>
    <row r="93" spans="1:18">
      <c r="A93" s="273"/>
      <c r="B93" s="274"/>
      <c r="C93" s="274"/>
      <c r="D93" s="274"/>
      <c r="E93" s="274"/>
      <c r="F93" s="275"/>
      <c r="G93" s="273"/>
      <c r="H93" s="274"/>
      <c r="I93" s="274"/>
      <c r="J93" s="274"/>
      <c r="K93" s="274"/>
      <c r="L93" s="275"/>
      <c r="M93" s="273"/>
      <c r="N93" s="274"/>
      <c r="O93" s="274"/>
      <c r="P93" s="274"/>
      <c r="Q93" s="274"/>
      <c r="R93" s="275"/>
    </row>
    <row r="94" spans="1:18">
      <c r="A94" s="273"/>
      <c r="B94" s="274"/>
      <c r="C94" s="274"/>
      <c r="D94" s="274"/>
      <c r="E94" s="274"/>
      <c r="F94" s="275"/>
      <c r="G94" s="273"/>
      <c r="H94" s="274"/>
      <c r="I94" s="274"/>
      <c r="J94" s="274"/>
      <c r="K94" s="274"/>
      <c r="L94" s="275"/>
      <c r="M94" s="273"/>
      <c r="N94" s="274"/>
      <c r="O94" s="274"/>
      <c r="P94" s="274"/>
      <c r="Q94" s="274"/>
      <c r="R94" s="275"/>
    </row>
    <row r="95" spans="1:18">
      <c r="A95" s="273"/>
      <c r="B95" s="274"/>
      <c r="C95" s="274"/>
      <c r="D95" s="274"/>
      <c r="E95" s="274"/>
      <c r="F95" s="275"/>
      <c r="G95" s="273"/>
      <c r="H95" s="274"/>
      <c r="I95" s="274"/>
      <c r="J95" s="274"/>
      <c r="K95" s="274"/>
      <c r="L95" s="275"/>
      <c r="M95" s="273"/>
      <c r="N95" s="274"/>
      <c r="O95" s="274"/>
      <c r="P95" s="274"/>
      <c r="Q95" s="274"/>
      <c r="R95" s="275"/>
    </row>
    <row r="96" spans="1:18">
      <c r="A96" s="273"/>
      <c r="B96" s="274"/>
      <c r="C96" s="274"/>
      <c r="D96" s="274"/>
      <c r="E96" s="274"/>
      <c r="F96" s="275"/>
      <c r="G96" s="273"/>
      <c r="H96" s="274"/>
      <c r="I96" s="274"/>
      <c r="J96" s="274"/>
      <c r="K96" s="274"/>
      <c r="L96" s="275"/>
      <c r="M96" s="273"/>
      <c r="N96" s="274"/>
      <c r="O96" s="274"/>
      <c r="P96" s="274"/>
      <c r="Q96" s="274"/>
      <c r="R96" s="275"/>
    </row>
    <row r="97" spans="1:18">
      <c r="A97" s="273"/>
      <c r="B97" s="274"/>
      <c r="C97" s="274"/>
      <c r="D97" s="274"/>
      <c r="E97" s="274"/>
      <c r="F97" s="275"/>
      <c r="G97" s="273"/>
      <c r="H97" s="274"/>
      <c r="I97" s="274"/>
      <c r="J97" s="274"/>
      <c r="K97" s="274"/>
      <c r="L97" s="275"/>
      <c r="M97" s="273"/>
      <c r="N97" s="274"/>
      <c r="O97" s="274"/>
      <c r="P97" s="274"/>
      <c r="Q97" s="274"/>
      <c r="R97" s="275"/>
    </row>
    <row r="98" spans="1:18">
      <c r="A98" s="273"/>
      <c r="B98" s="274"/>
      <c r="C98" s="274"/>
      <c r="D98" s="274"/>
      <c r="E98" s="274"/>
      <c r="F98" s="275"/>
      <c r="G98" s="273"/>
      <c r="H98" s="274"/>
      <c r="I98" s="274"/>
      <c r="J98" s="274"/>
      <c r="K98" s="274"/>
      <c r="L98" s="275"/>
      <c r="M98" s="273"/>
      <c r="N98" s="274"/>
      <c r="O98" s="274"/>
      <c r="P98" s="274"/>
      <c r="Q98" s="274"/>
      <c r="R98" s="275"/>
    </row>
    <row r="99" spans="1:18">
      <c r="A99" s="273"/>
      <c r="B99" s="274"/>
      <c r="C99" s="274"/>
      <c r="D99" s="274"/>
      <c r="E99" s="274"/>
      <c r="F99" s="275"/>
      <c r="G99" s="273"/>
      <c r="H99" s="274"/>
      <c r="I99" s="274"/>
      <c r="J99" s="274"/>
      <c r="K99" s="274"/>
      <c r="L99" s="275"/>
      <c r="M99" s="273"/>
      <c r="N99" s="274"/>
      <c r="O99" s="274"/>
      <c r="P99" s="274"/>
      <c r="Q99" s="274"/>
      <c r="R99" s="275"/>
    </row>
    <row r="100" spans="1:18">
      <c r="A100" s="273"/>
      <c r="B100" s="274"/>
      <c r="C100" s="274"/>
      <c r="D100" s="274"/>
      <c r="E100" s="274"/>
      <c r="F100" s="275"/>
      <c r="G100" s="273"/>
      <c r="H100" s="274"/>
      <c r="I100" s="274"/>
      <c r="J100" s="274"/>
      <c r="K100" s="274"/>
      <c r="L100" s="275"/>
      <c r="M100" s="273"/>
      <c r="N100" s="274"/>
      <c r="O100" s="274"/>
      <c r="P100" s="274"/>
      <c r="Q100" s="274"/>
      <c r="R100" s="275"/>
    </row>
    <row r="101" spans="1:18">
      <c r="A101" s="273"/>
      <c r="B101" s="274"/>
      <c r="C101" s="274"/>
      <c r="D101" s="274"/>
      <c r="E101" s="274"/>
      <c r="F101" s="275"/>
      <c r="G101" s="273"/>
      <c r="H101" s="274"/>
      <c r="I101" s="274"/>
      <c r="J101" s="274"/>
      <c r="K101" s="274"/>
      <c r="L101" s="275"/>
      <c r="M101" s="273"/>
      <c r="N101" s="274"/>
      <c r="O101" s="274"/>
      <c r="P101" s="274"/>
      <c r="Q101" s="274"/>
      <c r="R101" s="275"/>
    </row>
    <row r="102" spans="1:18">
      <c r="A102" s="273"/>
      <c r="B102" s="274"/>
      <c r="C102" s="274"/>
      <c r="D102" s="274"/>
      <c r="E102" s="274"/>
      <c r="F102" s="275"/>
      <c r="G102" s="273"/>
      <c r="H102" s="274"/>
      <c r="I102" s="274"/>
      <c r="J102" s="274"/>
      <c r="K102" s="274"/>
      <c r="L102" s="275"/>
      <c r="M102" s="273"/>
      <c r="N102" s="274"/>
      <c r="O102" s="274"/>
      <c r="P102" s="274"/>
      <c r="Q102" s="274"/>
      <c r="R102" s="275"/>
    </row>
    <row r="103" spans="1:18">
      <c r="A103" s="273"/>
      <c r="B103" s="274"/>
      <c r="C103" s="274"/>
      <c r="D103" s="274"/>
      <c r="E103" s="274"/>
      <c r="F103" s="275"/>
      <c r="G103" s="273"/>
      <c r="H103" s="274"/>
      <c r="I103" s="274"/>
      <c r="J103" s="274"/>
      <c r="K103" s="274"/>
      <c r="L103" s="275"/>
      <c r="M103" s="273"/>
      <c r="N103" s="274"/>
      <c r="O103" s="274"/>
      <c r="P103" s="274"/>
      <c r="Q103" s="274"/>
      <c r="R103" s="275"/>
    </row>
    <row r="104" spans="1:18">
      <c r="A104" s="273"/>
      <c r="B104" s="274"/>
      <c r="C104" s="274"/>
      <c r="D104" s="274"/>
      <c r="E104" s="274"/>
      <c r="F104" s="275"/>
      <c r="G104" s="273"/>
      <c r="H104" s="274"/>
      <c r="I104" s="274"/>
      <c r="J104" s="274"/>
      <c r="K104" s="274"/>
      <c r="L104" s="275"/>
      <c r="M104" s="273"/>
      <c r="N104" s="274"/>
      <c r="O104" s="274"/>
      <c r="P104" s="274"/>
      <c r="Q104" s="274"/>
      <c r="R104" s="275"/>
    </row>
    <row r="105" spans="1:18">
      <c r="A105" s="273"/>
      <c r="B105" s="274"/>
      <c r="C105" s="274"/>
      <c r="D105" s="274"/>
      <c r="E105" s="274"/>
      <c r="F105" s="275"/>
      <c r="G105" s="273"/>
      <c r="H105" s="274"/>
      <c r="I105" s="274"/>
      <c r="J105" s="274"/>
      <c r="K105" s="274"/>
      <c r="L105" s="275"/>
      <c r="M105" s="273"/>
      <c r="N105" s="274"/>
      <c r="O105" s="274"/>
      <c r="P105" s="274"/>
      <c r="Q105" s="274"/>
      <c r="R105" s="275"/>
    </row>
    <row r="106" spans="1:18" ht="15.75" thickBot="1">
      <c r="A106" s="276"/>
      <c r="B106" s="277"/>
      <c r="C106" s="277"/>
      <c r="D106" s="277"/>
      <c r="E106" s="277"/>
      <c r="F106" s="278"/>
      <c r="G106" s="276"/>
      <c r="H106" s="277"/>
      <c r="I106" s="277"/>
      <c r="J106" s="277"/>
      <c r="K106" s="277"/>
      <c r="L106" s="278"/>
      <c r="M106" s="276"/>
      <c r="N106" s="277"/>
      <c r="O106" s="277"/>
      <c r="P106" s="277"/>
      <c r="Q106" s="277"/>
      <c r="R106" s="278"/>
    </row>
    <row r="107" spans="1:18">
      <c r="A107" s="270"/>
      <c r="B107" s="271"/>
      <c r="C107" s="271"/>
      <c r="D107" s="271"/>
      <c r="E107" s="271"/>
      <c r="F107" s="272"/>
      <c r="G107" s="270"/>
      <c r="H107" s="271"/>
      <c r="I107" s="271"/>
      <c r="J107" s="271"/>
      <c r="K107" s="271"/>
      <c r="L107" s="272"/>
      <c r="M107" s="270"/>
      <c r="N107" s="271"/>
      <c r="O107" s="271"/>
      <c r="P107" s="271"/>
      <c r="Q107" s="271"/>
      <c r="R107" s="272"/>
    </row>
    <row r="108" spans="1:18">
      <c r="A108" s="273"/>
      <c r="B108" s="274"/>
      <c r="C108" s="274"/>
      <c r="D108" s="274"/>
      <c r="E108" s="274"/>
      <c r="F108" s="275"/>
      <c r="G108" s="273"/>
      <c r="H108" s="274"/>
      <c r="I108" s="274"/>
      <c r="J108" s="274"/>
      <c r="K108" s="274"/>
      <c r="L108" s="275"/>
      <c r="M108" s="273"/>
      <c r="N108" s="274"/>
      <c r="O108" s="274"/>
      <c r="P108" s="274"/>
      <c r="Q108" s="274"/>
      <c r="R108" s="275"/>
    </row>
    <row r="109" spans="1:18">
      <c r="A109" s="273"/>
      <c r="B109" s="274"/>
      <c r="C109" s="274"/>
      <c r="D109" s="274"/>
      <c r="E109" s="274"/>
      <c r="F109" s="275"/>
      <c r="G109" s="273"/>
      <c r="H109" s="274"/>
      <c r="I109" s="274"/>
      <c r="J109" s="274"/>
      <c r="K109" s="274"/>
      <c r="L109" s="275"/>
      <c r="M109" s="273"/>
      <c r="N109" s="274"/>
      <c r="O109" s="274"/>
      <c r="P109" s="274"/>
      <c r="Q109" s="274"/>
      <c r="R109" s="275"/>
    </row>
    <row r="110" spans="1:18">
      <c r="A110" s="273"/>
      <c r="B110" s="274"/>
      <c r="C110" s="274"/>
      <c r="D110" s="274"/>
      <c r="E110" s="274"/>
      <c r="F110" s="275"/>
      <c r="G110" s="273"/>
      <c r="H110" s="274"/>
      <c r="I110" s="274"/>
      <c r="J110" s="274"/>
      <c r="K110" s="274"/>
      <c r="L110" s="275"/>
      <c r="M110" s="273"/>
      <c r="N110" s="274"/>
      <c r="O110" s="274"/>
      <c r="P110" s="274"/>
      <c r="Q110" s="274"/>
      <c r="R110" s="275"/>
    </row>
    <row r="111" spans="1:18">
      <c r="A111" s="273"/>
      <c r="B111" s="274"/>
      <c r="C111" s="274"/>
      <c r="D111" s="274"/>
      <c r="E111" s="274"/>
      <c r="F111" s="275"/>
      <c r="G111" s="273"/>
      <c r="H111" s="274"/>
      <c r="I111" s="274"/>
      <c r="J111" s="274"/>
      <c r="K111" s="274"/>
      <c r="L111" s="275"/>
      <c r="M111" s="273"/>
      <c r="N111" s="274"/>
      <c r="O111" s="274"/>
      <c r="P111" s="274"/>
      <c r="Q111" s="274"/>
      <c r="R111" s="275"/>
    </row>
    <row r="112" spans="1:18">
      <c r="A112" s="273"/>
      <c r="B112" s="274"/>
      <c r="C112" s="274"/>
      <c r="D112" s="274"/>
      <c r="E112" s="274"/>
      <c r="F112" s="275"/>
      <c r="G112" s="273"/>
      <c r="H112" s="274"/>
      <c r="I112" s="274"/>
      <c r="J112" s="274"/>
      <c r="K112" s="274"/>
      <c r="L112" s="275"/>
      <c r="M112" s="273"/>
      <c r="N112" s="274"/>
      <c r="O112" s="274"/>
      <c r="P112" s="274"/>
      <c r="Q112" s="274"/>
      <c r="R112" s="275"/>
    </row>
    <row r="113" spans="1:18">
      <c r="A113" s="273"/>
      <c r="B113" s="274"/>
      <c r="C113" s="274"/>
      <c r="D113" s="274"/>
      <c r="E113" s="274"/>
      <c r="F113" s="275"/>
      <c r="G113" s="273"/>
      <c r="H113" s="274"/>
      <c r="I113" s="274"/>
      <c r="J113" s="274"/>
      <c r="K113" s="274"/>
      <c r="L113" s="275"/>
      <c r="M113" s="273"/>
      <c r="N113" s="274"/>
      <c r="O113" s="274"/>
      <c r="P113" s="274"/>
      <c r="Q113" s="274"/>
      <c r="R113" s="275"/>
    </row>
    <row r="114" spans="1:18">
      <c r="A114" s="273"/>
      <c r="B114" s="274"/>
      <c r="C114" s="274"/>
      <c r="D114" s="274"/>
      <c r="E114" s="274"/>
      <c r="F114" s="275"/>
      <c r="G114" s="273"/>
      <c r="H114" s="274"/>
      <c r="I114" s="274"/>
      <c r="J114" s="274"/>
      <c r="K114" s="274"/>
      <c r="L114" s="275"/>
      <c r="M114" s="273"/>
      <c r="N114" s="274"/>
      <c r="O114" s="274"/>
      <c r="P114" s="274"/>
      <c r="Q114" s="274"/>
      <c r="R114" s="275"/>
    </row>
    <row r="115" spans="1:18">
      <c r="A115" s="273"/>
      <c r="B115" s="274"/>
      <c r="C115" s="274"/>
      <c r="D115" s="274"/>
      <c r="E115" s="274"/>
      <c r="F115" s="275"/>
      <c r="G115" s="273"/>
      <c r="H115" s="274"/>
      <c r="I115" s="274"/>
      <c r="J115" s="274"/>
      <c r="K115" s="274"/>
      <c r="L115" s="275"/>
      <c r="M115" s="273"/>
      <c r="N115" s="274"/>
      <c r="O115" s="274"/>
      <c r="P115" s="274"/>
      <c r="Q115" s="274"/>
      <c r="R115" s="275"/>
    </row>
    <row r="116" spans="1:18">
      <c r="A116" s="273"/>
      <c r="B116" s="274"/>
      <c r="C116" s="274"/>
      <c r="D116" s="274"/>
      <c r="E116" s="274"/>
      <c r="F116" s="275"/>
      <c r="G116" s="273"/>
      <c r="H116" s="274"/>
      <c r="I116" s="274"/>
      <c r="J116" s="274"/>
      <c r="K116" s="274"/>
      <c r="L116" s="275"/>
      <c r="M116" s="273"/>
      <c r="N116" s="274"/>
      <c r="O116" s="274"/>
      <c r="P116" s="274"/>
      <c r="Q116" s="274"/>
      <c r="R116" s="275"/>
    </row>
    <row r="117" spans="1:18">
      <c r="A117" s="273"/>
      <c r="B117" s="274"/>
      <c r="C117" s="274"/>
      <c r="D117" s="274"/>
      <c r="E117" s="274"/>
      <c r="F117" s="275"/>
      <c r="G117" s="273"/>
      <c r="H117" s="274"/>
      <c r="I117" s="274"/>
      <c r="J117" s="274"/>
      <c r="K117" s="274"/>
      <c r="L117" s="275"/>
      <c r="M117" s="273"/>
      <c r="N117" s="274"/>
      <c r="O117" s="274"/>
      <c r="P117" s="274"/>
      <c r="Q117" s="274"/>
      <c r="R117" s="275"/>
    </row>
    <row r="118" spans="1:18">
      <c r="A118" s="273"/>
      <c r="B118" s="274"/>
      <c r="C118" s="274"/>
      <c r="D118" s="274"/>
      <c r="E118" s="274"/>
      <c r="F118" s="275"/>
      <c r="G118" s="273"/>
      <c r="H118" s="274"/>
      <c r="I118" s="274"/>
      <c r="J118" s="274"/>
      <c r="K118" s="274"/>
      <c r="L118" s="275"/>
      <c r="M118" s="273"/>
      <c r="N118" s="274"/>
      <c r="O118" s="274"/>
      <c r="P118" s="274"/>
      <c r="Q118" s="274"/>
      <c r="R118" s="275"/>
    </row>
    <row r="119" spans="1:18">
      <c r="A119" s="273"/>
      <c r="B119" s="274"/>
      <c r="C119" s="274"/>
      <c r="D119" s="274"/>
      <c r="E119" s="274"/>
      <c r="F119" s="275"/>
      <c r="G119" s="273"/>
      <c r="H119" s="274"/>
      <c r="I119" s="274"/>
      <c r="J119" s="274"/>
      <c r="K119" s="274"/>
      <c r="L119" s="275"/>
      <c r="M119" s="273"/>
      <c r="N119" s="274"/>
      <c r="O119" s="274"/>
      <c r="P119" s="274"/>
      <c r="Q119" s="274"/>
      <c r="R119" s="275"/>
    </row>
    <row r="120" spans="1:18">
      <c r="A120" s="273"/>
      <c r="B120" s="274"/>
      <c r="C120" s="274"/>
      <c r="D120" s="274"/>
      <c r="E120" s="274"/>
      <c r="F120" s="275"/>
      <c r="G120" s="273"/>
      <c r="H120" s="274"/>
      <c r="I120" s="274"/>
      <c r="J120" s="274"/>
      <c r="K120" s="274"/>
      <c r="L120" s="275"/>
      <c r="M120" s="273"/>
      <c r="N120" s="274"/>
      <c r="O120" s="274"/>
      <c r="P120" s="274"/>
      <c r="Q120" s="274"/>
      <c r="R120" s="275"/>
    </row>
    <row r="121" spans="1:18" ht="15.75" thickBot="1">
      <c r="A121" s="276"/>
      <c r="B121" s="277"/>
      <c r="C121" s="277"/>
      <c r="D121" s="277"/>
      <c r="E121" s="277"/>
      <c r="F121" s="278"/>
      <c r="G121" s="276"/>
      <c r="H121" s="277"/>
      <c r="I121" s="277"/>
      <c r="J121" s="277"/>
      <c r="K121" s="277"/>
      <c r="L121" s="278"/>
      <c r="M121" s="276"/>
      <c r="N121" s="277"/>
      <c r="O121" s="277"/>
      <c r="P121" s="277"/>
      <c r="Q121" s="277"/>
      <c r="R121" s="278"/>
    </row>
    <row r="122" spans="1:18">
      <c r="A122" s="270"/>
      <c r="B122" s="271"/>
      <c r="C122" s="271"/>
      <c r="D122" s="271"/>
      <c r="E122" s="271"/>
      <c r="F122" s="272"/>
      <c r="G122" s="270"/>
      <c r="H122" s="271"/>
      <c r="I122" s="271"/>
      <c r="J122" s="271"/>
      <c r="K122" s="271"/>
      <c r="L122" s="272"/>
      <c r="M122" s="270"/>
      <c r="N122" s="271"/>
      <c r="O122" s="271"/>
      <c r="P122" s="271"/>
      <c r="Q122" s="271"/>
      <c r="R122" s="272"/>
    </row>
    <row r="123" spans="1:18">
      <c r="A123" s="273"/>
      <c r="B123" s="274"/>
      <c r="C123" s="274"/>
      <c r="D123" s="274"/>
      <c r="E123" s="274"/>
      <c r="F123" s="275"/>
      <c r="G123" s="273"/>
      <c r="H123" s="274"/>
      <c r="I123" s="274"/>
      <c r="J123" s="274"/>
      <c r="K123" s="274"/>
      <c r="L123" s="275"/>
      <c r="M123" s="273"/>
      <c r="N123" s="274"/>
      <c r="O123" s="274"/>
      <c r="P123" s="274"/>
      <c r="Q123" s="274"/>
      <c r="R123" s="275"/>
    </row>
    <row r="124" spans="1:18">
      <c r="A124" s="273"/>
      <c r="B124" s="274"/>
      <c r="C124" s="274"/>
      <c r="D124" s="274"/>
      <c r="E124" s="274"/>
      <c r="F124" s="275"/>
      <c r="G124" s="273"/>
      <c r="H124" s="274"/>
      <c r="I124" s="274"/>
      <c r="J124" s="274"/>
      <c r="K124" s="274"/>
      <c r="L124" s="275"/>
      <c r="M124" s="273"/>
      <c r="N124" s="274"/>
      <c r="O124" s="274"/>
      <c r="P124" s="274"/>
      <c r="Q124" s="274"/>
      <c r="R124" s="275"/>
    </row>
    <row r="125" spans="1:18">
      <c r="A125" s="273"/>
      <c r="B125" s="274"/>
      <c r="C125" s="274"/>
      <c r="D125" s="274"/>
      <c r="E125" s="274"/>
      <c r="F125" s="275"/>
      <c r="G125" s="273"/>
      <c r="H125" s="274"/>
      <c r="I125" s="274"/>
      <c r="J125" s="274"/>
      <c r="K125" s="274"/>
      <c r="L125" s="275"/>
      <c r="M125" s="273"/>
      <c r="N125" s="274"/>
      <c r="O125" s="274"/>
      <c r="P125" s="274"/>
      <c r="Q125" s="274"/>
      <c r="R125" s="275"/>
    </row>
    <row r="126" spans="1:18">
      <c r="A126" s="273"/>
      <c r="B126" s="274"/>
      <c r="C126" s="274"/>
      <c r="D126" s="274"/>
      <c r="E126" s="274"/>
      <c r="F126" s="275"/>
      <c r="G126" s="273"/>
      <c r="H126" s="274"/>
      <c r="I126" s="274"/>
      <c r="J126" s="274"/>
      <c r="K126" s="274"/>
      <c r="L126" s="275"/>
      <c r="M126" s="273"/>
      <c r="N126" s="274"/>
      <c r="O126" s="274"/>
      <c r="P126" s="274"/>
      <c r="Q126" s="274"/>
      <c r="R126" s="275"/>
    </row>
    <row r="127" spans="1:18">
      <c r="A127" s="273"/>
      <c r="B127" s="274"/>
      <c r="C127" s="274"/>
      <c r="D127" s="274"/>
      <c r="E127" s="274"/>
      <c r="F127" s="275"/>
      <c r="G127" s="273"/>
      <c r="H127" s="274"/>
      <c r="I127" s="274"/>
      <c r="J127" s="274"/>
      <c r="K127" s="274"/>
      <c r="L127" s="275"/>
      <c r="M127" s="273"/>
      <c r="N127" s="274"/>
      <c r="O127" s="274"/>
      <c r="P127" s="274"/>
      <c r="Q127" s="274"/>
      <c r="R127" s="275"/>
    </row>
    <row r="128" spans="1:18">
      <c r="A128" s="273"/>
      <c r="B128" s="274"/>
      <c r="C128" s="274"/>
      <c r="D128" s="274"/>
      <c r="E128" s="274"/>
      <c r="F128" s="275"/>
      <c r="G128" s="273"/>
      <c r="H128" s="274"/>
      <c r="I128" s="274"/>
      <c r="J128" s="274"/>
      <c r="K128" s="274"/>
      <c r="L128" s="275"/>
      <c r="M128" s="273"/>
      <c r="N128" s="274"/>
      <c r="O128" s="274"/>
      <c r="P128" s="274"/>
      <c r="Q128" s="274"/>
      <c r="R128" s="275"/>
    </row>
    <row r="129" spans="1:18">
      <c r="A129" s="273"/>
      <c r="B129" s="274"/>
      <c r="C129" s="274"/>
      <c r="D129" s="274"/>
      <c r="E129" s="274"/>
      <c r="F129" s="275"/>
      <c r="G129" s="273"/>
      <c r="H129" s="274"/>
      <c r="I129" s="274"/>
      <c r="J129" s="274"/>
      <c r="K129" s="274"/>
      <c r="L129" s="275"/>
      <c r="M129" s="273"/>
      <c r="N129" s="274"/>
      <c r="O129" s="274"/>
      <c r="P129" s="274"/>
      <c r="Q129" s="274"/>
      <c r="R129" s="275"/>
    </row>
    <row r="130" spans="1:18">
      <c r="A130" s="273"/>
      <c r="B130" s="274"/>
      <c r="C130" s="274"/>
      <c r="D130" s="274"/>
      <c r="E130" s="274"/>
      <c r="F130" s="275"/>
      <c r="G130" s="273"/>
      <c r="H130" s="274"/>
      <c r="I130" s="274"/>
      <c r="J130" s="274"/>
      <c r="K130" s="274"/>
      <c r="L130" s="275"/>
      <c r="M130" s="273"/>
      <c r="N130" s="274"/>
      <c r="O130" s="274"/>
      <c r="P130" s="274"/>
      <c r="Q130" s="274"/>
      <c r="R130" s="275"/>
    </row>
    <row r="131" spans="1:18">
      <c r="A131" s="273"/>
      <c r="B131" s="274"/>
      <c r="C131" s="274"/>
      <c r="D131" s="274"/>
      <c r="E131" s="274"/>
      <c r="F131" s="275"/>
      <c r="G131" s="273"/>
      <c r="H131" s="274"/>
      <c r="I131" s="274"/>
      <c r="J131" s="274"/>
      <c r="K131" s="274"/>
      <c r="L131" s="275"/>
      <c r="M131" s="273"/>
      <c r="N131" s="274"/>
      <c r="O131" s="274"/>
      <c r="P131" s="274"/>
      <c r="Q131" s="274"/>
      <c r="R131" s="275"/>
    </row>
    <row r="132" spans="1:18">
      <c r="A132" s="273"/>
      <c r="B132" s="274"/>
      <c r="C132" s="274"/>
      <c r="D132" s="274"/>
      <c r="E132" s="274"/>
      <c r="F132" s="275"/>
      <c r="G132" s="273"/>
      <c r="H132" s="274"/>
      <c r="I132" s="274"/>
      <c r="J132" s="274"/>
      <c r="K132" s="274"/>
      <c r="L132" s="275"/>
      <c r="M132" s="273"/>
      <c r="N132" s="274"/>
      <c r="O132" s="274"/>
      <c r="P132" s="274"/>
      <c r="Q132" s="274"/>
      <c r="R132" s="275"/>
    </row>
    <row r="133" spans="1:18">
      <c r="A133" s="273"/>
      <c r="B133" s="274"/>
      <c r="C133" s="274"/>
      <c r="D133" s="274"/>
      <c r="E133" s="274"/>
      <c r="F133" s="275"/>
      <c r="G133" s="273"/>
      <c r="H133" s="274"/>
      <c r="I133" s="274"/>
      <c r="J133" s="274"/>
      <c r="K133" s="274"/>
      <c r="L133" s="275"/>
      <c r="M133" s="273"/>
      <c r="N133" s="274"/>
      <c r="O133" s="274"/>
      <c r="P133" s="274"/>
      <c r="Q133" s="274"/>
      <c r="R133" s="275"/>
    </row>
    <row r="134" spans="1:18">
      <c r="A134" s="273"/>
      <c r="B134" s="274"/>
      <c r="C134" s="274"/>
      <c r="D134" s="274"/>
      <c r="E134" s="274"/>
      <c r="F134" s="275"/>
      <c r="G134" s="273"/>
      <c r="H134" s="274"/>
      <c r="I134" s="274"/>
      <c r="J134" s="274"/>
      <c r="K134" s="274"/>
      <c r="L134" s="275"/>
      <c r="M134" s="273"/>
      <c r="N134" s="274"/>
      <c r="O134" s="274"/>
      <c r="P134" s="274"/>
      <c r="Q134" s="274"/>
      <c r="R134" s="275"/>
    </row>
    <row r="135" spans="1:18">
      <c r="A135" s="273"/>
      <c r="B135" s="274"/>
      <c r="C135" s="274"/>
      <c r="D135" s="274"/>
      <c r="E135" s="274"/>
      <c r="F135" s="275"/>
      <c r="G135" s="273"/>
      <c r="H135" s="274"/>
      <c r="I135" s="274"/>
      <c r="J135" s="274"/>
      <c r="K135" s="274"/>
      <c r="L135" s="275"/>
      <c r="M135" s="273"/>
      <c r="N135" s="274"/>
      <c r="O135" s="274"/>
      <c r="P135" s="274"/>
      <c r="Q135" s="274"/>
      <c r="R135" s="275"/>
    </row>
    <row r="136" spans="1:18" ht="15.75" thickBot="1">
      <c r="A136" s="276"/>
      <c r="B136" s="277"/>
      <c r="C136" s="277"/>
      <c r="D136" s="277"/>
      <c r="E136" s="277"/>
      <c r="F136" s="278"/>
      <c r="G136" s="276"/>
      <c r="H136" s="277"/>
      <c r="I136" s="277"/>
      <c r="J136" s="277"/>
      <c r="K136" s="277"/>
      <c r="L136" s="278"/>
      <c r="M136" s="276"/>
      <c r="N136" s="277"/>
      <c r="O136" s="277"/>
      <c r="P136" s="277"/>
      <c r="Q136" s="277"/>
      <c r="R136" s="278"/>
    </row>
    <row r="137" spans="1:18">
      <c r="A137" s="270"/>
      <c r="B137" s="271"/>
      <c r="C137" s="271"/>
      <c r="D137" s="271"/>
      <c r="E137" s="271"/>
      <c r="F137" s="272"/>
      <c r="G137" s="270"/>
      <c r="H137" s="271"/>
      <c r="I137" s="271"/>
      <c r="J137" s="271"/>
      <c r="K137" s="271"/>
      <c r="L137" s="272"/>
      <c r="M137" s="270"/>
      <c r="N137" s="271"/>
      <c r="O137" s="271"/>
      <c r="P137" s="271"/>
      <c r="Q137" s="271"/>
      <c r="R137" s="272"/>
    </row>
    <row r="138" spans="1:18">
      <c r="A138" s="273"/>
      <c r="B138" s="274"/>
      <c r="C138" s="274"/>
      <c r="D138" s="274"/>
      <c r="E138" s="274"/>
      <c r="F138" s="275"/>
      <c r="G138" s="273"/>
      <c r="H138" s="274"/>
      <c r="I138" s="274"/>
      <c r="J138" s="274"/>
      <c r="K138" s="274"/>
      <c r="L138" s="275"/>
      <c r="M138" s="273"/>
      <c r="N138" s="274"/>
      <c r="O138" s="274"/>
      <c r="P138" s="274"/>
      <c r="Q138" s="274"/>
      <c r="R138" s="275"/>
    </row>
    <row r="139" spans="1:18">
      <c r="A139" s="273"/>
      <c r="B139" s="274"/>
      <c r="C139" s="274"/>
      <c r="D139" s="274"/>
      <c r="E139" s="274"/>
      <c r="F139" s="275"/>
      <c r="G139" s="273"/>
      <c r="H139" s="274"/>
      <c r="I139" s="274"/>
      <c r="J139" s="274"/>
      <c r="K139" s="274"/>
      <c r="L139" s="275"/>
      <c r="M139" s="273"/>
      <c r="N139" s="274"/>
      <c r="O139" s="274"/>
      <c r="P139" s="274"/>
      <c r="Q139" s="274"/>
      <c r="R139" s="275"/>
    </row>
    <row r="140" spans="1:18">
      <c r="A140" s="273"/>
      <c r="B140" s="274"/>
      <c r="C140" s="274"/>
      <c r="D140" s="274"/>
      <c r="E140" s="274"/>
      <c r="F140" s="275"/>
      <c r="G140" s="273"/>
      <c r="H140" s="274"/>
      <c r="I140" s="274"/>
      <c r="J140" s="274"/>
      <c r="K140" s="274"/>
      <c r="L140" s="275"/>
      <c r="M140" s="273"/>
      <c r="N140" s="274"/>
      <c r="O140" s="274"/>
      <c r="P140" s="274"/>
      <c r="Q140" s="274"/>
      <c r="R140" s="275"/>
    </row>
    <row r="141" spans="1:18">
      <c r="A141" s="273"/>
      <c r="B141" s="274"/>
      <c r="C141" s="274"/>
      <c r="D141" s="274"/>
      <c r="E141" s="274"/>
      <c r="F141" s="275"/>
      <c r="G141" s="273"/>
      <c r="H141" s="274"/>
      <c r="I141" s="274"/>
      <c r="J141" s="274"/>
      <c r="K141" s="274"/>
      <c r="L141" s="275"/>
      <c r="M141" s="273"/>
      <c r="N141" s="274"/>
      <c r="O141" s="274"/>
      <c r="P141" s="274"/>
      <c r="Q141" s="274"/>
      <c r="R141" s="275"/>
    </row>
    <row r="142" spans="1:18">
      <c r="A142" s="273"/>
      <c r="B142" s="274"/>
      <c r="C142" s="274"/>
      <c r="D142" s="274"/>
      <c r="E142" s="274"/>
      <c r="F142" s="275"/>
      <c r="G142" s="273"/>
      <c r="H142" s="274"/>
      <c r="I142" s="274"/>
      <c r="J142" s="274"/>
      <c r="K142" s="274"/>
      <c r="L142" s="275"/>
      <c r="M142" s="273"/>
      <c r="N142" s="274"/>
      <c r="O142" s="274"/>
      <c r="P142" s="274"/>
      <c r="Q142" s="274"/>
      <c r="R142" s="275"/>
    </row>
    <row r="143" spans="1:18">
      <c r="A143" s="273"/>
      <c r="B143" s="274"/>
      <c r="C143" s="274"/>
      <c r="D143" s="274"/>
      <c r="E143" s="274"/>
      <c r="F143" s="275"/>
      <c r="G143" s="273"/>
      <c r="H143" s="274"/>
      <c r="I143" s="274"/>
      <c r="J143" s="274"/>
      <c r="K143" s="274"/>
      <c r="L143" s="275"/>
      <c r="M143" s="273"/>
      <c r="N143" s="274"/>
      <c r="O143" s="274"/>
      <c r="P143" s="274"/>
      <c r="Q143" s="274"/>
      <c r="R143" s="275"/>
    </row>
    <row r="144" spans="1:18">
      <c r="A144" s="273"/>
      <c r="B144" s="274"/>
      <c r="C144" s="274"/>
      <c r="D144" s="274"/>
      <c r="E144" s="274"/>
      <c r="F144" s="275"/>
      <c r="G144" s="273"/>
      <c r="H144" s="274"/>
      <c r="I144" s="274"/>
      <c r="J144" s="274"/>
      <c r="K144" s="274"/>
      <c r="L144" s="275"/>
      <c r="M144" s="273"/>
      <c r="N144" s="274"/>
      <c r="O144" s="274"/>
      <c r="P144" s="274"/>
      <c r="Q144" s="274"/>
      <c r="R144" s="275"/>
    </row>
    <row r="145" spans="1:18">
      <c r="A145" s="273"/>
      <c r="B145" s="274"/>
      <c r="C145" s="274"/>
      <c r="D145" s="274"/>
      <c r="E145" s="274"/>
      <c r="F145" s="275"/>
      <c r="G145" s="273"/>
      <c r="H145" s="274"/>
      <c r="I145" s="274"/>
      <c r="J145" s="274"/>
      <c r="K145" s="274"/>
      <c r="L145" s="275"/>
      <c r="M145" s="273"/>
      <c r="N145" s="274"/>
      <c r="O145" s="274"/>
      <c r="P145" s="274"/>
      <c r="Q145" s="274"/>
      <c r="R145" s="275"/>
    </row>
    <row r="146" spans="1:18">
      <c r="A146" s="273"/>
      <c r="B146" s="274"/>
      <c r="C146" s="274"/>
      <c r="D146" s="274"/>
      <c r="E146" s="274"/>
      <c r="F146" s="275"/>
      <c r="G146" s="273"/>
      <c r="H146" s="274"/>
      <c r="I146" s="274"/>
      <c r="J146" s="274"/>
      <c r="K146" s="274"/>
      <c r="L146" s="275"/>
      <c r="M146" s="273"/>
      <c r="N146" s="274"/>
      <c r="O146" s="274"/>
      <c r="P146" s="274"/>
      <c r="Q146" s="274"/>
      <c r="R146" s="275"/>
    </row>
    <row r="147" spans="1:18">
      <c r="A147" s="273"/>
      <c r="B147" s="274"/>
      <c r="C147" s="274"/>
      <c r="D147" s="274"/>
      <c r="E147" s="274"/>
      <c r="F147" s="275"/>
      <c r="G147" s="273"/>
      <c r="H147" s="274"/>
      <c r="I147" s="274"/>
      <c r="J147" s="274"/>
      <c r="K147" s="274"/>
      <c r="L147" s="275"/>
      <c r="M147" s="273"/>
      <c r="N147" s="274"/>
      <c r="O147" s="274"/>
      <c r="P147" s="274"/>
      <c r="Q147" s="274"/>
      <c r="R147" s="275"/>
    </row>
    <row r="148" spans="1:18">
      <c r="A148" s="273"/>
      <c r="B148" s="274"/>
      <c r="C148" s="274"/>
      <c r="D148" s="274"/>
      <c r="E148" s="274"/>
      <c r="F148" s="275"/>
      <c r="G148" s="273"/>
      <c r="H148" s="274"/>
      <c r="I148" s="274"/>
      <c r="J148" s="274"/>
      <c r="K148" s="274"/>
      <c r="L148" s="275"/>
      <c r="M148" s="273"/>
      <c r="N148" s="274"/>
      <c r="O148" s="274"/>
      <c r="P148" s="274"/>
      <c r="Q148" s="274"/>
      <c r="R148" s="275"/>
    </row>
    <row r="149" spans="1:18">
      <c r="A149" s="273"/>
      <c r="B149" s="274"/>
      <c r="C149" s="274"/>
      <c r="D149" s="274"/>
      <c r="E149" s="274"/>
      <c r="F149" s="275"/>
      <c r="G149" s="273"/>
      <c r="H149" s="274"/>
      <c r="I149" s="274"/>
      <c r="J149" s="274"/>
      <c r="K149" s="274"/>
      <c r="L149" s="275"/>
      <c r="M149" s="273"/>
      <c r="N149" s="274"/>
      <c r="O149" s="274"/>
      <c r="P149" s="274"/>
      <c r="Q149" s="274"/>
      <c r="R149" s="275"/>
    </row>
    <row r="150" spans="1:18">
      <c r="A150" s="273"/>
      <c r="B150" s="274"/>
      <c r="C150" s="274"/>
      <c r="D150" s="274"/>
      <c r="E150" s="274"/>
      <c r="F150" s="275"/>
      <c r="G150" s="273"/>
      <c r="H150" s="274"/>
      <c r="I150" s="274"/>
      <c r="J150" s="274"/>
      <c r="K150" s="274"/>
      <c r="L150" s="275"/>
      <c r="M150" s="273"/>
      <c r="N150" s="274"/>
      <c r="O150" s="274"/>
      <c r="P150" s="274"/>
      <c r="Q150" s="274"/>
      <c r="R150" s="275"/>
    </row>
    <row r="151" spans="1:18" ht="15.75" thickBot="1">
      <c r="A151" s="276"/>
      <c r="B151" s="277"/>
      <c r="C151" s="277"/>
      <c r="D151" s="277"/>
      <c r="E151" s="277"/>
      <c r="F151" s="278"/>
      <c r="G151" s="276"/>
      <c r="H151" s="277"/>
      <c r="I151" s="277"/>
      <c r="J151" s="277"/>
      <c r="K151" s="277"/>
      <c r="L151" s="278"/>
      <c r="M151" s="276"/>
      <c r="N151" s="277"/>
      <c r="O151" s="277"/>
      <c r="P151" s="277"/>
      <c r="Q151" s="277"/>
      <c r="R151" s="278"/>
    </row>
    <row r="152" spans="1:18">
      <c r="A152" s="270"/>
      <c r="B152" s="271"/>
      <c r="C152" s="271"/>
      <c r="D152" s="271"/>
      <c r="E152" s="271"/>
      <c r="F152" s="272"/>
      <c r="G152" s="270"/>
      <c r="H152" s="271"/>
      <c r="I152" s="271"/>
      <c r="J152" s="271"/>
      <c r="K152" s="271"/>
      <c r="L152" s="272"/>
      <c r="M152" s="270"/>
      <c r="N152" s="271"/>
      <c r="O152" s="271"/>
      <c r="P152" s="271"/>
      <c r="Q152" s="271"/>
      <c r="R152" s="272"/>
    </row>
    <row r="153" spans="1:18">
      <c r="A153" s="273"/>
      <c r="B153" s="274"/>
      <c r="C153" s="274"/>
      <c r="D153" s="274"/>
      <c r="E153" s="274"/>
      <c r="F153" s="275"/>
      <c r="G153" s="273"/>
      <c r="H153" s="274"/>
      <c r="I153" s="274"/>
      <c r="J153" s="274"/>
      <c r="K153" s="274"/>
      <c r="L153" s="275"/>
      <c r="M153" s="273"/>
      <c r="N153" s="274"/>
      <c r="O153" s="274"/>
      <c r="P153" s="274"/>
      <c r="Q153" s="274"/>
      <c r="R153" s="275"/>
    </row>
    <row r="154" spans="1:18">
      <c r="A154" s="273"/>
      <c r="B154" s="274"/>
      <c r="C154" s="274"/>
      <c r="D154" s="274"/>
      <c r="E154" s="274"/>
      <c r="F154" s="275"/>
      <c r="G154" s="273"/>
      <c r="H154" s="274"/>
      <c r="I154" s="274"/>
      <c r="J154" s="274"/>
      <c r="K154" s="274"/>
      <c r="L154" s="275"/>
      <c r="M154" s="273"/>
      <c r="N154" s="274"/>
      <c r="O154" s="274"/>
      <c r="P154" s="274"/>
      <c r="Q154" s="274"/>
      <c r="R154" s="275"/>
    </row>
    <row r="155" spans="1:18">
      <c r="A155" s="273"/>
      <c r="B155" s="274"/>
      <c r="C155" s="274"/>
      <c r="D155" s="274"/>
      <c r="E155" s="274"/>
      <c r="F155" s="275"/>
      <c r="G155" s="273"/>
      <c r="H155" s="274"/>
      <c r="I155" s="274"/>
      <c r="J155" s="274"/>
      <c r="K155" s="274"/>
      <c r="L155" s="275"/>
      <c r="M155" s="273"/>
      <c r="N155" s="274"/>
      <c r="O155" s="274"/>
      <c r="P155" s="274"/>
      <c r="Q155" s="274"/>
      <c r="R155" s="275"/>
    </row>
    <row r="156" spans="1:18">
      <c r="A156" s="273"/>
      <c r="B156" s="274"/>
      <c r="C156" s="274"/>
      <c r="D156" s="274"/>
      <c r="E156" s="274"/>
      <c r="F156" s="275"/>
      <c r="G156" s="273"/>
      <c r="H156" s="274"/>
      <c r="I156" s="274"/>
      <c r="J156" s="274"/>
      <c r="K156" s="274"/>
      <c r="L156" s="275"/>
      <c r="M156" s="273"/>
      <c r="N156" s="274"/>
      <c r="O156" s="274"/>
      <c r="P156" s="274"/>
      <c r="Q156" s="274"/>
      <c r="R156" s="275"/>
    </row>
    <row r="157" spans="1:18">
      <c r="A157" s="273"/>
      <c r="B157" s="274"/>
      <c r="C157" s="274"/>
      <c r="D157" s="274"/>
      <c r="E157" s="274"/>
      <c r="F157" s="275"/>
      <c r="G157" s="273"/>
      <c r="H157" s="274"/>
      <c r="I157" s="274"/>
      <c r="J157" s="274"/>
      <c r="K157" s="274"/>
      <c r="L157" s="275"/>
      <c r="M157" s="273"/>
      <c r="N157" s="274"/>
      <c r="O157" s="274"/>
      <c r="P157" s="274"/>
      <c r="Q157" s="274"/>
      <c r="R157" s="275"/>
    </row>
    <row r="158" spans="1:18">
      <c r="A158" s="273"/>
      <c r="B158" s="274"/>
      <c r="C158" s="274"/>
      <c r="D158" s="274"/>
      <c r="E158" s="274"/>
      <c r="F158" s="275"/>
      <c r="G158" s="273"/>
      <c r="H158" s="274"/>
      <c r="I158" s="274"/>
      <c r="J158" s="274"/>
      <c r="K158" s="274"/>
      <c r="L158" s="275"/>
      <c r="M158" s="273"/>
      <c r="N158" s="274"/>
      <c r="O158" s="274"/>
      <c r="P158" s="274"/>
      <c r="Q158" s="274"/>
      <c r="R158" s="275"/>
    </row>
    <row r="159" spans="1:18">
      <c r="A159" s="273"/>
      <c r="B159" s="274"/>
      <c r="C159" s="274"/>
      <c r="D159" s="274"/>
      <c r="E159" s="274"/>
      <c r="F159" s="275"/>
      <c r="G159" s="273"/>
      <c r="H159" s="274"/>
      <c r="I159" s="274"/>
      <c r="J159" s="274"/>
      <c r="K159" s="274"/>
      <c r="L159" s="275"/>
      <c r="M159" s="273"/>
      <c r="N159" s="274"/>
      <c r="O159" s="274"/>
      <c r="P159" s="274"/>
      <c r="Q159" s="274"/>
      <c r="R159" s="275"/>
    </row>
    <row r="160" spans="1:18">
      <c r="A160" s="273"/>
      <c r="B160" s="274"/>
      <c r="C160" s="274"/>
      <c r="D160" s="274"/>
      <c r="E160" s="274"/>
      <c r="F160" s="275"/>
      <c r="G160" s="273"/>
      <c r="H160" s="274"/>
      <c r="I160" s="274"/>
      <c r="J160" s="274"/>
      <c r="K160" s="274"/>
      <c r="L160" s="275"/>
      <c r="M160" s="273"/>
      <c r="N160" s="274"/>
      <c r="O160" s="274"/>
      <c r="P160" s="274"/>
      <c r="Q160" s="274"/>
      <c r="R160" s="275"/>
    </row>
    <row r="161" spans="1:18">
      <c r="A161" s="273"/>
      <c r="B161" s="274"/>
      <c r="C161" s="274"/>
      <c r="D161" s="274"/>
      <c r="E161" s="274"/>
      <c r="F161" s="275"/>
      <c r="G161" s="273"/>
      <c r="H161" s="274"/>
      <c r="I161" s="274"/>
      <c r="J161" s="274"/>
      <c r="K161" s="274"/>
      <c r="L161" s="275"/>
      <c r="M161" s="273"/>
      <c r="N161" s="274"/>
      <c r="O161" s="274"/>
      <c r="P161" s="274"/>
      <c r="Q161" s="274"/>
      <c r="R161" s="275"/>
    </row>
    <row r="162" spans="1:18">
      <c r="A162" s="273"/>
      <c r="B162" s="274"/>
      <c r="C162" s="274"/>
      <c r="D162" s="274"/>
      <c r="E162" s="274"/>
      <c r="F162" s="275"/>
      <c r="G162" s="273"/>
      <c r="H162" s="274"/>
      <c r="I162" s="274"/>
      <c r="J162" s="274"/>
      <c r="K162" s="274"/>
      <c r="L162" s="275"/>
      <c r="M162" s="273"/>
      <c r="N162" s="274"/>
      <c r="O162" s="274"/>
      <c r="P162" s="274"/>
      <c r="Q162" s="274"/>
      <c r="R162" s="275"/>
    </row>
    <row r="163" spans="1:18">
      <c r="A163" s="273"/>
      <c r="B163" s="274"/>
      <c r="C163" s="274"/>
      <c r="D163" s="274"/>
      <c r="E163" s="274"/>
      <c r="F163" s="275"/>
      <c r="G163" s="273"/>
      <c r="H163" s="274"/>
      <c r="I163" s="274"/>
      <c r="J163" s="274"/>
      <c r="K163" s="274"/>
      <c r="L163" s="275"/>
      <c r="M163" s="273"/>
      <c r="N163" s="274"/>
      <c r="O163" s="274"/>
      <c r="P163" s="274"/>
      <c r="Q163" s="274"/>
      <c r="R163" s="275"/>
    </row>
    <row r="164" spans="1:18">
      <c r="A164" s="273"/>
      <c r="B164" s="274"/>
      <c r="C164" s="274"/>
      <c r="D164" s="274"/>
      <c r="E164" s="274"/>
      <c r="F164" s="275"/>
      <c r="G164" s="273"/>
      <c r="H164" s="274"/>
      <c r="I164" s="274"/>
      <c r="J164" s="274"/>
      <c r="K164" s="274"/>
      <c r="L164" s="275"/>
      <c r="M164" s="273"/>
      <c r="N164" s="274"/>
      <c r="O164" s="274"/>
      <c r="P164" s="274"/>
      <c r="Q164" s="274"/>
      <c r="R164" s="275"/>
    </row>
    <row r="165" spans="1:18">
      <c r="A165" s="273"/>
      <c r="B165" s="274"/>
      <c r="C165" s="274"/>
      <c r="D165" s="274"/>
      <c r="E165" s="274"/>
      <c r="F165" s="275"/>
      <c r="G165" s="273"/>
      <c r="H165" s="274"/>
      <c r="I165" s="274"/>
      <c r="J165" s="274"/>
      <c r="K165" s="274"/>
      <c r="L165" s="275"/>
      <c r="M165" s="273"/>
      <c r="N165" s="274"/>
      <c r="O165" s="274"/>
      <c r="P165" s="274"/>
      <c r="Q165" s="274"/>
      <c r="R165" s="275"/>
    </row>
    <row r="166" spans="1:18" ht="15.75" thickBot="1">
      <c r="A166" s="276"/>
      <c r="B166" s="277"/>
      <c r="C166" s="277"/>
      <c r="D166" s="277"/>
      <c r="E166" s="277"/>
      <c r="F166" s="278"/>
      <c r="G166" s="276"/>
      <c r="H166" s="277"/>
      <c r="I166" s="277"/>
      <c r="J166" s="277"/>
      <c r="K166" s="277"/>
      <c r="L166" s="278"/>
      <c r="M166" s="276"/>
      <c r="N166" s="277"/>
      <c r="O166" s="277"/>
      <c r="P166" s="277"/>
      <c r="Q166" s="277"/>
      <c r="R166" s="278"/>
    </row>
    <row r="167" spans="1:18">
      <c r="A167" s="270"/>
      <c r="B167" s="271"/>
      <c r="C167" s="271"/>
      <c r="D167" s="271"/>
      <c r="E167" s="271"/>
      <c r="F167" s="272"/>
      <c r="G167" s="270"/>
      <c r="H167" s="271"/>
      <c r="I167" s="271"/>
      <c r="J167" s="271"/>
      <c r="K167" s="271"/>
      <c r="L167" s="272"/>
      <c r="M167" s="270"/>
      <c r="N167" s="271"/>
      <c r="O167" s="271"/>
      <c r="P167" s="271"/>
      <c r="Q167" s="271"/>
      <c r="R167" s="272"/>
    </row>
    <row r="168" spans="1:18">
      <c r="A168" s="273"/>
      <c r="B168" s="274"/>
      <c r="C168" s="274"/>
      <c r="D168" s="274"/>
      <c r="E168" s="274"/>
      <c r="F168" s="275"/>
      <c r="G168" s="273"/>
      <c r="H168" s="274"/>
      <c r="I168" s="274"/>
      <c r="J168" s="274"/>
      <c r="K168" s="274"/>
      <c r="L168" s="275"/>
      <c r="M168" s="273"/>
      <c r="N168" s="274"/>
      <c r="O168" s="274"/>
      <c r="P168" s="274"/>
      <c r="Q168" s="274"/>
      <c r="R168" s="275"/>
    </row>
    <row r="169" spans="1:18">
      <c r="A169" s="273"/>
      <c r="B169" s="274"/>
      <c r="C169" s="274"/>
      <c r="D169" s="274"/>
      <c r="E169" s="274"/>
      <c r="F169" s="275"/>
      <c r="G169" s="273"/>
      <c r="H169" s="274"/>
      <c r="I169" s="274"/>
      <c r="J169" s="274"/>
      <c r="K169" s="274"/>
      <c r="L169" s="275"/>
      <c r="M169" s="273"/>
      <c r="N169" s="274"/>
      <c r="O169" s="274"/>
      <c r="P169" s="274"/>
      <c r="Q169" s="274"/>
      <c r="R169" s="275"/>
    </row>
    <row r="170" spans="1:18">
      <c r="A170" s="273"/>
      <c r="B170" s="274"/>
      <c r="C170" s="274"/>
      <c r="D170" s="274"/>
      <c r="E170" s="274"/>
      <c r="F170" s="275"/>
      <c r="G170" s="273"/>
      <c r="H170" s="274"/>
      <c r="I170" s="274"/>
      <c r="J170" s="274"/>
      <c r="K170" s="274"/>
      <c r="L170" s="275"/>
      <c r="M170" s="273"/>
      <c r="N170" s="274"/>
      <c r="O170" s="274"/>
      <c r="P170" s="274"/>
      <c r="Q170" s="274"/>
      <c r="R170" s="275"/>
    </row>
    <row r="171" spans="1:18">
      <c r="A171" s="273"/>
      <c r="B171" s="274"/>
      <c r="C171" s="274"/>
      <c r="D171" s="274"/>
      <c r="E171" s="274"/>
      <c r="F171" s="275"/>
      <c r="G171" s="273"/>
      <c r="H171" s="274"/>
      <c r="I171" s="274"/>
      <c r="J171" s="274"/>
      <c r="K171" s="274"/>
      <c r="L171" s="275"/>
      <c r="M171" s="273"/>
      <c r="N171" s="274"/>
      <c r="O171" s="274"/>
      <c r="P171" s="274"/>
      <c r="Q171" s="274"/>
      <c r="R171" s="275"/>
    </row>
    <row r="172" spans="1:18">
      <c r="A172" s="273"/>
      <c r="B172" s="274"/>
      <c r="C172" s="274"/>
      <c r="D172" s="274"/>
      <c r="E172" s="274"/>
      <c r="F172" s="275"/>
      <c r="G172" s="273"/>
      <c r="H172" s="274"/>
      <c r="I172" s="274"/>
      <c r="J172" s="274"/>
      <c r="K172" s="274"/>
      <c r="L172" s="275"/>
      <c r="M172" s="273"/>
      <c r="N172" s="274"/>
      <c r="O172" s="274"/>
      <c r="P172" s="274"/>
      <c r="Q172" s="274"/>
      <c r="R172" s="275"/>
    </row>
    <row r="173" spans="1:18">
      <c r="A173" s="273"/>
      <c r="B173" s="274"/>
      <c r="C173" s="274"/>
      <c r="D173" s="274"/>
      <c r="E173" s="274"/>
      <c r="F173" s="275"/>
      <c r="G173" s="273"/>
      <c r="H173" s="274"/>
      <c r="I173" s="274"/>
      <c r="J173" s="274"/>
      <c r="K173" s="274"/>
      <c r="L173" s="275"/>
      <c r="M173" s="273"/>
      <c r="N173" s="274"/>
      <c r="O173" s="274"/>
      <c r="P173" s="274"/>
      <c r="Q173" s="274"/>
      <c r="R173" s="275"/>
    </row>
    <row r="174" spans="1:18">
      <c r="A174" s="273"/>
      <c r="B174" s="274"/>
      <c r="C174" s="274"/>
      <c r="D174" s="274"/>
      <c r="E174" s="274"/>
      <c r="F174" s="275"/>
      <c r="G174" s="273"/>
      <c r="H174" s="274"/>
      <c r="I174" s="274"/>
      <c r="J174" s="274"/>
      <c r="K174" s="274"/>
      <c r="L174" s="275"/>
      <c r="M174" s="273"/>
      <c r="N174" s="274"/>
      <c r="O174" s="274"/>
      <c r="P174" s="274"/>
      <c r="Q174" s="274"/>
      <c r="R174" s="275"/>
    </row>
    <row r="175" spans="1:18">
      <c r="A175" s="273"/>
      <c r="B175" s="274"/>
      <c r="C175" s="274"/>
      <c r="D175" s="274"/>
      <c r="E175" s="274"/>
      <c r="F175" s="275"/>
      <c r="G175" s="273"/>
      <c r="H175" s="274"/>
      <c r="I175" s="274"/>
      <c r="J175" s="274"/>
      <c r="K175" s="274"/>
      <c r="L175" s="275"/>
      <c r="M175" s="273"/>
      <c r="N175" s="274"/>
      <c r="O175" s="274"/>
      <c r="P175" s="274"/>
      <c r="Q175" s="274"/>
      <c r="R175" s="275"/>
    </row>
    <row r="176" spans="1:18">
      <c r="A176" s="273"/>
      <c r="B176" s="274"/>
      <c r="C176" s="274"/>
      <c r="D176" s="274"/>
      <c r="E176" s="274"/>
      <c r="F176" s="275"/>
      <c r="G176" s="273"/>
      <c r="H176" s="274"/>
      <c r="I176" s="274"/>
      <c r="J176" s="274"/>
      <c r="K176" s="274"/>
      <c r="L176" s="275"/>
      <c r="M176" s="273"/>
      <c r="N176" s="274"/>
      <c r="O176" s="274"/>
      <c r="P176" s="274"/>
      <c r="Q176" s="274"/>
      <c r="R176" s="275"/>
    </row>
    <row r="177" spans="1:18">
      <c r="A177" s="273"/>
      <c r="B177" s="274"/>
      <c r="C177" s="274"/>
      <c r="D177" s="274"/>
      <c r="E177" s="274"/>
      <c r="F177" s="275"/>
      <c r="G177" s="273"/>
      <c r="H177" s="274"/>
      <c r="I177" s="274"/>
      <c r="J177" s="274"/>
      <c r="K177" s="274"/>
      <c r="L177" s="275"/>
      <c r="M177" s="273"/>
      <c r="N177" s="274"/>
      <c r="O177" s="274"/>
      <c r="P177" s="274"/>
      <c r="Q177" s="274"/>
      <c r="R177" s="275"/>
    </row>
    <row r="178" spans="1:18">
      <c r="A178" s="273"/>
      <c r="B178" s="274"/>
      <c r="C178" s="274"/>
      <c r="D178" s="274"/>
      <c r="E178" s="274"/>
      <c r="F178" s="275"/>
      <c r="G178" s="273"/>
      <c r="H178" s="274"/>
      <c r="I178" s="274"/>
      <c r="J178" s="274"/>
      <c r="K178" s="274"/>
      <c r="L178" s="275"/>
      <c r="M178" s="273"/>
      <c r="N178" s="274"/>
      <c r="O178" s="274"/>
      <c r="P178" s="274"/>
      <c r="Q178" s="274"/>
      <c r="R178" s="275"/>
    </row>
    <row r="179" spans="1:18">
      <c r="A179" s="273"/>
      <c r="B179" s="274"/>
      <c r="C179" s="274"/>
      <c r="D179" s="274"/>
      <c r="E179" s="274"/>
      <c r="F179" s="275"/>
      <c r="G179" s="273"/>
      <c r="H179" s="274"/>
      <c r="I179" s="274"/>
      <c r="J179" s="274"/>
      <c r="K179" s="274"/>
      <c r="L179" s="275"/>
      <c r="M179" s="273"/>
      <c r="N179" s="274"/>
      <c r="O179" s="274"/>
      <c r="P179" s="274"/>
      <c r="Q179" s="274"/>
      <c r="R179" s="275"/>
    </row>
    <row r="180" spans="1:18">
      <c r="A180" s="273"/>
      <c r="B180" s="274"/>
      <c r="C180" s="274"/>
      <c r="D180" s="274"/>
      <c r="E180" s="274"/>
      <c r="F180" s="275"/>
      <c r="G180" s="273"/>
      <c r="H180" s="274"/>
      <c r="I180" s="274"/>
      <c r="J180" s="274"/>
      <c r="K180" s="274"/>
      <c r="L180" s="275"/>
      <c r="M180" s="273"/>
      <c r="N180" s="274"/>
      <c r="O180" s="274"/>
      <c r="P180" s="274"/>
      <c r="Q180" s="274"/>
      <c r="R180" s="275"/>
    </row>
    <row r="181" spans="1:18" ht="15.75" thickBot="1">
      <c r="A181" s="276"/>
      <c r="B181" s="277"/>
      <c r="C181" s="277"/>
      <c r="D181" s="277"/>
      <c r="E181" s="277"/>
      <c r="F181" s="278"/>
      <c r="G181" s="276"/>
      <c r="H181" s="277"/>
      <c r="I181" s="277"/>
      <c r="J181" s="277"/>
      <c r="K181" s="277"/>
      <c r="L181" s="278"/>
      <c r="M181" s="276"/>
      <c r="N181" s="277"/>
      <c r="O181" s="277"/>
      <c r="P181" s="277"/>
      <c r="Q181" s="277"/>
      <c r="R181" s="278"/>
    </row>
  </sheetData>
  <mergeCells count="37">
    <mergeCell ref="A1:R1"/>
    <mergeCell ref="A152:F166"/>
    <mergeCell ref="G152:L166"/>
    <mergeCell ref="M152:R166"/>
    <mergeCell ref="A167:F181"/>
    <mergeCell ref="G167:L181"/>
    <mergeCell ref="M167:R181"/>
    <mergeCell ref="A122:F136"/>
    <mergeCell ref="G122:L136"/>
    <mergeCell ref="M122:R136"/>
    <mergeCell ref="A137:F151"/>
    <mergeCell ref="G137:L151"/>
    <mergeCell ref="M137:R151"/>
    <mergeCell ref="A92:F106"/>
    <mergeCell ref="G92:L106"/>
    <mergeCell ref="M92:R106"/>
    <mergeCell ref="A107:F121"/>
    <mergeCell ref="G107:L121"/>
    <mergeCell ref="M107:R121"/>
    <mergeCell ref="A62:F76"/>
    <mergeCell ref="G62:L76"/>
    <mergeCell ref="M62:R76"/>
    <mergeCell ref="A77:F91"/>
    <mergeCell ref="G77:L91"/>
    <mergeCell ref="M77:R91"/>
    <mergeCell ref="A32:F46"/>
    <mergeCell ref="G32:L46"/>
    <mergeCell ref="M32:R46"/>
    <mergeCell ref="A47:F61"/>
    <mergeCell ref="G47:L61"/>
    <mergeCell ref="M47:R61"/>
    <mergeCell ref="A2:F16"/>
    <mergeCell ref="G2:L16"/>
    <mergeCell ref="M2:R16"/>
    <mergeCell ref="A17:F31"/>
    <mergeCell ref="G17:L31"/>
    <mergeCell ref="M17:R31"/>
  </mergeCells>
  <pageMargins left="0.7" right="0.7" top="0.75" bottom="0.75" header="0.3" footer="0.3"/>
  <pageSetup scale="4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45"/>
  <sheetViews>
    <sheetView showGridLines="0" topLeftCell="A19" zoomScale="85" zoomScaleNormal="85" zoomScaleSheetLayoutView="85" workbookViewId="0">
      <selection activeCell="S18" sqref="S18"/>
    </sheetView>
  </sheetViews>
  <sheetFormatPr baseColWidth="10" defaultRowHeight="16.5"/>
  <cols>
    <col min="1" max="16384" width="11.42578125" style="68"/>
  </cols>
  <sheetData>
    <row r="1" spans="1:18" ht="51" customHeight="1" thickBot="1">
      <c r="A1" s="282" t="s">
        <v>183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>
      <c r="A2" s="284"/>
      <c r="B2" s="285"/>
      <c r="C2" s="285"/>
      <c r="D2" s="285"/>
      <c r="E2" s="285"/>
      <c r="F2" s="286"/>
      <c r="G2" s="284"/>
      <c r="H2" s="285"/>
      <c r="I2" s="285"/>
      <c r="J2" s="285"/>
      <c r="K2" s="285"/>
      <c r="L2" s="286"/>
      <c r="M2" s="284"/>
      <c r="N2" s="285"/>
      <c r="O2" s="285"/>
      <c r="P2" s="285"/>
      <c r="Q2" s="285"/>
      <c r="R2" s="286"/>
    </row>
    <row r="3" spans="1:18">
      <c r="A3" s="287"/>
      <c r="B3" s="288"/>
      <c r="C3" s="288"/>
      <c r="D3" s="288"/>
      <c r="E3" s="288"/>
      <c r="F3" s="289"/>
      <c r="G3" s="287"/>
      <c r="H3" s="288"/>
      <c r="I3" s="288"/>
      <c r="J3" s="288"/>
      <c r="K3" s="288"/>
      <c r="L3" s="289"/>
      <c r="M3" s="287"/>
      <c r="N3" s="288"/>
      <c r="O3" s="288"/>
      <c r="P3" s="288"/>
      <c r="Q3" s="288"/>
      <c r="R3" s="289"/>
    </row>
    <row r="4" spans="1:18">
      <c r="A4" s="287"/>
      <c r="B4" s="288"/>
      <c r="C4" s="288"/>
      <c r="D4" s="288"/>
      <c r="E4" s="288"/>
      <c r="F4" s="289"/>
      <c r="G4" s="287"/>
      <c r="H4" s="288"/>
      <c r="I4" s="288"/>
      <c r="J4" s="288"/>
      <c r="K4" s="288"/>
      <c r="L4" s="289"/>
      <c r="M4" s="287"/>
      <c r="N4" s="288"/>
      <c r="O4" s="288"/>
      <c r="P4" s="288"/>
      <c r="Q4" s="288"/>
      <c r="R4" s="289"/>
    </row>
    <row r="5" spans="1:18">
      <c r="A5" s="287"/>
      <c r="B5" s="288"/>
      <c r="C5" s="288"/>
      <c r="D5" s="288"/>
      <c r="E5" s="288"/>
      <c r="F5" s="289"/>
      <c r="G5" s="287"/>
      <c r="H5" s="288"/>
      <c r="I5" s="288"/>
      <c r="J5" s="288"/>
      <c r="K5" s="288"/>
      <c r="L5" s="289"/>
      <c r="M5" s="287"/>
      <c r="N5" s="288"/>
      <c r="O5" s="288"/>
      <c r="P5" s="288"/>
      <c r="Q5" s="288"/>
      <c r="R5" s="289"/>
    </row>
    <row r="6" spans="1:18">
      <c r="A6" s="287"/>
      <c r="B6" s="288"/>
      <c r="C6" s="288"/>
      <c r="D6" s="288"/>
      <c r="E6" s="288"/>
      <c r="F6" s="289"/>
      <c r="G6" s="287"/>
      <c r="H6" s="288"/>
      <c r="I6" s="288"/>
      <c r="J6" s="288"/>
      <c r="K6" s="288"/>
      <c r="L6" s="289"/>
      <c r="M6" s="287"/>
      <c r="N6" s="288"/>
      <c r="O6" s="288"/>
      <c r="P6" s="288"/>
      <c r="Q6" s="288"/>
      <c r="R6" s="289"/>
    </row>
    <row r="7" spans="1:18">
      <c r="A7" s="287"/>
      <c r="B7" s="288"/>
      <c r="C7" s="288"/>
      <c r="D7" s="288"/>
      <c r="E7" s="288"/>
      <c r="F7" s="289"/>
      <c r="G7" s="287"/>
      <c r="H7" s="288"/>
      <c r="I7" s="288"/>
      <c r="J7" s="288"/>
      <c r="K7" s="288"/>
      <c r="L7" s="289"/>
      <c r="M7" s="287"/>
      <c r="N7" s="288"/>
      <c r="O7" s="288"/>
      <c r="P7" s="288"/>
      <c r="Q7" s="288"/>
      <c r="R7" s="289"/>
    </row>
    <row r="8" spans="1:18">
      <c r="A8" s="287"/>
      <c r="B8" s="288"/>
      <c r="C8" s="288"/>
      <c r="D8" s="288"/>
      <c r="E8" s="288"/>
      <c r="F8" s="289"/>
      <c r="G8" s="287"/>
      <c r="H8" s="288"/>
      <c r="I8" s="288"/>
      <c r="J8" s="288"/>
      <c r="K8" s="288"/>
      <c r="L8" s="289"/>
      <c r="M8" s="287"/>
      <c r="N8" s="288"/>
      <c r="O8" s="288"/>
      <c r="P8" s="288"/>
      <c r="Q8" s="288"/>
      <c r="R8" s="289"/>
    </row>
    <row r="9" spans="1:18">
      <c r="A9" s="287"/>
      <c r="B9" s="288"/>
      <c r="C9" s="288"/>
      <c r="D9" s="288"/>
      <c r="E9" s="288"/>
      <c r="F9" s="289"/>
      <c r="G9" s="287"/>
      <c r="H9" s="288"/>
      <c r="I9" s="288"/>
      <c r="J9" s="288"/>
      <c r="K9" s="288"/>
      <c r="L9" s="289"/>
      <c r="M9" s="287"/>
      <c r="N9" s="288"/>
      <c r="O9" s="288"/>
      <c r="P9" s="288"/>
      <c r="Q9" s="288"/>
      <c r="R9" s="289"/>
    </row>
    <row r="10" spans="1:18">
      <c r="A10" s="287"/>
      <c r="B10" s="288"/>
      <c r="C10" s="288"/>
      <c r="D10" s="288"/>
      <c r="E10" s="288"/>
      <c r="F10" s="289"/>
      <c r="G10" s="287"/>
      <c r="H10" s="288"/>
      <c r="I10" s="288"/>
      <c r="J10" s="288"/>
      <c r="K10" s="288"/>
      <c r="L10" s="289"/>
      <c r="M10" s="287"/>
      <c r="N10" s="288"/>
      <c r="O10" s="288"/>
      <c r="P10" s="288"/>
      <c r="Q10" s="288"/>
      <c r="R10" s="289"/>
    </row>
    <row r="11" spans="1:18">
      <c r="A11" s="287"/>
      <c r="B11" s="288"/>
      <c r="C11" s="288"/>
      <c r="D11" s="288"/>
      <c r="E11" s="288"/>
      <c r="F11" s="289"/>
      <c r="G11" s="287"/>
      <c r="H11" s="288"/>
      <c r="I11" s="288"/>
      <c r="J11" s="288"/>
      <c r="K11" s="288"/>
      <c r="L11" s="289"/>
      <c r="M11" s="287"/>
      <c r="N11" s="288"/>
      <c r="O11" s="288"/>
      <c r="P11" s="288"/>
      <c r="Q11" s="288"/>
      <c r="R11" s="289"/>
    </row>
    <row r="12" spans="1:18">
      <c r="A12" s="287"/>
      <c r="B12" s="288"/>
      <c r="C12" s="288"/>
      <c r="D12" s="288"/>
      <c r="E12" s="288"/>
      <c r="F12" s="289"/>
      <c r="G12" s="287"/>
      <c r="H12" s="288"/>
      <c r="I12" s="288"/>
      <c r="J12" s="288"/>
      <c r="K12" s="288"/>
      <c r="L12" s="289"/>
      <c r="M12" s="287"/>
      <c r="N12" s="288"/>
      <c r="O12" s="288"/>
      <c r="P12" s="288"/>
      <c r="Q12" s="288"/>
      <c r="R12" s="289"/>
    </row>
    <row r="13" spans="1:18">
      <c r="A13" s="287"/>
      <c r="B13" s="288"/>
      <c r="C13" s="288"/>
      <c r="D13" s="288"/>
      <c r="E13" s="288"/>
      <c r="F13" s="289"/>
      <c r="G13" s="287"/>
      <c r="H13" s="288"/>
      <c r="I13" s="288"/>
      <c r="J13" s="288"/>
      <c r="K13" s="288"/>
      <c r="L13" s="289"/>
      <c r="M13" s="287"/>
      <c r="N13" s="288"/>
      <c r="O13" s="288"/>
      <c r="P13" s="288"/>
      <c r="Q13" s="288"/>
      <c r="R13" s="289"/>
    </row>
    <row r="14" spans="1:18">
      <c r="A14" s="287"/>
      <c r="B14" s="288"/>
      <c r="C14" s="288"/>
      <c r="D14" s="288"/>
      <c r="E14" s="288"/>
      <c r="F14" s="289"/>
      <c r="G14" s="287"/>
      <c r="H14" s="288"/>
      <c r="I14" s="288"/>
      <c r="J14" s="288"/>
      <c r="K14" s="288"/>
      <c r="L14" s="289"/>
      <c r="M14" s="287"/>
      <c r="N14" s="288"/>
      <c r="O14" s="288"/>
      <c r="P14" s="288"/>
      <c r="Q14" s="288"/>
      <c r="R14" s="289"/>
    </row>
    <row r="15" spans="1:18">
      <c r="A15" s="287"/>
      <c r="B15" s="288"/>
      <c r="C15" s="288"/>
      <c r="D15" s="288"/>
      <c r="E15" s="288"/>
      <c r="F15" s="289"/>
      <c r="G15" s="287"/>
      <c r="H15" s="288"/>
      <c r="I15" s="288"/>
      <c r="J15" s="288"/>
      <c r="K15" s="288"/>
      <c r="L15" s="289"/>
      <c r="M15" s="287"/>
      <c r="N15" s="288"/>
      <c r="O15" s="288"/>
      <c r="P15" s="288"/>
      <c r="Q15" s="288"/>
      <c r="R15" s="289"/>
    </row>
    <row r="16" spans="1:18" ht="17.25" thickBot="1">
      <c r="A16" s="290"/>
      <c r="B16" s="291"/>
      <c r="C16" s="291"/>
      <c r="D16" s="291"/>
      <c r="E16" s="291"/>
      <c r="F16" s="292"/>
      <c r="G16" s="290"/>
      <c r="H16" s="291"/>
      <c r="I16" s="291"/>
      <c r="J16" s="291"/>
      <c r="K16" s="291"/>
      <c r="L16" s="292"/>
      <c r="M16" s="290"/>
      <c r="N16" s="291"/>
      <c r="O16" s="291"/>
      <c r="P16" s="291"/>
      <c r="Q16" s="291"/>
      <c r="R16" s="292"/>
    </row>
    <row r="17" spans="1:18">
      <c r="A17" s="284"/>
      <c r="B17" s="285"/>
      <c r="C17" s="285"/>
      <c r="D17" s="285"/>
      <c r="E17" s="285"/>
      <c r="F17" s="286"/>
      <c r="G17" s="284"/>
      <c r="H17" s="285"/>
      <c r="I17" s="285"/>
      <c r="J17" s="285"/>
      <c r="K17" s="285"/>
      <c r="L17" s="286"/>
      <c r="M17" s="284"/>
      <c r="N17" s="285"/>
      <c r="O17" s="285"/>
      <c r="P17" s="285"/>
      <c r="Q17" s="285"/>
      <c r="R17" s="286"/>
    </row>
    <row r="18" spans="1:18">
      <c r="A18" s="287"/>
      <c r="B18" s="288"/>
      <c r="C18" s="288"/>
      <c r="D18" s="288"/>
      <c r="E18" s="288"/>
      <c r="F18" s="289"/>
      <c r="G18" s="287"/>
      <c r="H18" s="288"/>
      <c r="I18" s="288"/>
      <c r="J18" s="288"/>
      <c r="K18" s="288"/>
      <c r="L18" s="289"/>
      <c r="M18" s="287"/>
      <c r="N18" s="288"/>
      <c r="O18" s="288"/>
      <c r="P18" s="288"/>
      <c r="Q18" s="288"/>
      <c r="R18" s="289"/>
    </row>
    <row r="19" spans="1:18">
      <c r="A19" s="287"/>
      <c r="B19" s="288"/>
      <c r="C19" s="288"/>
      <c r="D19" s="288"/>
      <c r="E19" s="288"/>
      <c r="F19" s="289"/>
      <c r="G19" s="287"/>
      <c r="H19" s="288"/>
      <c r="I19" s="288"/>
      <c r="J19" s="288"/>
      <c r="K19" s="288"/>
      <c r="L19" s="289"/>
      <c r="M19" s="287"/>
      <c r="N19" s="288"/>
      <c r="O19" s="288"/>
      <c r="P19" s="288"/>
      <c r="Q19" s="288"/>
      <c r="R19" s="289"/>
    </row>
    <row r="20" spans="1:18">
      <c r="A20" s="287"/>
      <c r="B20" s="288"/>
      <c r="C20" s="288"/>
      <c r="D20" s="288"/>
      <c r="E20" s="288"/>
      <c r="F20" s="289"/>
      <c r="G20" s="287"/>
      <c r="H20" s="288"/>
      <c r="I20" s="288"/>
      <c r="J20" s="288"/>
      <c r="K20" s="288"/>
      <c r="L20" s="289"/>
      <c r="M20" s="287"/>
      <c r="N20" s="288"/>
      <c r="O20" s="288"/>
      <c r="P20" s="288"/>
      <c r="Q20" s="288"/>
      <c r="R20" s="289"/>
    </row>
    <row r="21" spans="1:18">
      <c r="A21" s="287"/>
      <c r="B21" s="288"/>
      <c r="C21" s="288"/>
      <c r="D21" s="288"/>
      <c r="E21" s="288"/>
      <c r="F21" s="289"/>
      <c r="G21" s="287"/>
      <c r="H21" s="288"/>
      <c r="I21" s="288"/>
      <c r="J21" s="288"/>
      <c r="K21" s="288"/>
      <c r="L21" s="289"/>
      <c r="M21" s="287"/>
      <c r="N21" s="288"/>
      <c r="O21" s="288"/>
      <c r="P21" s="288"/>
      <c r="Q21" s="288"/>
      <c r="R21" s="289"/>
    </row>
    <row r="22" spans="1:18">
      <c r="A22" s="287"/>
      <c r="B22" s="288"/>
      <c r="C22" s="288"/>
      <c r="D22" s="288"/>
      <c r="E22" s="288"/>
      <c r="F22" s="289"/>
      <c r="G22" s="287"/>
      <c r="H22" s="288"/>
      <c r="I22" s="288"/>
      <c r="J22" s="288"/>
      <c r="K22" s="288"/>
      <c r="L22" s="289"/>
      <c r="M22" s="287"/>
      <c r="N22" s="288"/>
      <c r="O22" s="288"/>
      <c r="P22" s="288"/>
      <c r="Q22" s="288"/>
      <c r="R22" s="289"/>
    </row>
    <row r="23" spans="1:18">
      <c r="A23" s="287"/>
      <c r="B23" s="288"/>
      <c r="C23" s="288"/>
      <c r="D23" s="288"/>
      <c r="E23" s="288"/>
      <c r="F23" s="289"/>
      <c r="G23" s="287"/>
      <c r="H23" s="288"/>
      <c r="I23" s="288"/>
      <c r="J23" s="288"/>
      <c r="K23" s="288"/>
      <c r="L23" s="289"/>
      <c r="M23" s="287"/>
      <c r="N23" s="288"/>
      <c r="O23" s="288"/>
      <c r="P23" s="288"/>
      <c r="Q23" s="288"/>
      <c r="R23" s="289"/>
    </row>
    <row r="24" spans="1:18">
      <c r="A24" s="287"/>
      <c r="B24" s="288"/>
      <c r="C24" s="288"/>
      <c r="D24" s="288"/>
      <c r="E24" s="288"/>
      <c r="F24" s="289"/>
      <c r="G24" s="287"/>
      <c r="H24" s="288"/>
      <c r="I24" s="288"/>
      <c r="J24" s="288"/>
      <c r="K24" s="288"/>
      <c r="L24" s="289"/>
      <c r="M24" s="287"/>
      <c r="N24" s="288"/>
      <c r="O24" s="288"/>
      <c r="P24" s="288"/>
      <c r="Q24" s="288"/>
      <c r="R24" s="289"/>
    </row>
    <row r="25" spans="1:18">
      <c r="A25" s="287"/>
      <c r="B25" s="288"/>
      <c r="C25" s="288"/>
      <c r="D25" s="288"/>
      <c r="E25" s="288"/>
      <c r="F25" s="289"/>
      <c r="G25" s="287"/>
      <c r="H25" s="288"/>
      <c r="I25" s="288"/>
      <c r="J25" s="288"/>
      <c r="K25" s="288"/>
      <c r="L25" s="289"/>
      <c r="M25" s="287"/>
      <c r="N25" s="288"/>
      <c r="O25" s="288"/>
      <c r="P25" s="288"/>
      <c r="Q25" s="288"/>
      <c r="R25" s="289"/>
    </row>
    <row r="26" spans="1:18">
      <c r="A26" s="287"/>
      <c r="B26" s="288"/>
      <c r="C26" s="288"/>
      <c r="D26" s="288"/>
      <c r="E26" s="288"/>
      <c r="F26" s="289"/>
      <c r="G26" s="287"/>
      <c r="H26" s="288"/>
      <c r="I26" s="288"/>
      <c r="J26" s="288"/>
      <c r="K26" s="288"/>
      <c r="L26" s="289"/>
      <c r="M26" s="287"/>
      <c r="N26" s="288"/>
      <c r="O26" s="288"/>
      <c r="P26" s="288"/>
      <c r="Q26" s="288"/>
      <c r="R26" s="289"/>
    </row>
    <row r="27" spans="1:18">
      <c r="A27" s="287"/>
      <c r="B27" s="288"/>
      <c r="C27" s="288"/>
      <c r="D27" s="288"/>
      <c r="E27" s="288"/>
      <c r="F27" s="289"/>
      <c r="G27" s="287"/>
      <c r="H27" s="288"/>
      <c r="I27" s="288"/>
      <c r="J27" s="288"/>
      <c r="K27" s="288"/>
      <c r="L27" s="289"/>
      <c r="M27" s="287"/>
      <c r="N27" s="288"/>
      <c r="O27" s="288"/>
      <c r="P27" s="288"/>
      <c r="Q27" s="288"/>
      <c r="R27" s="289"/>
    </row>
    <row r="28" spans="1:18">
      <c r="A28" s="287"/>
      <c r="B28" s="288"/>
      <c r="C28" s="288"/>
      <c r="D28" s="288"/>
      <c r="E28" s="288"/>
      <c r="F28" s="289"/>
      <c r="G28" s="287"/>
      <c r="H28" s="288"/>
      <c r="I28" s="288"/>
      <c r="J28" s="288"/>
      <c r="K28" s="288"/>
      <c r="L28" s="289"/>
      <c r="M28" s="287"/>
      <c r="N28" s="288"/>
      <c r="O28" s="288"/>
      <c r="P28" s="288"/>
      <c r="Q28" s="288"/>
      <c r="R28" s="289"/>
    </row>
    <row r="29" spans="1:18">
      <c r="A29" s="287"/>
      <c r="B29" s="288"/>
      <c r="C29" s="288"/>
      <c r="D29" s="288"/>
      <c r="E29" s="288"/>
      <c r="F29" s="289"/>
      <c r="G29" s="287"/>
      <c r="H29" s="288"/>
      <c r="I29" s="288"/>
      <c r="J29" s="288"/>
      <c r="K29" s="288"/>
      <c r="L29" s="289"/>
      <c r="M29" s="287"/>
      <c r="N29" s="288"/>
      <c r="O29" s="288"/>
      <c r="P29" s="288"/>
      <c r="Q29" s="288"/>
      <c r="R29" s="289"/>
    </row>
    <row r="30" spans="1:18">
      <c r="A30" s="287"/>
      <c r="B30" s="288"/>
      <c r="C30" s="288"/>
      <c r="D30" s="288"/>
      <c r="E30" s="288"/>
      <c r="F30" s="289"/>
      <c r="G30" s="287"/>
      <c r="H30" s="288"/>
      <c r="I30" s="288"/>
      <c r="J30" s="288"/>
      <c r="K30" s="288"/>
      <c r="L30" s="289"/>
      <c r="M30" s="287"/>
      <c r="N30" s="288"/>
      <c r="O30" s="288"/>
      <c r="P30" s="288"/>
      <c r="Q30" s="288"/>
      <c r="R30" s="289"/>
    </row>
    <row r="31" spans="1:18" ht="17.25" thickBot="1">
      <c r="A31" s="290"/>
      <c r="B31" s="291"/>
      <c r="C31" s="291"/>
      <c r="D31" s="291"/>
      <c r="E31" s="291"/>
      <c r="F31" s="292"/>
      <c r="G31" s="290"/>
      <c r="H31" s="291"/>
      <c r="I31" s="291"/>
      <c r="J31" s="291"/>
      <c r="K31" s="291"/>
      <c r="L31" s="292"/>
      <c r="M31" s="290"/>
      <c r="N31" s="291"/>
      <c r="O31" s="291"/>
      <c r="P31" s="291"/>
      <c r="Q31" s="291"/>
      <c r="R31" s="292"/>
    </row>
    <row r="33" spans="1:3">
      <c r="A33" s="191" t="s">
        <v>55</v>
      </c>
      <c r="B33" s="191">
        <v>300</v>
      </c>
      <c r="C33" s="191"/>
    </row>
    <row r="34" spans="1:3">
      <c r="A34" s="191" t="s">
        <v>4</v>
      </c>
      <c r="B34" s="191">
        <v>300</v>
      </c>
      <c r="C34" s="191"/>
    </row>
    <row r="35" spans="1:3">
      <c r="A35" s="191" t="s">
        <v>5</v>
      </c>
      <c r="B35" s="191">
        <v>300</v>
      </c>
      <c r="C35" s="191"/>
    </row>
    <row r="36" spans="1:3">
      <c r="A36" s="191" t="s">
        <v>6</v>
      </c>
      <c r="B36" s="191">
        <v>300</v>
      </c>
      <c r="C36" s="191"/>
    </row>
    <row r="37" spans="1:3">
      <c r="A37" s="191" t="s">
        <v>7</v>
      </c>
      <c r="B37" s="191">
        <v>300</v>
      </c>
      <c r="C37" s="191"/>
    </row>
    <row r="38" spans="1:3">
      <c r="A38" s="191" t="s">
        <v>8</v>
      </c>
      <c r="B38" s="191">
        <v>300</v>
      </c>
      <c r="C38" s="191"/>
    </row>
    <row r="39" spans="1:3">
      <c r="A39" s="191" t="s">
        <v>9</v>
      </c>
      <c r="B39" s="191">
        <v>300</v>
      </c>
      <c r="C39" s="191"/>
    </row>
    <row r="40" spans="1:3">
      <c r="A40" s="191" t="s">
        <v>10</v>
      </c>
      <c r="B40" s="191">
        <v>300</v>
      </c>
      <c r="C40" s="191"/>
    </row>
    <row r="41" spans="1:3">
      <c r="A41" s="191" t="s">
        <v>11</v>
      </c>
      <c r="B41" s="191">
        <v>300</v>
      </c>
      <c r="C41" s="191"/>
    </row>
    <row r="42" spans="1:3">
      <c r="A42" s="191" t="s">
        <v>12</v>
      </c>
      <c r="B42" s="191">
        <v>300</v>
      </c>
      <c r="C42" s="191"/>
    </row>
    <row r="43" spans="1:3">
      <c r="A43" s="191" t="s">
        <v>13</v>
      </c>
      <c r="B43" s="191">
        <v>300</v>
      </c>
      <c r="C43" s="191"/>
    </row>
    <row r="44" spans="1:3">
      <c r="A44" s="191" t="s">
        <v>14</v>
      </c>
      <c r="B44" s="191">
        <v>300</v>
      </c>
      <c r="C44" s="191"/>
    </row>
    <row r="45" spans="1:3">
      <c r="A45" s="191"/>
      <c r="B45" s="191"/>
      <c r="C45" s="191"/>
    </row>
  </sheetData>
  <mergeCells count="7">
    <mergeCell ref="A1:R1"/>
    <mergeCell ref="A2:F16"/>
    <mergeCell ref="G2:L16"/>
    <mergeCell ref="M2:R16"/>
    <mergeCell ref="A17:F31"/>
    <mergeCell ref="G17:L31"/>
    <mergeCell ref="M17:R31"/>
  </mergeCells>
  <pageMargins left="0.7" right="0.7" top="0.75" bottom="0.75" header="0.3" footer="0.3"/>
  <pageSetup scale="4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19"/>
  <sheetViews>
    <sheetView showGridLines="0" topLeftCell="A7" zoomScale="90" zoomScaleNormal="90" zoomScaleSheetLayoutView="100" workbookViewId="0">
      <selection activeCell="K23" sqref="K23"/>
    </sheetView>
  </sheetViews>
  <sheetFormatPr baseColWidth="10" defaultRowHeight="15"/>
  <cols>
    <col min="1" max="1" width="9" style="38" customWidth="1"/>
    <col min="2" max="2" width="9.28515625" style="38" bestFit="1" customWidth="1"/>
    <col min="3" max="3" width="11.42578125" style="38"/>
    <col min="4" max="4" width="8.140625" style="38" bestFit="1" customWidth="1"/>
    <col min="5" max="5" width="9.28515625" style="38" bestFit="1" customWidth="1"/>
    <col min="6" max="6" width="11.42578125" style="38"/>
    <col min="7" max="7" width="9" style="38" bestFit="1" customWidth="1"/>
    <col min="8" max="8" width="9.28515625" style="38" customWidth="1"/>
    <col min="9" max="10" width="8.140625" style="38" customWidth="1"/>
    <col min="11" max="11" width="11.42578125" style="38"/>
    <col min="12" max="12" width="11.5703125" style="38" customWidth="1"/>
    <col min="13" max="13" width="12.5703125" style="38" customWidth="1"/>
    <col min="14" max="14" width="13.28515625" style="38" customWidth="1"/>
    <col min="15" max="15" width="18.42578125" style="38" customWidth="1"/>
    <col min="16" max="16" width="21.42578125" customWidth="1"/>
    <col min="17" max="17" width="14.7109375" customWidth="1"/>
  </cols>
  <sheetData>
    <row r="1" spans="1:18" ht="29.25" customHeight="1">
      <c r="A1" s="244"/>
      <c r="B1" s="244"/>
      <c r="C1" s="244"/>
      <c r="D1" s="296" t="s">
        <v>54</v>
      </c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4" t="s">
        <v>245</v>
      </c>
      <c r="P1" s="295"/>
    </row>
    <row r="2" spans="1:18" ht="28.5" customHeight="1">
      <c r="A2" s="244"/>
      <c r="B2" s="244"/>
      <c r="C2" s="244"/>
      <c r="D2" s="296" t="s">
        <v>253</v>
      </c>
      <c r="E2" s="296"/>
      <c r="F2" s="296"/>
      <c r="G2" s="296"/>
      <c r="H2" s="296"/>
      <c r="I2" s="296"/>
      <c r="J2" s="296" t="s">
        <v>254</v>
      </c>
      <c r="K2" s="296"/>
      <c r="L2" s="296"/>
      <c r="M2" s="296"/>
      <c r="N2" s="296"/>
      <c r="O2" s="293" t="s">
        <v>53</v>
      </c>
      <c r="P2" s="293"/>
    </row>
    <row r="3" spans="1:18" ht="54" customHeight="1">
      <c r="A3" s="297" t="s">
        <v>125</v>
      </c>
      <c r="B3" s="297" t="s">
        <v>196</v>
      </c>
      <c r="C3" s="297"/>
      <c r="D3" s="297"/>
      <c r="E3" s="297" t="s">
        <v>177</v>
      </c>
      <c r="F3" s="297"/>
      <c r="G3" s="297"/>
      <c r="H3" s="297"/>
      <c r="I3" s="297"/>
      <c r="J3" s="107" t="s">
        <v>235</v>
      </c>
      <c r="K3" s="297" t="s">
        <v>202</v>
      </c>
      <c r="L3" s="297"/>
      <c r="M3" s="298" t="s">
        <v>222</v>
      </c>
      <c r="N3" s="297"/>
      <c r="O3" s="108" t="s">
        <v>223</v>
      </c>
      <c r="P3" s="105" t="s">
        <v>366</v>
      </c>
    </row>
    <row r="4" spans="1:18" ht="32.25" customHeight="1">
      <c r="A4" s="297"/>
      <c r="B4" s="93" t="s">
        <v>349</v>
      </c>
      <c r="C4" s="94" t="s">
        <v>198</v>
      </c>
      <c r="D4" s="92" t="s">
        <v>199</v>
      </c>
      <c r="E4" s="93" t="s">
        <v>197</v>
      </c>
      <c r="F4" s="90" t="s">
        <v>200</v>
      </c>
      <c r="G4" s="93" t="s">
        <v>201</v>
      </c>
      <c r="H4" s="95" t="s">
        <v>198</v>
      </c>
      <c r="I4" s="92" t="s">
        <v>199</v>
      </c>
      <c r="J4" s="36" t="s">
        <v>175</v>
      </c>
      <c r="K4" s="36" t="s">
        <v>203</v>
      </c>
      <c r="L4" s="36" t="s">
        <v>204</v>
      </c>
      <c r="M4" s="36" t="s">
        <v>206</v>
      </c>
      <c r="N4" s="36" t="s">
        <v>204</v>
      </c>
      <c r="O4" s="77" t="s">
        <v>207</v>
      </c>
      <c r="P4" s="77" t="s">
        <v>207</v>
      </c>
      <c r="Q4" s="192"/>
      <c r="R4" s="192" t="s">
        <v>0</v>
      </c>
    </row>
    <row r="5" spans="1:18" ht="16.5">
      <c r="A5" s="50" t="s">
        <v>23</v>
      </c>
      <c r="B5" s="137">
        <v>4.7</v>
      </c>
      <c r="C5" s="61">
        <v>1.35</v>
      </c>
      <c r="D5" s="61">
        <v>0</v>
      </c>
      <c r="E5" s="61">
        <v>105.3</v>
      </c>
      <c r="F5" s="61">
        <v>24.8</v>
      </c>
      <c r="G5" s="137">
        <v>25.2</v>
      </c>
      <c r="H5" s="61">
        <v>4.5</v>
      </c>
      <c r="I5" s="61">
        <v>3.2</v>
      </c>
      <c r="J5" s="61">
        <f>SUM(B5:I5)</f>
        <v>169.04999999999998</v>
      </c>
      <c r="K5" s="91">
        <f>(SUM(C5:D5))/(SUM(B5:D5))</f>
        <v>0.22314049586776857</v>
      </c>
      <c r="L5" s="91">
        <f>(SUM(H5:I5))/(SUM(E5:I5))</f>
        <v>4.7239263803680993E-2</v>
      </c>
      <c r="M5" s="37" t="str">
        <f>+IF(K5&gt;=15%,"CUMPLE","NO CUMPLE")</f>
        <v>CUMPLE</v>
      </c>
      <c r="N5" s="37" t="str">
        <f>+IF(L5&gt;=15%,"CUMPLE","NO CUMPLE")</f>
        <v>NO CUMPLE</v>
      </c>
      <c r="O5" s="37" t="str">
        <f>+IF(J5&lt;=290,"CUMPLE","NO CUMPLE")</f>
        <v>CUMPLE</v>
      </c>
      <c r="P5" s="78">
        <f>J5/'TON  MOV '!B4</f>
        <v>4.2967161447742984E-3</v>
      </c>
      <c r="Q5" s="192"/>
      <c r="R5" s="192">
        <v>290</v>
      </c>
    </row>
    <row r="6" spans="1:18" ht="16.5">
      <c r="A6" s="50" t="s">
        <v>4</v>
      </c>
      <c r="B6" s="137">
        <v>4.5</v>
      </c>
      <c r="C6" s="137">
        <v>1</v>
      </c>
      <c r="D6" s="137">
        <v>0</v>
      </c>
      <c r="E6" s="137">
        <v>176.5</v>
      </c>
      <c r="F6" s="137">
        <v>62.5</v>
      </c>
      <c r="G6" s="137">
        <v>18.8</v>
      </c>
      <c r="H6" s="137">
        <v>10.199999999999999</v>
      </c>
      <c r="I6" s="137">
        <v>1.8</v>
      </c>
      <c r="J6" s="61">
        <f t="shared" ref="J6:J15" si="0">SUM(B6:I6)</f>
        <v>275.3</v>
      </c>
      <c r="K6" s="91">
        <f t="shared" ref="K6:K17" si="1">(SUM(C6:D6))/(SUM(B6:D6))</f>
        <v>0.18181818181818182</v>
      </c>
      <c r="L6" s="91">
        <f t="shared" ref="L6:L17" si="2">(SUM(H6:I6))/(SUM(E6:I6))</f>
        <v>4.4477390659747956E-2</v>
      </c>
      <c r="M6" s="37" t="str">
        <f t="shared" ref="M6:M17" si="3">+IF(K6&gt;=15%,"CUMPLE","NO CUMPLE")</f>
        <v>CUMPLE</v>
      </c>
      <c r="N6" s="37" t="str">
        <f t="shared" ref="N6:N17" si="4">+IF(L6&gt;=15%,"CUMPLE","NO CUMPLE")</f>
        <v>NO CUMPLE</v>
      </c>
      <c r="O6" s="37" t="str">
        <f t="shared" ref="O6:O17" si="5">+IF(J6&lt;=290,"CUMPLE","NO CUMPLE")</f>
        <v>CUMPLE</v>
      </c>
      <c r="P6" s="78">
        <f>+J6/'TON  MOV '!C4</f>
        <v>9.0666578843367155E-3</v>
      </c>
      <c r="Q6" s="192"/>
      <c r="R6" s="192">
        <v>290</v>
      </c>
    </row>
    <row r="7" spans="1:18" ht="16.5">
      <c r="A7" s="50" t="s">
        <v>5</v>
      </c>
      <c r="B7" s="137">
        <v>7.35</v>
      </c>
      <c r="C7" s="61">
        <v>2</v>
      </c>
      <c r="D7" s="137">
        <v>0</v>
      </c>
      <c r="E7" s="61">
        <v>124.8</v>
      </c>
      <c r="F7" s="137">
        <v>58.7</v>
      </c>
      <c r="G7" s="137">
        <v>22.5</v>
      </c>
      <c r="H7" s="137">
        <v>9</v>
      </c>
      <c r="I7" s="137">
        <v>4.7</v>
      </c>
      <c r="J7" s="221">
        <f t="shared" si="0"/>
        <v>229.05</v>
      </c>
      <c r="K7" s="91">
        <f t="shared" si="1"/>
        <v>0.21390374331550802</v>
      </c>
      <c r="L7" s="91">
        <f t="shared" si="2"/>
        <v>6.2357760582612651E-2</v>
      </c>
      <c r="M7" s="37" t="str">
        <f t="shared" si="3"/>
        <v>CUMPLE</v>
      </c>
      <c r="N7" s="37" t="str">
        <f t="shared" si="4"/>
        <v>NO CUMPLE</v>
      </c>
      <c r="O7" s="37" t="str">
        <f t="shared" si="5"/>
        <v>CUMPLE</v>
      </c>
      <c r="P7" s="78">
        <f>+J7/'TON  MOV '!D4</f>
        <v>1.3542836871045941E-2</v>
      </c>
      <c r="Q7" s="192"/>
      <c r="R7" s="192">
        <v>290</v>
      </c>
    </row>
    <row r="8" spans="1:18" ht="16.5">
      <c r="A8" s="50" t="s">
        <v>27</v>
      </c>
      <c r="B8" s="61">
        <v>10.050000000000001</v>
      </c>
      <c r="C8" s="137">
        <v>3.5</v>
      </c>
      <c r="D8" s="137">
        <v>0</v>
      </c>
      <c r="E8" s="137">
        <v>125.6</v>
      </c>
      <c r="F8" s="150">
        <v>68.5</v>
      </c>
      <c r="G8" s="137">
        <v>30.2</v>
      </c>
      <c r="H8" s="137">
        <v>5.4</v>
      </c>
      <c r="I8" s="137">
        <v>5.2</v>
      </c>
      <c r="J8" s="61">
        <f t="shared" si="0"/>
        <v>248.45</v>
      </c>
      <c r="K8" s="91">
        <f>(SUM(C8:D8))/(SUM(B8:D8))</f>
        <v>0.25830258302583026</v>
      </c>
      <c r="L8" s="91">
        <f t="shared" si="2"/>
        <v>4.5125585355470427E-2</v>
      </c>
      <c r="M8" s="37" t="str">
        <f t="shared" si="3"/>
        <v>CUMPLE</v>
      </c>
      <c r="N8" s="37" t="str">
        <f t="shared" si="4"/>
        <v>NO CUMPLE</v>
      </c>
      <c r="O8" s="37" t="str">
        <f t="shared" si="5"/>
        <v>CUMPLE</v>
      </c>
      <c r="P8" s="225">
        <f>J8/'TON  MOV '!E4</f>
        <v>4.9697951672267558E-3</v>
      </c>
      <c r="Q8" s="192"/>
      <c r="R8" s="192">
        <v>290</v>
      </c>
    </row>
    <row r="9" spans="1:18" ht="16.5">
      <c r="A9" s="50" t="s">
        <v>28</v>
      </c>
      <c r="B9" s="61">
        <v>12.5</v>
      </c>
      <c r="C9" s="61">
        <v>3.2</v>
      </c>
      <c r="D9" s="61">
        <v>0</v>
      </c>
      <c r="E9" s="61">
        <v>152.6</v>
      </c>
      <c r="F9" s="61">
        <v>69.599999999999994</v>
      </c>
      <c r="G9" s="61">
        <v>34</v>
      </c>
      <c r="H9" s="61">
        <v>6.3</v>
      </c>
      <c r="I9" s="61">
        <v>5.7</v>
      </c>
      <c r="J9" s="61">
        <f t="shared" si="0"/>
        <v>283.89999999999998</v>
      </c>
      <c r="K9" s="91">
        <f t="shared" si="1"/>
        <v>0.20382165605095542</v>
      </c>
      <c r="L9" s="91">
        <f t="shared" si="2"/>
        <v>4.4742729306487698E-2</v>
      </c>
      <c r="M9" s="37" t="str">
        <f t="shared" si="3"/>
        <v>CUMPLE</v>
      </c>
      <c r="N9" s="37" t="str">
        <f t="shared" si="4"/>
        <v>NO CUMPLE</v>
      </c>
      <c r="O9" s="37" t="str">
        <f t="shared" si="5"/>
        <v>CUMPLE</v>
      </c>
      <c r="P9" s="226">
        <f>J9/'TON  MOV '!F4</f>
        <v>1.132293702389024E-2</v>
      </c>
      <c r="Q9" s="192"/>
      <c r="R9" s="192">
        <v>290</v>
      </c>
    </row>
    <row r="10" spans="1:18" ht="16.5">
      <c r="A10" s="50" t="s">
        <v>29</v>
      </c>
      <c r="B10" s="61">
        <v>11.2</v>
      </c>
      <c r="C10" s="61">
        <v>4.5</v>
      </c>
      <c r="D10" s="61">
        <v>0</v>
      </c>
      <c r="E10" s="61">
        <v>167.8</v>
      </c>
      <c r="F10" s="61">
        <v>42.8</v>
      </c>
      <c r="G10" s="61">
        <v>52.3</v>
      </c>
      <c r="H10" s="61">
        <v>4.5</v>
      </c>
      <c r="I10" s="61">
        <v>3.5</v>
      </c>
      <c r="J10" s="61">
        <f t="shared" si="0"/>
        <v>286.60000000000002</v>
      </c>
      <c r="K10" s="91">
        <f t="shared" si="1"/>
        <v>0.28662420382165604</v>
      </c>
      <c r="L10" s="91">
        <f t="shared" si="2"/>
        <v>2.9531192321889992E-2</v>
      </c>
      <c r="M10" s="37" t="str">
        <f t="shared" si="3"/>
        <v>CUMPLE</v>
      </c>
      <c r="N10" s="37" t="str">
        <f t="shared" si="4"/>
        <v>NO CUMPLE</v>
      </c>
      <c r="O10" s="37" t="str">
        <f t="shared" si="5"/>
        <v>CUMPLE</v>
      </c>
      <c r="P10" s="78">
        <f>J10/'TON  MOV '!G4</f>
        <v>9.3221441582097327E-3</v>
      </c>
      <c r="Q10" s="192"/>
      <c r="R10" s="192">
        <v>290</v>
      </c>
    </row>
    <row r="11" spans="1:18" ht="16.5">
      <c r="A11" s="50" t="s">
        <v>30</v>
      </c>
      <c r="B11" s="61">
        <v>14.5</v>
      </c>
      <c r="C11" s="61">
        <v>5.0999999999999996</v>
      </c>
      <c r="D11" s="61">
        <v>0</v>
      </c>
      <c r="E11" s="61">
        <v>164</v>
      </c>
      <c r="F11" s="61">
        <v>34.5</v>
      </c>
      <c r="G11" s="61">
        <v>48.9</v>
      </c>
      <c r="H11" s="61">
        <v>10.4</v>
      </c>
      <c r="I11" s="61">
        <v>5.4</v>
      </c>
      <c r="J11" s="61">
        <f t="shared" si="0"/>
        <v>282.79999999999995</v>
      </c>
      <c r="K11" s="91">
        <f t="shared" si="1"/>
        <v>0.26020408163265302</v>
      </c>
      <c r="L11" s="91">
        <f t="shared" si="2"/>
        <v>6.0030395136778124E-2</v>
      </c>
      <c r="M11" s="37" t="str">
        <f t="shared" si="3"/>
        <v>CUMPLE</v>
      </c>
      <c r="N11" s="37" t="str">
        <f t="shared" si="4"/>
        <v>NO CUMPLE</v>
      </c>
      <c r="O11" s="37" t="str">
        <f>+IF(J11&lt;=290,"CUMPLE","NO CUMPLE")</f>
        <v>CUMPLE</v>
      </c>
      <c r="P11" s="78">
        <f>+J11/'TON  MOV '!H4</f>
        <v>5.8857808857808846E-3</v>
      </c>
      <c r="Q11" s="192"/>
      <c r="R11" s="192">
        <v>290</v>
      </c>
    </row>
    <row r="12" spans="1:18" ht="16.5">
      <c r="A12" s="50" t="s">
        <v>31</v>
      </c>
      <c r="B12" s="61">
        <v>15.6</v>
      </c>
      <c r="C12" s="61">
        <v>9.5</v>
      </c>
      <c r="D12" s="61">
        <v>0</v>
      </c>
      <c r="E12" s="61">
        <v>140</v>
      </c>
      <c r="F12" s="61">
        <v>40.9</v>
      </c>
      <c r="G12" s="61">
        <v>55.9</v>
      </c>
      <c r="H12" s="61">
        <v>15.2</v>
      </c>
      <c r="I12" s="61">
        <v>4.3</v>
      </c>
      <c r="J12" s="61">
        <f t="shared" si="0"/>
        <v>281.39999999999998</v>
      </c>
      <c r="K12" s="91">
        <f t="shared" si="1"/>
        <v>0.37848605577689243</v>
      </c>
      <c r="L12" s="91">
        <f t="shared" si="2"/>
        <v>7.6082715567694109E-2</v>
      </c>
      <c r="M12" s="37" t="str">
        <f t="shared" si="3"/>
        <v>CUMPLE</v>
      </c>
      <c r="N12" s="37" t="str">
        <f t="shared" si="4"/>
        <v>NO CUMPLE</v>
      </c>
      <c r="O12" s="37" t="str">
        <f t="shared" si="5"/>
        <v>CUMPLE</v>
      </c>
      <c r="P12" s="78">
        <f>+RESIDUOS!J12/'TON  MOV '!I4</f>
        <v>1.421068578931421E-2</v>
      </c>
      <c r="Q12" s="192"/>
      <c r="R12" s="192">
        <v>290</v>
      </c>
    </row>
    <row r="13" spans="1:18" ht="16.5">
      <c r="A13" s="50" t="s">
        <v>32</v>
      </c>
      <c r="B13" s="61">
        <v>8.1</v>
      </c>
      <c r="C13" s="61">
        <v>7.6</v>
      </c>
      <c r="D13" s="61">
        <v>2.2000000000000002</v>
      </c>
      <c r="E13" s="61">
        <v>144.5</v>
      </c>
      <c r="F13" s="61">
        <v>78</v>
      </c>
      <c r="G13" s="61">
        <v>57.8</v>
      </c>
      <c r="H13" s="61">
        <v>10.199999999999999</v>
      </c>
      <c r="I13" s="61">
        <v>3.5</v>
      </c>
      <c r="J13" s="61">
        <f>SUM(B13:I13)</f>
        <v>311.89999999999998</v>
      </c>
      <c r="K13" s="91">
        <f t="shared" si="1"/>
        <v>0.54748603351955316</v>
      </c>
      <c r="L13" s="91">
        <f t="shared" si="2"/>
        <v>4.6598639455782312E-2</v>
      </c>
      <c r="M13" s="37" t="str">
        <f t="shared" si="3"/>
        <v>CUMPLE</v>
      </c>
      <c r="N13" s="37" t="str">
        <f t="shared" si="4"/>
        <v>NO CUMPLE</v>
      </c>
      <c r="O13" s="37" t="str">
        <f t="shared" si="5"/>
        <v>NO CUMPLE</v>
      </c>
      <c r="P13" s="78">
        <f>+J13/'TON  MOV '!J4</f>
        <v>1.255484442297629E-2</v>
      </c>
      <c r="Q13" s="192"/>
      <c r="R13" s="192">
        <v>290</v>
      </c>
    </row>
    <row r="14" spans="1:18" ht="16.5">
      <c r="A14" s="50" t="s">
        <v>33</v>
      </c>
      <c r="B14" s="61">
        <v>10.9</v>
      </c>
      <c r="C14" s="61">
        <v>4.5</v>
      </c>
      <c r="D14" s="61">
        <v>0</v>
      </c>
      <c r="E14" s="61">
        <v>119.2</v>
      </c>
      <c r="F14" s="61">
        <v>54.5</v>
      </c>
      <c r="G14" s="61">
        <v>26.4</v>
      </c>
      <c r="H14" s="61">
        <v>14.1</v>
      </c>
      <c r="I14" s="61">
        <v>5.0999999999999996</v>
      </c>
      <c r="J14" s="61">
        <f t="shared" si="0"/>
        <v>234.7</v>
      </c>
      <c r="K14" s="91">
        <f t="shared" si="1"/>
        <v>0.29220779220779219</v>
      </c>
      <c r="L14" s="91">
        <f t="shared" si="2"/>
        <v>8.7551299589603282E-2</v>
      </c>
      <c r="M14" s="37" t="str">
        <f t="shared" si="3"/>
        <v>CUMPLE</v>
      </c>
      <c r="N14" s="37" t="str">
        <f t="shared" si="4"/>
        <v>NO CUMPLE</v>
      </c>
      <c r="O14" s="37" t="str">
        <f t="shared" si="5"/>
        <v>CUMPLE</v>
      </c>
      <c r="P14" s="78">
        <f>+J14/'TON  MOV '!K4</f>
        <v>1.1891371535694381E-2</v>
      </c>
      <c r="Q14" s="192"/>
      <c r="R14" s="192">
        <v>290</v>
      </c>
    </row>
    <row r="15" spans="1:18" ht="16.5">
      <c r="A15" s="50" t="s">
        <v>34</v>
      </c>
      <c r="B15" s="61">
        <v>7.1</v>
      </c>
      <c r="C15" s="61">
        <v>4.0999999999999996</v>
      </c>
      <c r="D15" s="61">
        <v>0</v>
      </c>
      <c r="E15" s="61">
        <v>118.8</v>
      </c>
      <c r="F15" s="61">
        <v>27.6</v>
      </c>
      <c r="G15" s="61">
        <v>9</v>
      </c>
      <c r="H15" s="61">
        <v>10.5</v>
      </c>
      <c r="I15" s="61">
        <v>7.9</v>
      </c>
      <c r="J15" s="61">
        <f t="shared" ref="J15" si="6">SUM(B15:I15)</f>
        <v>185</v>
      </c>
      <c r="K15" s="91">
        <f>(SUM(C15:D15))/(SUM(B15:D15))</f>
        <v>0.36607142857142855</v>
      </c>
      <c r="L15" s="91">
        <f t="shared" si="2"/>
        <v>0.10586881472957421</v>
      </c>
      <c r="M15" s="37" t="str">
        <f t="shared" si="3"/>
        <v>CUMPLE</v>
      </c>
      <c r="N15" s="37" t="str">
        <f t="shared" si="4"/>
        <v>NO CUMPLE</v>
      </c>
      <c r="O15" s="37" t="str">
        <f t="shared" si="5"/>
        <v>CUMPLE</v>
      </c>
      <c r="P15" s="226">
        <f>+J15/'TON  MOV '!L4</f>
        <v>3.7238325281803542E-2</v>
      </c>
      <c r="Q15" s="192"/>
      <c r="R15" s="192">
        <v>290</v>
      </c>
    </row>
    <row r="16" spans="1:18" ht="16.5">
      <c r="A16" s="50" t="s">
        <v>35</v>
      </c>
      <c r="B16" s="61">
        <v>6.7</v>
      </c>
      <c r="C16" s="61">
        <v>5.0999999999999996</v>
      </c>
      <c r="D16" s="61">
        <v>0</v>
      </c>
      <c r="E16" s="61">
        <v>129.19999999999999</v>
      </c>
      <c r="F16" s="61">
        <v>31.8</v>
      </c>
      <c r="G16" s="61">
        <v>7.2</v>
      </c>
      <c r="H16" s="61">
        <v>10.8</v>
      </c>
      <c r="I16" s="61">
        <v>4.3</v>
      </c>
      <c r="J16" s="61">
        <f>SUM(B16:I16)</f>
        <v>195.10000000000002</v>
      </c>
      <c r="K16" s="91">
        <f>(SUM(C16:D16))/(SUM(B16:D16))</f>
        <v>0.43220338983050843</v>
      </c>
      <c r="L16" s="91">
        <f t="shared" si="2"/>
        <v>8.2378614293507915E-2</v>
      </c>
      <c r="M16" s="37" t="str">
        <f t="shared" si="3"/>
        <v>CUMPLE</v>
      </c>
      <c r="N16" s="37" t="str">
        <f t="shared" si="4"/>
        <v>NO CUMPLE</v>
      </c>
      <c r="O16" s="37" t="str">
        <f t="shared" si="5"/>
        <v>CUMPLE</v>
      </c>
      <c r="P16" s="226">
        <f>+J16/'TON  MOV '!M4</f>
        <v>1.7418087670743685E-2</v>
      </c>
      <c r="Q16" s="192"/>
      <c r="R16" s="192">
        <v>290</v>
      </c>
    </row>
    <row r="17" spans="1:18" ht="16.5">
      <c r="A17" s="61" t="s">
        <v>205</v>
      </c>
      <c r="B17" s="137">
        <f>SUM(B5:B16)</f>
        <v>113.19999999999999</v>
      </c>
      <c r="C17" s="137">
        <f t="shared" ref="C17:I17" si="7">SUM(C5:C16)</f>
        <v>51.45</v>
      </c>
      <c r="D17" s="137">
        <f t="shared" si="7"/>
        <v>2.2000000000000002</v>
      </c>
      <c r="E17" s="137">
        <f t="shared" si="7"/>
        <v>1668.3000000000002</v>
      </c>
      <c r="F17" s="137">
        <f t="shared" si="7"/>
        <v>594.19999999999993</v>
      </c>
      <c r="G17" s="137">
        <f t="shared" si="7"/>
        <v>388.2</v>
      </c>
      <c r="H17" s="137">
        <f t="shared" si="7"/>
        <v>111.1</v>
      </c>
      <c r="I17" s="137">
        <f t="shared" si="7"/>
        <v>54.599999999999994</v>
      </c>
      <c r="J17" s="137">
        <f>SUM(B17:I17)</f>
        <v>2983.2499999999995</v>
      </c>
      <c r="K17" s="91">
        <f t="shared" si="1"/>
        <v>0.321546299071022</v>
      </c>
      <c r="L17" s="91">
        <f t="shared" si="2"/>
        <v>5.8833972447095588E-2</v>
      </c>
      <c r="M17" s="37" t="str">
        <f t="shared" si="3"/>
        <v>CUMPLE</v>
      </c>
      <c r="N17" s="37" t="str">
        <f t="shared" si="4"/>
        <v>NO CUMPLE</v>
      </c>
      <c r="O17" s="228" t="str">
        <f t="shared" si="5"/>
        <v>NO CUMPLE</v>
      </c>
      <c r="P17" s="78">
        <f>+SUM(B17:I17)/'RESPEL '!O38</f>
        <v>9.2927741730497847E-3</v>
      </c>
      <c r="Q17" s="192"/>
      <c r="R17" s="192"/>
    </row>
    <row r="18" spans="1:18">
      <c r="Q18" s="192"/>
      <c r="R18" s="192"/>
    </row>
    <row r="19" spans="1:18">
      <c r="Q19" s="192"/>
      <c r="R19" s="192"/>
    </row>
  </sheetData>
  <mergeCells count="11">
    <mergeCell ref="A1:C2"/>
    <mergeCell ref="K3:L3"/>
    <mergeCell ref="M3:N3"/>
    <mergeCell ref="A3:A4"/>
    <mergeCell ref="B3:D3"/>
    <mergeCell ref="E3:I3"/>
    <mergeCell ref="O2:P2"/>
    <mergeCell ref="O1:P1"/>
    <mergeCell ref="D1:N1"/>
    <mergeCell ref="J2:N2"/>
    <mergeCell ref="D2:I2"/>
  </mergeCells>
  <conditionalFormatting sqref="M5">
    <cfRule type="containsText" dxfId="261" priority="7" operator="containsText" text="NO CUMPLE">
      <formula>NOT(ISERROR(SEARCH("NO CUMPLE",M5)))</formula>
    </cfRule>
    <cfRule type="containsText" dxfId="260" priority="8" operator="containsText" text="CUMPLE">
      <formula>NOT(ISERROR(SEARCH("CUMPLE",M5)))</formula>
    </cfRule>
  </conditionalFormatting>
  <conditionalFormatting sqref="M6:M17">
    <cfRule type="containsText" dxfId="259" priority="5" operator="containsText" text="NO CUMPLE">
      <formula>NOT(ISERROR(SEARCH("NO CUMPLE",M6)))</formula>
    </cfRule>
    <cfRule type="containsText" dxfId="258" priority="6" operator="containsText" text="CUMPLE">
      <formula>NOT(ISERROR(SEARCH("CUMPLE",M6)))</formula>
    </cfRule>
  </conditionalFormatting>
  <conditionalFormatting sqref="N5:N17">
    <cfRule type="containsText" dxfId="257" priority="3" operator="containsText" text="NO CUMPLE">
      <formula>NOT(ISERROR(SEARCH("NO CUMPLE",N5)))</formula>
    </cfRule>
    <cfRule type="containsText" dxfId="256" priority="4" operator="containsText" text="CUMPLE">
      <formula>NOT(ISERROR(SEARCH("CUMPLE",N5)))</formula>
    </cfRule>
  </conditionalFormatting>
  <conditionalFormatting sqref="O5:O17">
    <cfRule type="containsText" dxfId="255" priority="1" operator="containsText" text="NO CUMPLE">
      <formula>NOT(ISERROR(SEARCH("NO CUMPLE",O5)))</formula>
    </cfRule>
    <cfRule type="containsText" dxfId="254" priority="2" operator="containsText" text="CUMPLE">
      <formula>NOT(ISERROR(SEARCH("CUMPLE",O5)))</formula>
    </cfRule>
  </conditionalFormatting>
  <pageMargins left="0.7" right="0.7" top="0.75" bottom="0.75" header="0.3" footer="0.3"/>
  <pageSetup scale="46" orientation="portrait" r:id="rId1"/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3" workbookViewId="0">
      <selection activeCell="F27" sqref="F27"/>
    </sheetView>
  </sheetViews>
  <sheetFormatPr baseColWidth="10" defaultRowHeight="15"/>
  <cols>
    <col min="1" max="1" width="4.7109375" bestFit="1" customWidth="1"/>
    <col min="2" max="2" width="8" bestFit="1" customWidth="1"/>
    <col min="6" max="6" width="16.85546875" bestFit="1" customWidth="1"/>
    <col min="7" max="7" width="17.85546875" bestFit="1" customWidth="1"/>
    <col min="12" max="12" width="13.85546875" customWidth="1"/>
    <col min="13" max="13" width="13" customWidth="1"/>
  </cols>
  <sheetData>
    <row r="1" spans="1:13">
      <c r="B1" s="299" t="s">
        <v>359</v>
      </c>
      <c r="C1" s="299"/>
      <c r="D1" s="299"/>
      <c r="E1" s="299"/>
      <c r="F1" s="299"/>
      <c r="G1" s="299"/>
      <c r="H1" s="300" t="s">
        <v>360</v>
      </c>
      <c r="I1" s="301"/>
      <c r="J1" s="301"/>
      <c r="K1" s="301"/>
      <c r="L1" s="301"/>
      <c r="M1" s="301"/>
    </row>
    <row r="2" spans="1:13" ht="27" customHeight="1">
      <c r="A2" t="s">
        <v>125</v>
      </c>
      <c r="B2" s="215">
        <v>2019</v>
      </c>
      <c r="C2" s="215">
        <v>2020</v>
      </c>
      <c r="D2" s="215" t="s">
        <v>356</v>
      </c>
      <c r="E2" s="215" t="s">
        <v>355</v>
      </c>
      <c r="F2" s="215" t="s">
        <v>358</v>
      </c>
      <c r="G2" s="215" t="s">
        <v>357</v>
      </c>
      <c r="H2" s="215">
        <v>2019</v>
      </c>
      <c r="I2" s="215">
        <v>2020</v>
      </c>
      <c r="J2" s="215" t="s">
        <v>356</v>
      </c>
      <c r="K2" s="215" t="s">
        <v>355</v>
      </c>
      <c r="L2" s="215" t="s">
        <v>358</v>
      </c>
      <c r="M2" s="215" t="s">
        <v>361</v>
      </c>
    </row>
    <row r="3" spans="1:13" ht="16.5">
      <c r="A3" t="s">
        <v>23</v>
      </c>
      <c r="B3" s="26">
        <v>190.5</v>
      </c>
      <c r="C3" s="26">
        <f>+RESIDUOS!J5</f>
        <v>169.04999999999998</v>
      </c>
      <c r="D3" s="26">
        <f>300-C3</f>
        <v>130.95000000000002</v>
      </c>
      <c r="E3" s="26">
        <f>+C3-B3</f>
        <v>-21.450000000000017</v>
      </c>
      <c r="F3" s="213">
        <f>+(E3*100)/B3</f>
        <v>-11.25984251968505</v>
      </c>
      <c r="G3" s="213">
        <f>+(D3*100)/C3</f>
        <v>77.462289263531517</v>
      </c>
      <c r="H3" s="26">
        <v>0</v>
      </c>
      <c r="I3" s="26">
        <f>+'RESPEL '!C37</f>
        <v>0</v>
      </c>
      <c r="J3" s="26">
        <f>500-I3</f>
        <v>500</v>
      </c>
      <c r="K3" s="26">
        <f>+I3-H3</f>
        <v>0</v>
      </c>
      <c r="L3" s="213" t="e">
        <f>+(K3*100)/H3</f>
        <v>#DIV/0!</v>
      </c>
      <c r="M3" s="213">
        <f>+(J3*100)/300</f>
        <v>166.66666666666666</v>
      </c>
    </row>
    <row r="4" spans="1:13" ht="16.5">
      <c r="A4" t="s">
        <v>354</v>
      </c>
      <c r="B4" s="26">
        <v>333.9</v>
      </c>
      <c r="C4" s="26">
        <f>+RESIDUOS!J6</f>
        <v>275.3</v>
      </c>
      <c r="D4" s="26">
        <f>300-C4</f>
        <v>24.699999999999989</v>
      </c>
      <c r="E4" s="26">
        <f t="shared" ref="E4:E14" si="0">+C4-B4</f>
        <v>-58.599999999999966</v>
      </c>
      <c r="F4" s="213">
        <f t="shared" ref="F4:F14" si="1">+(E4*100)/B4</f>
        <v>-17.550164719976031</v>
      </c>
      <c r="G4" s="214">
        <f>+(D4*100)/300</f>
        <v>8.2333333333333307</v>
      </c>
      <c r="H4" s="26">
        <v>137.19999999999999</v>
      </c>
      <c r="I4" s="26">
        <f>+'RESPEL '!D37</f>
        <v>0</v>
      </c>
      <c r="J4" s="26">
        <f t="shared" ref="J4:J14" si="2">500-I4</f>
        <v>500</v>
      </c>
      <c r="K4" s="26">
        <f>+I4-H4</f>
        <v>-137.19999999999999</v>
      </c>
      <c r="L4" s="213">
        <f>+(K4*100)/H4</f>
        <v>-100</v>
      </c>
      <c r="M4" s="213">
        <f>+(J4*100)/300</f>
        <v>166.66666666666666</v>
      </c>
    </row>
    <row r="5" spans="1:13" ht="16.5">
      <c r="A5" t="s">
        <v>26</v>
      </c>
      <c r="B5" s="26">
        <v>229.21</v>
      </c>
      <c r="C5" s="26">
        <f>+RESIDUOS!J7</f>
        <v>229.05</v>
      </c>
      <c r="D5" s="26">
        <f t="shared" ref="D5:D14" si="3">300-C5</f>
        <v>70.949999999999989</v>
      </c>
      <c r="E5" s="26">
        <f t="shared" si="0"/>
        <v>-0.15999999999999659</v>
      </c>
      <c r="F5" s="213">
        <f t="shared" si="1"/>
        <v>-6.9804982330612358E-2</v>
      </c>
      <c r="G5" s="213">
        <f t="shared" ref="G5:G14" si="4">+(D5*100)/300</f>
        <v>23.65</v>
      </c>
      <c r="H5" s="26">
        <v>0</v>
      </c>
      <c r="I5" s="26">
        <f>+'RESPEL '!E37</f>
        <v>0</v>
      </c>
      <c r="J5" s="26">
        <f t="shared" si="2"/>
        <v>500</v>
      </c>
      <c r="K5" s="26">
        <f t="shared" ref="K5:K14" si="5">+I5-H5</f>
        <v>0</v>
      </c>
      <c r="L5" s="213" t="e">
        <f t="shared" ref="L5:L14" si="6">+(K5*100)/H5</f>
        <v>#DIV/0!</v>
      </c>
      <c r="M5" s="213">
        <f t="shared" ref="M5:M14" si="7">+(J5*100)/300</f>
        <v>166.66666666666666</v>
      </c>
    </row>
    <row r="6" spans="1:13" ht="16.5">
      <c r="A6" t="s">
        <v>27</v>
      </c>
      <c r="B6" s="26">
        <v>188.39999999999998</v>
      </c>
      <c r="C6" s="26">
        <f>+RESIDUOS!J8</f>
        <v>248.45</v>
      </c>
      <c r="D6" s="26">
        <f>300-C6</f>
        <v>51.550000000000011</v>
      </c>
      <c r="E6" s="26">
        <f t="shared" si="0"/>
        <v>60.050000000000011</v>
      </c>
      <c r="F6" s="213">
        <f>+(E6*100)/B6</f>
        <v>31.873673036093425</v>
      </c>
      <c r="G6" s="213">
        <f>+(D6*100)/300</f>
        <v>17.183333333333337</v>
      </c>
      <c r="H6" s="26">
        <v>31.900000000000002</v>
      </c>
      <c r="I6" s="26">
        <f>+'RESPEL '!F37</f>
        <v>476</v>
      </c>
      <c r="J6" s="26">
        <f t="shared" si="2"/>
        <v>24</v>
      </c>
      <c r="K6" s="26">
        <f>+I6-H6</f>
        <v>444.1</v>
      </c>
      <c r="L6" s="213">
        <f t="shared" si="6"/>
        <v>1392.1630094043887</v>
      </c>
      <c r="M6" s="213">
        <f t="shared" si="7"/>
        <v>8</v>
      </c>
    </row>
    <row r="7" spans="1:13" ht="16.5">
      <c r="A7" t="s">
        <v>28</v>
      </c>
      <c r="B7" s="26">
        <v>197.9</v>
      </c>
      <c r="C7" s="26">
        <f>+RESIDUOS!J9</f>
        <v>283.89999999999998</v>
      </c>
      <c r="D7" s="26">
        <f t="shared" si="3"/>
        <v>16.100000000000023</v>
      </c>
      <c r="E7" s="26">
        <f t="shared" si="0"/>
        <v>85.999999999999972</v>
      </c>
      <c r="F7" s="213">
        <f t="shared" si="1"/>
        <v>43.456291056088915</v>
      </c>
      <c r="G7" s="213">
        <f t="shared" si="4"/>
        <v>5.3666666666666742</v>
      </c>
      <c r="H7" s="26">
        <v>0</v>
      </c>
      <c r="I7" s="26">
        <f>+'RESPEL '!G37</f>
        <v>0</v>
      </c>
      <c r="J7" s="26">
        <f t="shared" si="2"/>
        <v>500</v>
      </c>
      <c r="K7" s="26">
        <f t="shared" si="5"/>
        <v>0</v>
      </c>
      <c r="L7" s="213" t="e">
        <f t="shared" si="6"/>
        <v>#DIV/0!</v>
      </c>
      <c r="M7" s="213">
        <f t="shared" si="7"/>
        <v>166.66666666666666</v>
      </c>
    </row>
    <row r="8" spans="1:13" ht="16.5">
      <c r="A8" t="s">
        <v>29</v>
      </c>
      <c r="B8" s="26">
        <v>195.79999999999998</v>
      </c>
      <c r="C8" s="26">
        <f>+RESIDUOS!J10</f>
        <v>286.60000000000002</v>
      </c>
      <c r="D8" s="26">
        <f t="shared" si="3"/>
        <v>13.399999999999977</v>
      </c>
      <c r="E8" s="26">
        <f t="shared" si="0"/>
        <v>90.80000000000004</v>
      </c>
      <c r="F8" s="213">
        <f t="shared" si="1"/>
        <v>46.373850868232914</v>
      </c>
      <c r="G8" s="213">
        <f t="shared" si="4"/>
        <v>4.4666666666666588</v>
      </c>
      <c r="H8" s="26">
        <v>457</v>
      </c>
      <c r="I8" s="26">
        <f>+'RESPEL '!H37</f>
        <v>0</v>
      </c>
      <c r="J8" s="26">
        <f t="shared" si="2"/>
        <v>500</v>
      </c>
      <c r="K8" s="26">
        <f t="shared" si="5"/>
        <v>-457</v>
      </c>
      <c r="L8" s="213">
        <f t="shared" si="6"/>
        <v>-100</v>
      </c>
      <c r="M8" s="213">
        <f t="shared" si="7"/>
        <v>166.66666666666666</v>
      </c>
    </row>
    <row r="9" spans="1:13" ht="16.5">
      <c r="A9" t="s">
        <v>30</v>
      </c>
      <c r="B9" s="26">
        <v>334.3</v>
      </c>
      <c r="C9" s="26">
        <f>+RESIDUOS!J11</f>
        <v>282.79999999999995</v>
      </c>
      <c r="D9" s="26">
        <f t="shared" si="3"/>
        <v>17.200000000000045</v>
      </c>
      <c r="E9" s="26">
        <f t="shared" si="0"/>
        <v>-51.500000000000057</v>
      </c>
      <c r="F9" s="213">
        <f t="shared" si="1"/>
        <v>-15.405324558779554</v>
      </c>
      <c r="G9" s="213">
        <f t="shared" si="4"/>
        <v>5.7333333333333485</v>
      </c>
      <c r="H9" s="26">
        <v>0</v>
      </c>
      <c r="I9" s="26">
        <f>+'RESPEL '!I37</f>
        <v>0</v>
      </c>
      <c r="J9" s="26">
        <f t="shared" si="2"/>
        <v>500</v>
      </c>
      <c r="K9" s="26">
        <f t="shared" si="5"/>
        <v>0</v>
      </c>
      <c r="L9" s="213" t="e">
        <f t="shared" si="6"/>
        <v>#DIV/0!</v>
      </c>
      <c r="M9" s="213">
        <f t="shared" si="7"/>
        <v>166.66666666666666</v>
      </c>
    </row>
    <row r="10" spans="1:13" ht="16.5">
      <c r="A10" t="s">
        <v>31</v>
      </c>
      <c r="B10" s="26">
        <v>129.30000000000001</v>
      </c>
      <c r="C10" s="26">
        <f>+RESIDUOS!J12</f>
        <v>281.39999999999998</v>
      </c>
      <c r="D10" s="26">
        <f t="shared" si="3"/>
        <v>18.600000000000023</v>
      </c>
      <c r="E10" s="26">
        <f t="shared" si="0"/>
        <v>152.09999999999997</v>
      </c>
      <c r="F10" s="213">
        <f t="shared" si="1"/>
        <v>117.63341067285378</v>
      </c>
      <c r="G10" s="213">
        <f t="shared" si="4"/>
        <v>6.2000000000000073</v>
      </c>
      <c r="H10" s="26">
        <v>0</v>
      </c>
      <c r="I10" s="26">
        <f>+'RESPEL '!J37</f>
        <v>29</v>
      </c>
      <c r="J10" s="26">
        <f t="shared" si="2"/>
        <v>471</v>
      </c>
      <c r="K10" s="26">
        <f t="shared" si="5"/>
        <v>29</v>
      </c>
      <c r="L10" s="213" t="e">
        <f t="shared" si="6"/>
        <v>#DIV/0!</v>
      </c>
      <c r="M10" s="213">
        <f t="shared" si="7"/>
        <v>157</v>
      </c>
    </row>
    <row r="11" spans="1:13" ht="16.5">
      <c r="A11" t="s">
        <v>32</v>
      </c>
      <c r="B11" s="26">
        <v>142.35</v>
      </c>
      <c r="C11" s="26">
        <f>+RESIDUOS!J13</f>
        <v>311.89999999999998</v>
      </c>
      <c r="D11" s="26">
        <f t="shared" si="3"/>
        <v>-11.899999999999977</v>
      </c>
      <c r="E11" s="26">
        <f t="shared" si="0"/>
        <v>169.54999999999998</v>
      </c>
      <c r="F11" s="213">
        <f t="shared" si="1"/>
        <v>119.10783280646295</v>
      </c>
      <c r="G11" s="213">
        <f t="shared" si="4"/>
        <v>-3.9666666666666592</v>
      </c>
      <c r="H11" s="26">
        <v>0</v>
      </c>
      <c r="I11" s="26">
        <f>+'RESPEL '!K37</f>
        <v>0</v>
      </c>
      <c r="J11" s="26">
        <f t="shared" si="2"/>
        <v>500</v>
      </c>
      <c r="K11" s="26">
        <f t="shared" si="5"/>
        <v>0</v>
      </c>
      <c r="L11" s="213" t="e">
        <f t="shared" si="6"/>
        <v>#DIV/0!</v>
      </c>
      <c r="M11" s="213">
        <f t="shared" si="7"/>
        <v>166.66666666666666</v>
      </c>
    </row>
    <row r="12" spans="1:13" ht="16.5">
      <c r="A12" t="s">
        <v>33</v>
      </c>
      <c r="B12" s="26">
        <v>105.20000000000002</v>
      </c>
      <c r="C12" s="26">
        <f>+RESIDUOS!J14</f>
        <v>234.7</v>
      </c>
      <c r="D12" s="26">
        <f t="shared" si="3"/>
        <v>65.300000000000011</v>
      </c>
      <c r="E12" s="26">
        <f t="shared" si="0"/>
        <v>129.49999999999997</v>
      </c>
      <c r="F12" s="213">
        <f t="shared" si="1"/>
        <v>123.09885931558929</v>
      </c>
      <c r="G12" s="213">
        <f t="shared" si="4"/>
        <v>21.766666666666669</v>
      </c>
      <c r="H12" s="26">
        <v>158.4</v>
      </c>
      <c r="I12" s="26">
        <f>+'RESPEL '!L37</f>
        <v>0</v>
      </c>
      <c r="J12" s="26">
        <f t="shared" si="2"/>
        <v>500</v>
      </c>
      <c r="K12" s="26">
        <f t="shared" si="5"/>
        <v>-158.4</v>
      </c>
      <c r="L12" s="213">
        <f t="shared" si="6"/>
        <v>-100</v>
      </c>
      <c r="M12" s="213">
        <f t="shared" si="7"/>
        <v>166.66666666666666</v>
      </c>
    </row>
    <row r="13" spans="1:13" ht="16.5">
      <c r="A13" t="s">
        <v>34</v>
      </c>
      <c r="B13" s="26">
        <v>137.44</v>
      </c>
      <c r="C13" s="26">
        <f>+RESIDUOS!J15</f>
        <v>185</v>
      </c>
      <c r="D13" s="26">
        <f t="shared" si="3"/>
        <v>115</v>
      </c>
      <c r="E13" s="26">
        <f t="shared" si="0"/>
        <v>47.56</v>
      </c>
      <c r="F13" s="213">
        <f t="shared" si="1"/>
        <v>34.604190919674039</v>
      </c>
      <c r="G13" s="213">
        <f t="shared" si="4"/>
        <v>38.333333333333336</v>
      </c>
      <c r="H13" s="26">
        <v>0</v>
      </c>
      <c r="I13" s="26">
        <f>+'RESPEL '!M37</f>
        <v>41</v>
      </c>
      <c r="J13" s="26">
        <f t="shared" si="2"/>
        <v>459</v>
      </c>
      <c r="K13" s="26">
        <f t="shared" si="5"/>
        <v>41</v>
      </c>
      <c r="L13" s="213" t="e">
        <f t="shared" si="6"/>
        <v>#DIV/0!</v>
      </c>
      <c r="M13" s="213">
        <f t="shared" si="7"/>
        <v>153</v>
      </c>
    </row>
    <row r="14" spans="1:13" ht="16.5">
      <c r="A14" t="s">
        <v>35</v>
      </c>
      <c r="B14" s="26">
        <v>172.46</v>
      </c>
      <c r="C14" s="26">
        <f>+RESIDUOS!J16</f>
        <v>195.10000000000002</v>
      </c>
      <c r="D14" s="26">
        <f t="shared" si="3"/>
        <v>104.89999999999998</v>
      </c>
      <c r="E14" s="26">
        <f t="shared" si="0"/>
        <v>22.640000000000015</v>
      </c>
      <c r="F14" s="213">
        <f t="shared" si="1"/>
        <v>13.127681781282623</v>
      </c>
      <c r="G14" s="213">
        <f t="shared" si="4"/>
        <v>34.966666666666661</v>
      </c>
      <c r="H14" s="26">
        <v>60</v>
      </c>
      <c r="I14" s="26">
        <f>+'RESPEL '!N37</f>
        <v>0</v>
      </c>
      <c r="J14" s="26">
        <f t="shared" si="2"/>
        <v>500</v>
      </c>
      <c r="K14" s="26">
        <f t="shared" si="5"/>
        <v>-60</v>
      </c>
      <c r="L14" s="213">
        <f t="shared" si="6"/>
        <v>-100</v>
      </c>
      <c r="M14" s="213">
        <f t="shared" si="7"/>
        <v>166.66666666666666</v>
      </c>
    </row>
    <row r="16" spans="1:13">
      <c r="B16" s="299" t="s">
        <v>362</v>
      </c>
      <c r="C16" s="299"/>
      <c r="D16" s="299"/>
      <c r="E16" s="299"/>
      <c r="F16" s="299"/>
      <c r="G16" s="299"/>
      <c r="H16" s="218"/>
      <c r="I16" s="218"/>
      <c r="J16" s="218"/>
      <c r="K16" s="218"/>
      <c r="L16" s="218"/>
      <c r="M16" s="218"/>
    </row>
    <row r="17" spans="1:13">
      <c r="A17" s="26" t="s">
        <v>125</v>
      </c>
      <c r="B17" s="215">
        <v>2019</v>
      </c>
      <c r="C17" s="215">
        <v>2020</v>
      </c>
      <c r="D17" s="215" t="s">
        <v>356</v>
      </c>
      <c r="E17" s="215" t="s">
        <v>355</v>
      </c>
      <c r="F17" s="215" t="s">
        <v>358</v>
      </c>
      <c r="G17" s="215" t="s">
        <v>357</v>
      </c>
      <c r="H17" s="15"/>
      <c r="I17" s="15"/>
      <c r="J17" s="15"/>
      <c r="K17" s="15"/>
      <c r="L17" s="15"/>
      <c r="M17" s="15"/>
    </row>
    <row r="18" spans="1:13" ht="16.5">
      <c r="A18" s="26" t="s">
        <v>23</v>
      </c>
      <c r="B18" s="216">
        <v>5.588504127666297E-3</v>
      </c>
      <c r="C18" s="216">
        <f>+'AGUA '!L5</f>
        <v>9.4296461976413181E-3</v>
      </c>
      <c r="D18" s="216">
        <f>0.02-C18</f>
        <v>1.0570353802358682E-2</v>
      </c>
      <c r="E18" s="26">
        <f>+C18-B18</f>
        <v>3.8411420699750211E-3</v>
      </c>
      <c r="F18" s="213">
        <f>+(E18*100)/B18</f>
        <v>68.732919976907013</v>
      </c>
      <c r="G18" s="213">
        <f>+(D18*100)/C18</f>
        <v>112.09703504043127</v>
      </c>
      <c r="L18" s="217"/>
      <c r="M18" s="217"/>
    </row>
    <row r="19" spans="1:13" ht="16.5">
      <c r="A19" s="26" t="s">
        <v>354</v>
      </c>
      <c r="B19" s="216">
        <v>8.5351409803383401E-3</v>
      </c>
      <c r="C19" s="216">
        <f>+'AGUA '!L6</f>
        <v>1.6499802397576077E-2</v>
      </c>
      <c r="D19" s="216">
        <f t="shared" ref="D19:D29" si="8">0.02-C19</f>
        <v>3.5001976024239233E-3</v>
      </c>
      <c r="E19" s="26">
        <f t="shared" ref="E19:E29" si="9">+C19-B19</f>
        <v>7.964661417237737E-3</v>
      </c>
      <c r="F19" s="213">
        <f t="shared" ref="F19:F29" si="10">+(E19*100)/B19</f>
        <v>93.316108492938</v>
      </c>
      <c r="G19" s="213">
        <f t="shared" ref="G19:G29" si="11">+(D19*100)/C19</f>
        <v>21.213572854291417</v>
      </c>
      <c r="L19" s="217"/>
      <c r="M19" s="217"/>
    </row>
    <row r="20" spans="1:13" ht="16.5">
      <c r="A20" s="26" t="s">
        <v>26</v>
      </c>
      <c r="B20" s="216">
        <v>1.1810733003617038E-2</v>
      </c>
      <c r="C20" s="216">
        <f>+'AGUA '!L7</f>
        <v>1.9984627209838585E-2</v>
      </c>
      <c r="D20" s="216">
        <f t="shared" si="8"/>
        <v>1.5372790161415073E-5</v>
      </c>
      <c r="E20" s="216">
        <f>+C20-B20</f>
        <v>8.1738942062215478E-3</v>
      </c>
      <c r="F20" s="213">
        <f>+(E20*100)/B20</f>
        <v>69.207340507302064</v>
      </c>
      <c r="G20" s="213">
        <f>+(D20*100)/C20</f>
        <v>7.6923076923080813E-2</v>
      </c>
      <c r="L20" s="217"/>
      <c r="M20" s="217"/>
    </row>
    <row r="21" spans="1:13" ht="16.5">
      <c r="A21" s="26" t="s">
        <v>27</v>
      </c>
      <c r="B21" s="216">
        <v>1.9340410891575739E-2</v>
      </c>
      <c r="C21" s="224">
        <f>+'AGUA '!L8</f>
        <v>1.480236837894063E-2</v>
      </c>
      <c r="D21" s="223">
        <f>0.02-C21</f>
        <v>5.19763162105937E-3</v>
      </c>
      <c r="E21" s="224">
        <f>+C21-B21</f>
        <v>-4.5380425126351088E-3</v>
      </c>
      <c r="F21" s="213">
        <f>+(E21*100)/B21</f>
        <v>-23.464043954783715</v>
      </c>
      <c r="G21" s="213">
        <f t="shared" si="11"/>
        <v>35.113513513513517</v>
      </c>
      <c r="L21" s="217"/>
      <c r="M21" s="217"/>
    </row>
    <row r="22" spans="1:13" ht="16.5">
      <c r="A22" s="26" t="s">
        <v>28</v>
      </c>
      <c r="B22" s="216">
        <v>7.0710392783311406E-3</v>
      </c>
      <c r="C22" s="216">
        <f>+'AGUA '!L9</f>
        <v>1.67112032864037E-2</v>
      </c>
      <c r="D22" s="216">
        <f t="shared" si="8"/>
        <v>3.2887967135963002E-3</v>
      </c>
      <c r="E22" s="26">
        <f t="shared" si="9"/>
        <v>9.6401640080725597E-3</v>
      </c>
      <c r="F22" s="213">
        <f>+(E22*100)/B22</f>
        <v>136.33305697529326</v>
      </c>
      <c r="G22" s="213">
        <f t="shared" si="11"/>
        <v>19.6801909307876</v>
      </c>
      <c r="L22" s="217"/>
      <c r="M22" s="217"/>
    </row>
    <row r="23" spans="1:13" ht="16.5">
      <c r="A23" s="26" t="s">
        <v>29</v>
      </c>
      <c r="B23" s="216">
        <v>9.5680437843689362E-3</v>
      </c>
      <c r="C23" s="216">
        <f>+'AGUA '!L10</f>
        <v>1.857272963830341E-2</v>
      </c>
      <c r="D23" s="216">
        <f t="shared" si="8"/>
        <v>1.4272703616965907E-3</v>
      </c>
      <c r="E23" s="26">
        <f t="shared" si="9"/>
        <v>9.0046858539344736E-3</v>
      </c>
      <c r="F23" s="213">
        <f t="shared" si="10"/>
        <v>94.112088707674957</v>
      </c>
      <c r="G23" s="213">
        <f t="shared" si="11"/>
        <v>7.6847635726795067</v>
      </c>
      <c r="L23" s="217"/>
      <c r="M23" s="217"/>
    </row>
    <row r="24" spans="1:13" ht="16.5">
      <c r="A24" s="26" t="s">
        <v>30</v>
      </c>
      <c r="B24" s="216">
        <v>2.2981554278802541E-2</v>
      </c>
      <c r="C24" s="216">
        <f>+'AGUA '!L11</f>
        <v>1.4006826506826506E-2</v>
      </c>
      <c r="D24" s="216">
        <f t="shared" si="8"/>
        <v>5.9931734931734943E-3</v>
      </c>
      <c r="E24" s="26">
        <f t="shared" si="9"/>
        <v>-8.9747277719760352E-3</v>
      </c>
      <c r="F24" s="213">
        <f t="shared" si="10"/>
        <v>-39.051874660427302</v>
      </c>
      <c r="G24" s="213">
        <f t="shared" si="11"/>
        <v>42.787518573551274</v>
      </c>
      <c r="L24" s="217"/>
      <c r="M24" s="217"/>
    </row>
    <row r="25" spans="1:13" ht="16.5">
      <c r="A25" s="26" t="s">
        <v>31</v>
      </c>
      <c r="B25" s="216">
        <v>2.5323539699195523E-2</v>
      </c>
      <c r="C25" s="216">
        <f>+'AGUA '!L12</f>
        <v>1.8028481971518028E-2</v>
      </c>
      <c r="D25" s="216">
        <f t="shared" si="8"/>
        <v>1.9715180284819722E-3</v>
      </c>
      <c r="E25" s="26">
        <f t="shared" si="9"/>
        <v>-7.2950577276774953E-3</v>
      </c>
      <c r="F25" s="213">
        <f t="shared" si="10"/>
        <v>-28.807417187057954</v>
      </c>
      <c r="G25" s="213">
        <f t="shared" si="11"/>
        <v>10.935574229691881</v>
      </c>
      <c r="L25" s="217"/>
      <c r="M25" s="217"/>
    </row>
    <row r="26" spans="1:13" ht="16.5">
      <c r="A26" s="26" t="s">
        <v>32</v>
      </c>
      <c r="B26" s="216">
        <v>6.1622241329893955E-3</v>
      </c>
      <c r="C26" s="216">
        <f>+'AGUA '!L13</f>
        <v>8.0908102886124867E-3</v>
      </c>
      <c r="D26" s="216">
        <f t="shared" si="8"/>
        <v>1.1909189711387514E-2</v>
      </c>
      <c r="E26" s="26">
        <f t="shared" si="9"/>
        <v>1.9285861556230912E-3</v>
      </c>
      <c r="F26" s="213">
        <f t="shared" si="10"/>
        <v>31.29691673008821</v>
      </c>
      <c r="G26" s="213">
        <f t="shared" si="11"/>
        <v>147.19402985074626</v>
      </c>
      <c r="L26" s="217"/>
      <c r="M26" s="217"/>
    </row>
    <row r="27" spans="1:13" ht="16.5">
      <c r="A27" s="26" t="s">
        <v>33</v>
      </c>
      <c r="B27" s="216">
        <v>1.5367021656779358E-2</v>
      </c>
      <c r="C27" s="216">
        <f>+'AGUA '!L14</f>
        <v>1.2666565334143993E-2</v>
      </c>
      <c r="D27" s="216">
        <f t="shared" si="8"/>
        <v>7.3334346658560073E-3</v>
      </c>
      <c r="E27" s="26">
        <f t="shared" si="9"/>
        <v>-2.700456322635365E-3</v>
      </c>
      <c r="F27" s="213">
        <f t="shared" si="10"/>
        <v>-17.573062516275066</v>
      </c>
      <c r="G27" s="213">
        <f t="shared" si="11"/>
        <v>57.896000000000001</v>
      </c>
      <c r="L27" s="217"/>
      <c r="M27" s="217"/>
    </row>
    <row r="28" spans="1:13" ht="16.5">
      <c r="A28" s="26" t="s">
        <v>34</v>
      </c>
      <c r="B28" s="216">
        <v>6.6877859908482931E-3</v>
      </c>
      <c r="C28" s="216">
        <f>+'AGUA '!L15</f>
        <v>6.0185185185185182E-2</v>
      </c>
      <c r="D28" s="216">
        <f t="shared" si="8"/>
        <v>-4.0185185185185185E-2</v>
      </c>
      <c r="E28" s="26">
        <f t="shared" si="9"/>
        <v>5.3497399194336888E-2</v>
      </c>
      <c r="F28" s="213">
        <f t="shared" si="10"/>
        <v>799.92690058479525</v>
      </c>
      <c r="G28" s="213">
        <f t="shared" si="11"/>
        <v>-66.769230769230774</v>
      </c>
      <c r="L28" s="217"/>
      <c r="M28" s="217"/>
    </row>
    <row r="29" spans="1:13" ht="16.5">
      <c r="A29" s="26" t="s">
        <v>35</v>
      </c>
      <c r="B29" s="216">
        <v>3.561012005697619E-2</v>
      </c>
      <c r="C29" s="216">
        <f>+'AGUA '!L16</f>
        <v>2.5622712257834121E-2</v>
      </c>
      <c r="D29" s="216">
        <f t="shared" si="8"/>
        <v>-5.6227122578341206E-3</v>
      </c>
      <c r="E29" s="26">
        <f t="shared" si="9"/>
        <v>-9.9874077991420687E-3</v>
      </c>
      <c r="F29" s="213">
        <f t="shared" si="10"/>
        <v>-28.046543463381244</v>
      </c>
      <c r="G29" s="213">
        <f t="shared" si="11"/>
        <v>-21.944250871080133</v>
      </c>
      <c r="L29" s="217"/>
      <c r="M29" s="217"/>
    </row>
  </sheetData>
  <mergeCells count="3">
    <mergeCell ref="B1:G1"/>
    <mergeCell ref="H1:M1"/>
    <mergeCell ref="B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152"/>
  <sheetViews>
    <sheetView showGridLines="0" topLeftCell="A85" zoomScale="85" zoomScaleNormal="85" zoomScaleSheetLayoutView="85" workbookViewId="0">
      <selection activeCell="S93" sqref="S93"/>
    </sheetView>
  </sheetViews>
  <sheetFormatPr baseColWidth="10" defaultRowHeight="16.5"/>
  <cols>
    <col min="1" max="16384" width="11.42578125" style="68"/>
  </cols>
  <sheetData>
    <row r="1" spans="1:18" ht="51" customHeight="1" thickBot="1">
      <c r="A1" s="282" t="s">
        <v>183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>
      <c r="A2" s="284"/>
      <c r="B2" s="285"/>
      <c r="C2" s="285"/>
      <c r="D2" s="285"/>
      <c r="E2" s="285"/>
      <c r="F2" s="286"/>
      <c r="G2" s="284"/>
      <c r="H2" s="285"/>
      <c r="I2" s="285"/>
      <c r="J2" s="285"/>
      <c r="K2" s="285"/>
      <c r="L2" s="286"/>
      <c r="M2" s="284"/>
      <c r="N2" s="285"/>
      <c r="O2" s="285"/>
      <c r="P2" s="285"/>
      <c r="Q2" s="285"/>
      <c r="R2" s="286"/>
    </row>
    <row r="3" spans="1:18">
      <c r="A3" s="287"/>
      <c r="B3" s="288"/>
      <c r="C3" s="288"/>
      <c r="D3" s="288"/>
      <c r="E3" s="288"/>
      <c r="F3" s="289"/>
      <c r="G3" s="287"/>
      <c r="H3" s="288"/>
      <c r="I3" s="288"/>
      <c r="J3" s="288"/>
      <c r="K3" s="288"/>
      <c r="L3" s="289"/>
      <c r="M3" s="287"/>
      <c r="N3" s="288"/>
      <c r="O3" s="288"/>
      <c r="P3" s="288"/>
      <c r="Q3" s="288"/>
      <c r="R3" s="289"/>
    </row>
    <row r="4" spans="1:18">
      <c r="A4" s="287"/>
      <c r="B4" s="288"/>
      <c r="C4" s="288"/>
      <c r="D4" s="288"/>
      <c r="E4" s="288"/>
      <c r="F4" s="289"/>
      <c r="G4" s="287"/>
      <c r="H4" s="288"/>
      <c r="I4" s="288"/>
      <c r="J4" s="288"/>
      <c r="K4" s="288"/>
      <c r="L4" s="289"/>
      <c r="M4" s="287"/>
      <c r="N4" s="288"/>
      <c r="O4" s="288"/>
      <c r="P4" s="288"/>
      <c r="Q4" s="288"/>
      <c r="R4" s="289"/>
    </row>
    <row r="5" spans="1:18">
      <c r="A5" s="287"/>
      <c r="B5" s="288"/>
      <c r="C5" s="288"/>
      <c r="D5" s="288"/>
      <c r="E5" s="288"/>
      <c r="F5" s="289"/>
      <c r="G5" s="287"/>
      <c r="H5" s="288"/>
      <c r="I5" s="288"/>
      <c r="J5" s="288"/>
      <c r="K5" s="288"/>
      <c r="L5" s="289"/>
      <c r="M5" s="287"/>
      <c r="N5" s="288"/>
      <c r="O5" s="288"/>
      <c r="P5" s="288"/>
      <c r="Q5" s="288"/>
      <c r="R5" s="289"/>
    </row>
    <row r="6" spans="1:18">
      <c r="A6" s="287"/>
      <c r="B6" s="288"/>
      <c r="C6" s="288"/>
      <c r="D6" s="288"/>
      <c r="E6" s="288"/>
      <c r="F6" s="289"/>
      <c r="G6" s="287"/>
      <c r="H6" s="288"/>
      <c r="I6" s="288"/>
      <c r="J6" s="288"/>
      <c r="K6" s="288"/>
      <c r="L6" s="289"/>
      <c r="M6" s="287"/>
      <c r="N6" s="288"/>
      <c r="O6" s="288"/>
      <c r="P6" s="288"/>
      <c r="Q6" s="288"/>
      <c r="R6" s="289"/>
    </row>
    <row r="7" spans="1:18">
      <c r="A7" s="287"/>
      <c r="B7" s="288"/>
      <c r="C7" s="288"/>
      <c r="D7" s="288"/>
      <c r="E7" s="288"/>
      <c r="F7" s="289"/>
      <c r="G7" s="287"/>
      <c r="H7" s="288"/>
      <c r="I7" s="288"/>
      <c r="J7" s="288"/>
      <c r="K7" s="288"/>
      <c r="L7" s="289"/>
      <c r="M7" s="287"/>
      <c r="N7" s="288"/>
      <c r="O7" s="288"/>
      <c r="P7" s="288"/>
      <c r="Q7" s="288"/>
      <c r="R7" s="289"/>
    </row>
    <row r="8" spans="1:18">
      <c r="A8" s="287"/>
      <c r="B8" s="288"/>
      <c r="C8" s="288"/>
      <c r="D8" s="288"/>
      <c r="E8" s="288"/>
      <c r="F8" s="289"/>
      <c r="G8" s="287"/>
      <c r="H8" s="288"/>
      <c r="I8" s="288"/>
      <c r="J8" s="288"/>
      <c r="K8" s="288"/>
      <c r="L8" s="289"/>
      <c r="M8" s="287"/>
      <c r="N8" s="288"/>
      <c r="O8" s="288"/>
      <c r="P8" s="288"/>
      <c r="Q8" s="288"/>
      <c r="R8" s="289"/>
    </row>
    <row r="9" spans="1:18">
      <c r="A9" s="287"/>
      <c r="B9" s="288"/>
      <c r="C9" s="288"/>
      <c r="D9" s="288"/>
      <c r="E9" s="288"/>
      <c r="F9" s="289"/>
      <c r="G9" s="287"/>
      <c r="H9" s="288"/>
      <c r="I9" s="288"/>
      <c r="J9" s="288"/>
      <c r="K9" s="288"/>
      <c r="L9" s="289"/>
      <c r="M9" s="287"/>
      <c r="N9" s="288"/>
      <c r="O9" s="288"/>
      <c r="P9" s="288"/>
      <c r="Q9" s="288"/>
      <c r="R9" s="289"/>
    </row>
    <row r="10" spans="1:18">
      <c r="A10" s="287"/>
      <c r="B10" s="288"/>
      <c r="C10" s="288"/>
      <c r="D10" s="288"/>
      <c r="E10" s="288"/>
      <c r="F10" s="289"/>
      <c r="G10" s="287"/>
      <c r="H10" s="288"/>
      <c r="I10" s="288"/>
      <c r="J10" s="288"/>
      <c r="K10" s="288"/>
      <c r="L10" s="289"/>
      <c r="M10" s="287"/>
      <c r="N10" s="288"/>
      <c r="O10" s="288"/>
      <c r="P10" s="288"/>
      <c r="Q10" s="288"/>
      <c r="R10" s="289"/>
    </row>
    <row r="11" spans="1:18">
      <c r="A11" s="287"/>
      <c r="B11" s="288"/>
      <c r="C11" s="288"/>
      <c r="D11" s="288"/>
      <c r="E11" s="288"/>
      <c r="F11" s="289"/>
      <c r="G11" s="287"/>
      <c r="H11" s="288"/>
      <c r="I11" s="288"/>
      <c r="J11" s="288"/>
      <c r="K11" s="288"/>
      <c r="L11" s="289"/>
      <c r="M11" s="287"/>
      <c r="N11" s="288"/>
      <c r="O11" s="288"/>
      <c r="P11" s="288"/>
      <c r="Q11" s="288"/>
      <c r="R11" s="289"/>
    </row>
    <row r="12" spans="1:18">
      <c r="A12" s="287"/>
      <c r="B12" s="288"/>
      <c r="C12" s="288"/>
      <c r="D12" s="288"/>
      <c r="E12" s="288"/>
      <c r="F12" s="289"/>
      <c r="G12" s="287"/>
      <c r="H12" s="288"/>
      <c r="I12" s="288"/>
      <c r="J12" s="288"/>
      <c r="K12" s="288"/>
      <c r="L12" s="289"/>
      <c r="M12" s="287"/>
      <c r="N12" s="288"/>
      <c r="O12" s="288"/>
      <c r="P12" s="288"/>
      <c r="Q12" s="288"/>
      <c r="R12" s="289"/>
    </row>
    <row r="13" spans="1:18">
      <c r="A13" s="287"/>
      <c r="B13" s="288"/>
      <c r="C13" s="288"/>
      <c r="D13" s="288"/>
      <c r="E13" s="288"/>
      <c r="F13" s="289"/>
      <c r="G13" s="287"/>
      <c r="H13" s="288"/>
      <c r="I13" s="288"/>
      <c r="J13" s="288"/>
      <c r="K13" s="288"/>
      <c r="L13" s="289"/>
      <c r="M13" s="287"/>
      <c r="N13" s="288"/>
      <c r="O13" s="288"/>
      <c r="P13" s="288"/>
      <c r="Q13" s="288"/>
      <c r="R13" s="289"/>
    </row>
    <row r="14" spans="1:18">
      <c r="A14" s="287"/>
      <c r="B14" s="288"/>
      <c r="C14" s="288"/>
      <c r="D14" s="288"/>
      <c r="E14" s="288"/>
      <c r="F14" s="289"/>
      <c r="G14" s="287"/>
      <c r="H14" s="288"/>
      <c r="I14" s="288"/>
      <c r="J14" s="288"/>
      <c r="K14" s="288"/>
      <c r="L14" s="289"/>
      <c r="M14" s="287"/>
      <c r="N14" s="288"/>
      <c r="O14" s="288"/>
      <c r="P14" s="288"/>
      <c r="Q14" s="288"/>
      <c r="R14" s="289"/>
    </row>
    <row r="15" spans="1:18">
      <c r="A15" s="287"/>
      <c r="B15" s="288"/>
      <c r="C15" s="288"/>
      <c r="D15" s="288"/>
      <c r="E15" s="288"/>
      <c r="F15" s="289"/>
      <c r="G15" s="287"/>
      <c r="H15" s="288"/>
      <c r="I15" s="288"/>
      <c r="J15" s="288"/>
      <c r="K15" s="288"/>
      <c r="L15" s="289"/>
      <c r="M15" s="287"/>
      <c r="N15" s="288"/>
      <c r="O15" s="288"/>
      <c r="P15" s="288"/>
      <c r="Q15" s="288"/>
      <c r="R15" s="289"/>
    </row>
    <row r="16" spans="1:18" ht="17.25" thickBot="1">
      <c r="A16" s="290"/>
      <c r="B16" s="291"/>
      <c r="C16" s="291"/>
      <c r="D16" s="291"/>
      <c r="E16" s="291"/>
      <c r="F16" s="292"/>
      <c r="G16" s="290"/>
      <c r="H16" s="291"/>
      <c r="I16" s="291"/>
      <c r="J16" s="291"/>
      <c r="K16" s="291"/>
      <c r="L16" s="292"/>
      <c r="M16" s="290"/>
      <c r="N16" s="291"/>
      <c r="O16" s="291"/>
      <c r="P16" s="291"/>
      <c r="Q16" s="291"/>
      <c r="R16" s="292"/>
    </row>
    <row r="17" spans="1:18">
      <c r="A17" s="284"/>
      <c r="B17" s="285"/>
      <c r="C17" s="285"/>
      <c r="D17" s="285"/>
      <c r="E17" s="285"/>
      <c r="F17" s="286"/>
      <c r="G17" s="284"/>
      <c r="H17" s="285"/>
      <c r="I17" s="285"/>
      <c r="J17" s="285"/>
      <c r="K17" s="285"/>
      <c r="L17" s="286"/>
      <c r="M17" s="284"/>
      <c r="N17" s="285"/>
      <c r="O17" s="285"/>
      <c r="P17" s="285"/>
      <c r="Q17" s="285"/>
      <c r="R17" s="286"/>
    </row>
    <row r="18" spans="1:18">
      <c r="A18" s="287"/>
      <c r="B18" s="288"/>
      <c r="C18" s="288"/>
      <c r="D18" s="288"/>
      <c r="E18" s="288"/>
      <c r="F18" s="289"/>
      <c r="G18" s="287"/>
      <c r="H18" s="288"/>
      <c r="I18" s="288"/>
      <c r="J18" s="288"/>
      <c r="K18" s="288"/>
      <c r="L18" s="289"/>
      <c r="M18" s="287"/>
      <c r="N18" s="288"/>
      <c r="O18" s="288"/>
      <c r="P18" s="288"/>
      <c r="Q18" s="288"/>
      <c r="R18" s="289"/>
    </row>
    <row r="19" spans="1:18">
      <c r="A19" s="287"/>
      <c r="B19" s="288"/>
      <c r="C19" s="288"/>
      <c r="D19" s="288"/>
      <c r="E19" s="288"/>
      <c r="F19" s="289"/>
      <c r="G19" s="287"/>
      <c r="H19" s="288"/>
      <c r="I19" s="288"/>
      <c r="J19" s="288"/>
      <c r="K19" s="288"/>
      <c r="L19" s="289"/>
      <c r="M19" s="287"/>
      <c r="N19" s="288"/>
      <c r="O19" s="288"/>
      <c r="P19" s="288"/>
      <c r="Q19" s="288"/>
      <c r="R19" s="289"/>
    </row>
    <row r="20" spans="1:18">
      <c r="A20" s="287"/>
      <c r="B20" s="288"/>
      <c r="C20" s="288"/>
      <c r="D20" s="288"/>
      <c r="E20" s="288"/>
      <c r="F20" s="289"/>
      <c r="G20" s="287"/>
      <c r="H20" s="288"/>
      <c r="I20" s="288"/>
      <c r="J20" s="288"/>
      <c r="K20" s="288"/>
      <c r="L20" s="289"/>
      <c r="M20" s="287"/>
      <c r="N20" s="288"/>
      <c r="O20" s="288"/>
      <c r="P20" s="288"/>
      <c r="Q20" s="288"/>
      <c r="R20" s="289"/>
    </row>
    <row r="21" spans="1:18">
      <c r="A21" s="287"/>
      <c r="B21" s="288"/>
      <c r="C21" s="288"/>
      <c r="D21" s="288"/>
      <c r="E21" s="288"/>
      <c r="F21" s="289"/>
      <c r="G21" s="287"/>
      <c r="H21" s="288"/>
      <c r="I21" s="288"/>
      <c r="J21" s="288"/>
      <c r="K21" s="288"/>
      <c r="L21" s="289"/>
      <c r="M21" s="287"/>
      <c r="N21" s="288"/>
      <c r="O21" s="288"/>
      <c r="P21" s="288"/>
      <c r="Q21" s="288"/>
      <c r="R21" s="289"/>
    </row>
    <row r="22" spans="1:18">
      <c r="A22" s="287"/>
      <c r="B22" s="288"/>
      <c r="C22" s="288"/>
      <c r="D22" s="288"/>
      <c r="E22" s="288"/>
      <c r="F22" s="289"/>
      <c r="G22" s="287"/>
      <c r="H22" s="288"/>
      <c r="I22" s="288"/>
      <c r="J22" s="288"/>
      <c r="K22" s="288"/>
      <c r="L22" s="289"/>
      <c r="M22" s="287"/>
      <c r="N22" s="288"/>
      <c r="O22" s="288"/>
      <c r="P22" s="288"/>
      <c r="Q22" s="288"/>
      <c r="R22" s="289"/>
    </row>
    <row r="23" spans="1:18">
      <c r="A23" s="287"/>
      <c r="B23" s="288"/>
      <c r="C23" s="288"/>
      <c r="D23" s="288"/>
      <c r="E23" s="288"/>
      <c r="F23" s="289"/>
      <c r="G23" s="287"/>
      <c r="H23" s="288"/>
      <c r="I23" s="288"/>
      <c r="J23" s="288"/>
      <c r="K23" s="288"/>
      <c r="L23" s="289"/>
      <c r="M23" s="287"/>
      <c r="N23" s="288"/>
      <c r="O23" s="288"/>
      <c r="P23" s="288"/>
      <c r="Q23" s="288"/>
      <c r="R23" s="289"/>
    </row>
    <row r="24" spans="1:18">
      <c r="A24" s="287"/>
      <c r="B24" s="288"/>
      <c r="C24" s="288"/>
      <c r="D24" s="288"/>
      <c r="E24" s="288"/>
      <c r="F24" s="289"/>
      <c r="G24" s="287"/>
      <c r="H24" s="288"/>
      <c r="I24" s="288"/>
      <c r="J24" s="288"/>
      <c r="K24" s="288"/>
      <c r="L24" s="289"/>
      <c r="M24" s="287"/>
      <c r="N24" s="288"/>
      <c r="O24" s="288"/>
      <c r="P24" s="288"/>
      <c r="Q24" s="288"/>
      <c r="R24" s="289"/>
    </row>
    <row r="25" spans="1:18">
      <c r="A25" s="287"/>
      <c r="B25" s="288"/>
      <c r="C25" s="288"/>
      <c r="D25" s="288"/>
      <c r="E25" s="288"/>
      <c r="F25" s="289"/>
      <c r="G25" s="287"/>
      <c r="H25" s="288"/>
      <c r="I25" s="288"/>
      <c r="J25" s="288"/>
      <c r="K25" s="288"/>
      <c r="L25" s="289"/>
      <c r="M25" s="287"/>
      <c r="N25" s="288"/>
      <c r="O25" s="288"/>
      <c r="P25" s="288"/>
      <c r="Q25" s="288"/>
      <c r="R25" s="289"/>
    </row>
    <row r="26" spans="1:18">
      <c r="A26" s="287"/>
      <c r="B26" s="288"/>
      <c r="C26" s="288"/>
      <c r="D26" s="288"/>
      <c r="E26" s="288"/>
      <c r="F26" s="289"/>
      <c r="G26" s="287"/>
      <c r="H26" s="288"/>
      <c r="I26" s="288"/>
      <c r="J26" s="288"/>
      <c r="K26" s="288"/>
      <c r="L26" s="289"/>
      <c r="M26" s="287"/>
      <c r="N26" s="288"/>
      <c r="O26" s="288"/>
      <c r="P26" s="288"/>
      <c r="Q26" s="288"/>
      <c r="R26" s="289"/>
    </row>
    <row r="27" spans="1:18">
      <c r="A27" s="287"/>
      <c r="B27" s="288"/>
      <c r="C27" s="288"/>
      <c r="D27" s="288"/>
      <c r="E27" s="288"/>
      <c r="F27" s="289"/>
      <c r="G27" s="287"/>
      <c r="H27" s="288"/>
      <c r="I27" s="288"/>
      <c r="J27" s="288"/>
      <c r="K27" s="288"/>
      <c r="L27" s="289"/>
      <c r="M27" s="287"/>
      <c r="N27" s="288"/>
      <c r="O27" s="288"/>
      <c r="P27" s="288"/>
      <c r="Q27" s="288"/>
      <c r="R27" s="289"/>
    </row>
    <row r="28" spans="1:18">
      <c r="A28" s="287"/>
      <c r="B28" s="288"/>
      <c r="C28" s="288"/>
      <c r="D28" s="288"/>
      <c r="E28" s="288"/>
      <c r="F28" s="289"/>
      <c r="G28" s="287"/>
      <c r="H28" s="288"/>
      <c r="I28" s="288"/>
      <c r="J28" s="288"/>
      <c r="K28" s="288"/>
      <c r="L28" s="289"/>
      <c r="M28" s="287"/>
      <c r="N28" s="288"/>
      <c r="O28" s="288"/>
      <c r="P28" s="288"/>
      <c r="Q28" s="288"/>
      <c r="R28" s="289"/>
    </row>
    <row r="29" spans="1:18">
      <c r="A29" s="287"/>
      <c r="B29" s="288"/>
      <c r="C29" s="288"/>
      <c r="D29" s="288"/>
      <c r="E29" s="288"/>
      <c r="F29" s="289"/>
      <c r="G29" s="287"/>
      <c r="H29" s="288"/>
      <c r="I29" s="288"/>
      <c r="J29" s="288"/>
      <c r="K29" s="288"/>
      <c r="L29" s="289"/>
      <c r="M29" s="287"/>
      <c r="N29" s="288"/>
      <c r="O29" s="288"/>
      <c r="P29" s="288"/>
      <c r="Q29" s="288"/>
      <c r="R29" s="289"/>
    </row>
    <row r="30" spans="1:18">
      <c r="A30" s="287"/>
      <c r="B30" s="288"/>
      <c r="C30" s="288"/>
      <c r="D30" s="288"/>
      <c r="E30" s="288"/>
      <c r="F30" s="289"/>
      <c r="G30" s="287"/>
      <c r="H30" s="288"/>
      <c r="I30" s="288"/>
      <c r="J30" s="288"/>
      <c r="K30" s="288"/>
      <c r="L30" s="289"/>
      <c r="M30" s="287"/>
      <c r="N30" s="288"/>
      <c r="O30" s="288"/>
      <c r="P30" s="288"/>
      <c r="Q30" s="288"/>
      <c r="R30" s="289"/>
    </row>
    <row r="31" spans="1:18" ht="17.25" thickBot="1">
      <c r="A31" s="290"/>
      <c r="B31" s="291"/>
      <c r="C31" s="291"/>
      <c r="D31" s="291"/>
      <c r="E31" s="291"/>
      <c r="F31" s="292"/>
      <c r="G31" s="290"/>
      <c r="H31" s="291"/>
      <c r="I31" s="291"/>
      <c r="J31" s="291"/>
      <c r="K31" s="291"/>
      <c r="L31" s="292"/>
      <c r="M31" s="290"/>
      <c r="N31" s="291"/>
      <c r="O31" s="291"/>
      <c r="P31" s="291"/>
      <c r="Q31" s="291"/>
      <c r="R31" s="292"/>
    </row>
    <row r="32" spans="1:18">
      <c r="A32" s="284"/>
      <c r="B32" s="285"/>
      <c r="C32" s="285"/>
      <c r="D32" s="285"/>
      <c r="E32" s="285"/>
      <c r="F32" s="286"/>
      <c r="G32" s="284"/>
      <c r="H32" s="285"/>
      <c r="I32" s="285"/>
      <c r="J32" s="285"/>
      <c r="K32" s="285"/>
      <c r="L32" s="286"/>
      <c r="M32" s="284"/>
      <c r="N32" s="285"/>
      <c r="O32" s="285"/>
      <c r="P32" s="285"/>
      <c r="Q32" s="285"/>
      <c r="R32" s="286"/>
    </row>
    <row r="33" spans="1:18">
      <c r="A33" s="287"/>
      <c r="B33" s="288"/>
      <c r="C33" s="288"/>
      <c r="D33" s="288"/>
      <c r="E33" s="288"/>
      <c r="F33" s="289"/>
      <c r="G33" s="287"/>
      <c r="H33" s="288"/>
      <c r="I33" s="288"/>
      <c r="J33" s="288"/>
      <c r="K33" s="288"/>
      <c r="L33" s="289"/>
      <c r="M33" s="287"/>
      <c r="N33" s="288"/>
      <c r="O33" s="288"/>
      <c r="P33" s="288"/>
      <c r="Q33" s="288"/>
      <c r="R33" s="289"/>
    </row>
    <row r="34" spans="1:18">
      <c r="A34" s="287"/>
      <c r="B34" s="288"/>
      <c r="C34" s="288"/>
      <c r="D34" s="288"/>
      <c r="E34" s="288"/>
      <c r="F34" s="289"/>
      <c r="G34" s="287"/>
      <c r="H34" s="288"/>
      <c r="I34" s="288"/>
      <c r="J34" s="288"/>
      <c r="K34" s="288"/>
      <c r="L34" s="289"/>
      <c r="M34" s="287"/>
      <c r="N34" s="288"/>
      <c r="O34" s="288"/>
      <c r="P34" s="288"/>
      <c r="Q34" s="288"/>
      <c r="R34" s="289"/>
    </row>
    <row r="35" spans="1:18">
      <c r="A35" s="287"/>
      <c r="B35" s="288"/>
      <c r="C35" s="288"/>
      <c r="D35" s="288"/>
      <c r="E35" s="288"/>
      <c r="F35" s="289"/>
      <c r="G35" s="287"/>
      <c r="H35" s="288"/>
      <c r="I35" s="288"/>
      <c r="J35" s="288"/>
      <c r="K35" s="288"/>
      <c r="L35" s="289"/>
      <c r="M35" s="287"/>
      <c r="N35" s="288"/>
      <c r="O35" s="288"/>
      <c r="P35" s="288"/>
      <c r="Q35" s="288"/>
      <c r="R35" s="289"/>
    </row>
    <row r="36" spans="1:18">
      <c r="A36" s="287"/>
      <c r="B36" s="288"/>
      <c r="C36" s="288"/>
      <c r="D36" s="288"/>
      <c r="E36" s="288"/>
      <c r="F36" s="289"/>
      <c r="G36" s="287"/>
      <c r="H36" s="288"/>
      <c r="I36" s="288"/>
      <c r="J36" s="288"/>
      <c r="K36" s="288"/>
      <c r="L36" s="289"/>
      <c r="M36" s="287"/>
      <c r="N36" s="288"/>
      <c r="O36" s="288"/>
      <c r="P36" s="288"/>
      <c r="Q36" s="288"/>
      <c r="R36" s="289"/>
    </row>
    <row r="37" spans="1:18">
      <c r="A37" s="287"/>
      <c r="B37" s="288"/>
      <c r="C37" s="288"/>
      <c r="D37" s="288"/>
      <c r="E37" s="288"/>
      <c r="F37" s="289"/>
      <c r="G37" s="287"/>
      <c r="H37" s="288"/>
      <c r="I37" s="288"/>
      <c r="J37" s="288"/>
      <c r="K37" s="288"/>
      <c r="L37" s="289"/>
      <c r="M37" s="287"/>
      <c r="N37" s="288"/>
      <c r="O37" s="288"/>
      <c r="P37" s="288"/>
      <c r="Q37" s="288"/>
      <c r="R37" s="289"/>
    </row>
    <row r="38" spans="1:18">
      <c r="A38" s="287"/>
      <c r="B38" s="288"/>
      <c r="C38" s="288"/>
      <c r="D38" s="288"/>
      <c r="E38" s="288"/>
      <c r="F38" s="289"/>
      <c r="G38" s="287"/>
      <c r="H38" s="288"/>
      <c r="I38" s="288"/>
      <c r="J38" s="288"/>
      <c r="K38" s="288"/>
      <c r="L38" s="289"/>
      <c r="M38" s="287"/>
      <c r="N38" s="288"/>
      <c r="O38" s="288"/>
      <c r="P38" s="288"/>
      <c r="Q38" s="288"/>
      <c r="R38" s="289"/>
    </row>
    <row r="39" spans="1:18">
      <c r="A39" s="287"/>
      <c r="B39" s="288"/>
      <c r="C39" s="288"/>
      <c r="D39" s="288"/>
      <c r="E39" s="288"/>
      <c r="F39" s="289"/>
      <c r="G39" s="287"/>
      <c r="H39" s="288"/>
      <c r="I39" s="288"/>
      <c r="J39" s="288"/>
      <c r="K39" s="288"/>
      <c r="L39" s="289"/>
      <c r="M39" s="287"/>
      <c r="N39" s="288"/>
      <c r="O39" s="288"/>
      <c r="P39" s="288"/>
      <c r="Q39" s="288"/>
      <c r="R39" s="289"/>
    </row>
    <row r="40" spans="1:18">
      <c r="A40" s="287"/>
      <c r="B40" s="288"/>
      <c r="C40" s="288"/>
      <c r="D40" s="288"/>
      <c r="E40" s="288"/>
      <c r="F40" s="289"/>
      <c r="G40" s="287"/>
      <c r="H40" s="288"/>
      <c r="I40" s="288"/>
      <c r="J40" s="288"/>
      <c r="K40" s="288"/>
      <c r="L40" s="289"/>
      <c r="M40" s="287"/>
      <c r="N40" s="288"/>
      <c r="O40" s="288"/>
      <c r="P40" s="288"/>
      <c r="Q40" s="288"/>
      <c r="R40" s="289"/>
    </row>
    <row r="41" spans="1:18">
      <c r="A41" s="287"/>
      <c r="B41" s="288"/>
      <c r="C41" s="288"/>
      <c r="D41" s="288"/>
      <c r="E41" s="288"/>
      <c r="F41" s="289"/>
      <c r="G41" s="287"/>
      <c r="H41" s="288"/>
      <c r="I41" s="288"/>
      <c r="J41" s="288"/>
      <c r="K41" s="288"/>
      <c r="L41" s="289"/>
      <c r="M41" s="287"/>
      <c r="N41" s="288"/>
      <c r="O41" s="288"/>
      <c r="P41" s="288"/>
      <c r="Q41" s="288"/>
      <c r="R41" s="289"/>
    </row>
    <row r="42" spans="1:18">
      <c r="A42" s="287"/>
      <c r="B42" s="288"/>
      <c r="C42" s="288"/>
      <c r="D42" s="288"/>
      <c r="E42" s="288"/>
      <c r="F42" s="289"/>
      <c r="G42" s="287"/>
      <c r="H42" s="288"/>
      <c r="I42" s="288"/>
      <c r="J42" s="288"/>
      <c r="K42" s="288"/>
      <c r="L42" s="289"/>
      <c r="M42" s="287"/>
      <c r="N42" s="288"/>
      <c r="O42" s="288"/>
      <c r="P42" s="288"/>
      <c r="Q42" s="288"/>
      <c r="R42" s="289"/>
    </row>
    <row r="43" spans="1:18">
      <c r="A43" s="287"/>
      <c r="B43" s="288"/>
      <c r="C43" s="288"/>
      <c r="D43" s="288"/>
      <c r="E43" s="288"/>
      <c r="F43" s="289"/>
      <c r="G43" s="287"/>
      <c r="H43" s="288"/>
      <c r="I43" s="288"/>
      <c r="J43" s="288"/>
      <c r="K43" s="288"/>
      <c r="L43" s="289"/>
      <c r="M43" s="287"/>
      <c r="N43" s="288"/>
      <c r="O43" s="288"/>
      <c r="P43" s="288"/>
      <c r="Q43" s="288"/>
      <c r="R43" s="289"/>
    </row>
    <row r="44" spans="1:18">
      <c r="A44" s="287"/>
      <c r="B44" s="288"/>
      <c r="C44" s="288"/>
      <c r="D44" s="288"/>
      <c r="E44" s="288"/>
      <c r="F44" s="289"/>
      <c r="G44" s="287"/>
      <c r="H44" s="288"/>
      <c r="I44" s="288"/>
      <c r="J44" s="288"/>
      <c r="K44" s="288"/>
      <c r="L44" s="289"/>
      <c r="M44" s="287"/>
      <c r="N44" s="288"/>
      <c r="O44" s="288"/>
      <c r="P44" s="288"/>
      <c r="Q44" s="288"/>
      <c r="R44" s="289"/>
    </row>
    <row r="45" spans="1:18">
      <c r="A45" s="287"/>
      <c r="B45" s="288"/>
      <c r="C45" s="288"/>
      <c r="D45" s="288"/>
      <c r="E45" s="288"/>
      <c r="F45" s="289"/>
      <c r="G45" s="287"/>
      <c r="H45" s="288"/>
      <c r="I45" s="288"/>
      <c r="J45" s="288"/>
      <c r="K45" s="288"/>
      <c r="L45" s="289"/>
      <c r="M45" s="287"/>
      <c r="N45" s="288"/>
      <c r="O45" s="288"/>
      <c r="P45" s="288"/>
      <c r="Q45" s="288"/>
      <c r="R45" s="289"/>
    </row>
    <row r="46" spans="1:18" ht="17.25" thickBot="1">
      <c r="A46" s="290"/>
      <c r="B46" s="291"/>
      <c r="C46" s="291"/>
      <c r="D46" s="291"/>
      <c r="E46" s="291"/>
      <c r="F46" s="292"/>
      <c r="G46" s="290"/>
      <c r="H46" s="291"/>
      <c r="I46" s="291"/>
      <c r="J46" s="291"/>
      <c r="K46" s="291"/>
      <c r="L46" s="292"/>
      <c r="M46" s="290"/>
      <c r="N46" s="291"/>
      <c r="O46" s="291"/>
      <c r="P46" s="291"/>
      <c r="Q46" s="291"/>
      <c r="R46" s="292"/>
    </row>
    <row r="47" spans="1:18">
      <c r="A47" s="284"/>
      <c r="B47" s="285"/>
      <c r="C47" s="285"/>
      <c r="D47" s="285"/>
      <c r="E47" s="285"/>
      <c r="F47" s="286"/>
      <c r="G47" s="284"/>
      <c r="H47" s="285"/>
      <c r="I47" s="285"/>
      <c r="J47" s="285"/>
      <c r="K47" s="285"/>
      <c r="L47" s="286"/>
      <c r="M47" s="284"/>
      <c r="N47" s="285"/>
      <c r="O47" s="285"/>
      <c r="P47" s="285"/>
      <c r="Q47" s="285"/>
      <c r="R47" s="286"/>
    </row>
    <row r="48" spans="1:18">
      <c r="A48" s="287"/>
      <c r="B48" s="288"/>
      <c r="C48" s="288"/>
      <c r="D48" s="288"/>
      <c r="E48" s="288"/>
      <c r="F48" s="289"/>
      <c r="G48" s="287"/>
      <c r="H48" s="288"/>
      <c r="I48" s="288"/>
      <c r="J48" s="288"/>
      <c r="K48" s="288"/>
      <c r="L48" s="289"/>
      <c r="M48" s="287"/>
      <c r="N48" s="288"/>
      <c r="O48" s="288"/>
      <c r="P48" s="288"/>
      <c r="Q48" s="288"/>
      <c r="R48" s="289"/>
    </row>
    <row r="49" spans="1:18">
      <c r="A49" s="287"/>
      <c r="B49" s="288"/>
      <c r="C49" s="288"/>
      <c r="D49" s="288"/>
      <c r="E49" s="288"/>
      <c r="F49" s="289"/>
      <c r="G49" s="287"/>
      <c r="H49" s="288"/>
      <c r="I49" s="288"/>
      <c r="J49" s="288"/>
      <c r="K49" s="288"/>
      <c r="L49" s="289"/>
      <c r="M49" s="287"/>
      <c r="N49" s="288"/>
      <c r="O49" s="288"/>
      <c r="P49" s="288"/>
      <c r="Q49" s="288"/>
      <c r="R49" s="289"/>
    </row>
    <row r="50" spans="1:18">
      <c r="A50" s="287"/>
      <c r="B50" s="288"/>
      <c r="C50" s="288"/>
      <c r="D50" s="288"/>
      <c r="E50" s="288"/>
      <c r="F50" s="289"/>
      <c r="G50" s="287"/>
      <c r="H50" s="288"/>
      <c r="I50" s="288"/>
      <c r="J50" s="288"/>
      <c r="K50" s="288"/>
      <c r="L50" s="289"/>
      <c r="M50" s="287"/>
      <c r="N50" s="288"/>
      <c r="O50" s="288"/>
      <c r="P50" s="288"/>
      <c r="Q50" s="288"/>
      <c r="R50" s="289"/>
    </row>
    <row r="51" spans="1:18">
      <c r="A51" s="287"/>
      <c r="B51" s="288"/>
      <c r="C51" s="288"/>
      <c r="D51" s="288"/>
      <c r="E51" s="288"/>
      <c r="F51" s="289"/>
      <c r="G51" s="287"/>
      <c r="H51" s="288"/>
      <c r="I51" s="288"/>
      <c r="J51" s="288"/>
      <c r="K51" s="288"/>
      <c r="L51" s="289"/>
      <c r="M51" s="287"/>
      <c r="N51" s="288"/>
      <c r="O51" s="288"/>
      <c r="P51" s="288"/>
      <c r="Q51" s="288"/>
      <c r="R51" s="289"/>
    </row>
    <row r="52" spans="1:18">
      <c r="A52" s="287"/>
      <c r="B52" s="288"/>
      <c r="C52" s="288"/>
      <c r="D52" s="288"/>
      <c r="E52" s="288"/>
      <c r="F52" s="289"/>
      <c r="G52" s="287"/>
      <c r="H52" s="288"/>
      <c r="I52" s="288"/>
      <c r="J52" s="288"/>
      <c r="K52" s="288"/>
      <c r="L52" s="289"/>
      <c r="M52" s="287"/>
      <c r="N52" s="288"/>
      <c r="O52" s="288"/>
      <c r="P52" s="288"/>
      <c r="Q52" s="288"/>
      <c r="R52" s="289"/>
    </row>
    <row r="53" spans="1:18">
      <c r="A53" s="287"/>
      <c r="B53" s="288"/>
      <c r="C53" s="288"/>
      <c r="D53" s="288"/>
      <c r="E53" s="288"/>
      <c r="F53" s="289"/>
      <c r="G53" s="287"/>
      <c r="H53" s="288"/>
      <c r="I53" s="288"/>
      <c r="J53" s="288"/>
      <c r="K53" s="288"/>
      <c r="L53" s="289"/>
      <c r="M53" s="287"/>
      <c r="N53" s="288"/>
      <c r="O53" s="288"/>
      <c r="P53" s="288"/>
      <c r="Q53" s="288"/>
      <c r="R53" s="289"/>
    </row>
    <row r="54" spans="1:18">
      <c r="A54" s="287"/>
      <c r="B54" s="288"/>
      <c r="C54" s="288"/>
      <c r="D54" s="288"/>
      <c r="E54" s="288"/>
      <c r="F54" s="289"/>
      <c r="G54" s="287"/>
      <c r="H54" s="288"/>
      <c r="I54" s="288"/>
      <c r="J54" s="288"/>
      <c r="K54" s="288"/>
      <c r="L54" s="289"/>
      <c r="M54" s="287"/>
      <c r="N54" s="288"/>
      <c r="O54" s="288"/>
      <c r="P54" s="288"/>
      <c r="Q54" s="288"/>
      <c r="R54" s="289"/>
    </row>
    <row r="55" spans="1:18">
      <c r="A55" s="287"/>
      <c r="B55" s="288"/>
      <c r="C55" s="288"/>
      <c r="D55" s="288"/>
      <c r="E55" s="288"/>
      <c r="F55" s="289"/>
      <c r="G55" s="287"/>
      <c r="H55" s="288"/>
      <c r="I55" s="288"/>
      <c r="J55" s="288"/>
      <c r="K55" s="288"/>
      <c r="L55" s="289"/>
      <c r="M55" s="287"/>
      <c r="N55" s="288"/>
      <c r="O55" s="288"/>
      <c r="P55" s="288"/>
      <c r="Q55" s="288"/>
      <c r="R55" s="289"/>
    </row>
    <row r="56" spans="1:18">
      <c r="A56" s="287"/>
      <c r="B56" s="288"/>
      <c r="C56" s="288"/>
      <c r="D56" s="288"/>
      <c r="E56" s="288"/>
      <c r="F56" s="289"/>
      <c r="G56" s="287"/>
      <c r="H56" s="288"/>
      <c r="I56" s="288"/>
      <c r="J56" s="288"/>
      <c r="K56" s="288"/>
      <c r="L56" s="289"/>
      <c r="M56" s="287"/>
      <c r="N56" s="288"/>
      <c r="O56" s="288"/>
      <c r="P56" s="288"/>
      <c r="Q56" s="288"/>
      <c r="R56" s="289"/>
    </row>
    <row r="57" spans="1:18">
      <c r="A57" s="287"/>
      <c r="B57" s="288"/>
      <c r="C57" s="288"/>
      <c r="D57" s="288"/>
      <c r="E57" s="288"/>
      <c r="F57" s="289"/>
      <c r="G57" s="287"/>
      <c r="H57" s="288"/>
      <c r="I57" s="288"/>
      <c r="J57" s="288"/>
      <c r="K57" s="288"/>
      <c r="L57" s="289"/>
      <c r="M57" s="287"/>
      <c r="N57" s="288"/>
      <c r="O57" s="288"/>
      <c r="P57" s="288"/>
      <c r="Q57" s="288"/>
      <c r="R57" s="289"/>
    </row>
    <row r="58" spans="1:18">
      <c r="A58" s="287"/>
      <c r="B58" s="288"/>
      <c r="C58" s="288"/>
      <c r="D58" s="288"/>
      <c r="E58" s="288"/>
      <c r="F58" s="289"/>
      <c r="G58" s="287"/>
      <c r="H58" s="288"/>
      <c r="I58" s="288"/>
      <c r="J58" s="288"/>
      <c r="K58" s="288"/>
      <c r="L58" s="289"/>
      <c r="M58" s="287"/>
      <c r="N58" s="288"/>
      <c r="O58" s="288"/>
      <c r="P58" s="288"/>
      <c r="Q58" s="288"/>
      <c r="R58" s="289"/>
    </row>
    <row r="59" spans="1:18">
      <c r="A59" s="287"/>
      <c r="B59" s="288"/>
      <c r="C59" s="288"/>
      <c r="D59" s="288"/>
      <c r="E59" s="288"/>
      <c r="F59" s="289"/>
      <c r="G59" s="287"/>
      <c r="H59" s="288"/>
      <c r="I59" s="288"/>
      <c r="J59" s="288"/>
      <c r="K59" s="288"/>
      <c r="L59" s="289"/>
      <c r="M59" s="287"/>
      <c r="N59" s="288"/>
      <c r="O59" s="288"/>
      <c r="P59" s="288"/>
      <c r="Q59" s="288"/>
      <c r="R59" s="289"/>
    </row>
    <row r="60" spans="1:18">
      <c r="A60" s="287"/>
      <c r="B60" s="288"/>
      <c r="C60" s="288"/>
      <c r="D60" s="288"/>
      <c r="E60" s="288"/>
      <c r="F60" s="289"/>
      <c r="G60" s="287"/>
      <c r="H60" s="288"/>
      <c r="I60" s="288"/>
      <c r="J60" s="288"/>
      <c r="K60" s="288"/>
      <c r="L60" s="289"/>
      <c r="M60" s="287"/>
      <c r="N60" s="288"/>
      <c r="O60" s="288"/>
      <c r="P60" s="288"/>
      <c r="Q60" s="288"/>
      <c r="R60" s="289"/>
    </row>
    <row r="61" spans="1:18" ht="17.25" thickBot="1">
      <c r="A61" s="290"/>
      <c r="B61" s="291"/>
      <c r="C61" s="291"/>
      <c r="D61" s="291"/>
      <c r="E61" s="291"/>
      <c r="F61" s="292"/>
      <c r="G61" s="290"/>
      <c r="H61" s="291"/>
      <c r="I61" s="291"/>
      <c r="J61" s="291"/>
      <c r="K61" s="291"/>
      <c r="L61" s="292"/>
      <c r="M61" s="290"/>
      <c r="N61" s="291"/>
      <c r="O61" s="291"/>
      <c r="P61" s="291"/>
      <c r="Q61" s="291"/>
      <c r="R61" s="292"/>
    </row>
    <row r="62" spans="1:18">
      <c r="A62" s="284"/>
      <c r="B62" s="285"/>
      <c r="C62" s="285"/>
      <c r="D62" s="285"/>
      <c r="E62" s="285"/>
      <c r="F62" s="286"/>
      <c r="G62" s="284"/>
      <c r="H62" s="285"/>
      <c r="I62" s="285"/>
      <c r="J62" s="285"/>
      <c r="K62" s="285"/>
      <c r="L62" s="286"/>
      <c r="M62" s="284"/>
      <c r="N62" s="285"/>
      <c r="O62" s="285"/>
      <c r="P62" s="285"/>
      <c r="Q62" s="285"/>
      <c r="R62" s="286"/>
    </row>
    <row r="63" spans="1:18">
      <c r="A63" s="287"/>
      <c r="B63" s="288"/>
      <c r="C63" s="288"/>
      <c r="D63" s="288"/>
      <c r="E63" s="288"/>
      <c r="F63" s="289"/>
      <c r="G63" s="287"/>
      <c r="H63" s="288"/>
      <c r="I63" s="288"/>
      <c r="J63" s="288"/>
      <c r="K63" s="288"/>
      <c r="L63" s="289"/>
      <c r="M63" s="287"/>
      <c r="N63" s="288"/>
      <c r="O63" s="288"/>
      <c r="P63" s="288"/>
      <c r="Q63" s="288"/>
      <c r="R63" s="289"/>
    </row>
    <row r="64" spans="1:18">
      <c r="A64" s="287"/>
      <c r="B64" s="288"/>
      <c r="C64" s="288"/>
      <c r="D64" s="288"/>
      <c r="E64" s="288"/>
      <c r="F64" s="289"/>
      <c r="G64" s="287"/>
      <c r="H64" s="288"/>
      <c r="I64" s="288"/>
      <c r="J64" s="288"/>
      <c r="K64" s="288"/>
      <c r="L64" s="289"/>
      <c r="M64" s="287"/>
      <c r="N64" s="288"/>
      <c r="O64" s="288"/>
      <c r="P64" s="288"/>
      <c r="Q64" s="288"/>
      <c r="R64" s="289"/>
    </row>
    <row r="65" spans="1:18">
      <c r="A65" s="287"/>
      <c r="B65" s="288"/>
      <c r="C65" s="288"/>
      <c r="D65" s="288"/>
      <c r="E65" s="288"/>
      <c r="F65" s="289"/>
      <c r="G65" s="287"/>
      <c r="H65" s="288"/>
      <c r="I65" s="288"/>
      <c r="J65" s="288"/>
      <c r="K65" s="288"/>
      <c r="L65" s="289"/>
      <c r="M65" s="287"/>
      <c r="N65" s="288"/>
      <c r="O65" s="288"/>
      <c r="P65" s="288"/>
      <c r="Q65" s="288"/>
      <c r="R65" s="289"/>
    </row>
    <row r="66" spans="1:18">
      <c r="A66" s="287"/>
      <c r="B66" s="288"/>
      <c r="C66" s="288"/>
      <c r="D66" s="288"/>
      <c r="E66" s="288"/>
      <c r="F66" s="289"/>
      <c r="G66" s="287"/>
      <c r="H66" s="288"/>
      <c r="I66" s="288"/>
      <c r="J66" s="288"/>
      <c r="K66" s="288"/>
      <c r="L66" s="289"/>
      <c r="M66" s="287"/>
      <c r="N66" s="288"/>
      <c r="O66" s="288"/>
      <c r="P66" s="288"/>
      <c r="Q66" s="288"/>
      <c r="R66" s="289"/>
    </row>
    <row r="67" spans="1:18">
      <c r="A67" s="287"/>
      <c r="B67" s="288"/>
      <c r="C67" s="288"/>
      <c r="D67" s="288"/>
      <c r="E67" s="288"/>
      <c r="F67" s="289"/>
      <c r="G67" s="287"/>
      <c r="H67" s="288"/>
      <c r="I67" s="288"/>
      <c r="J67" s="288"/>
      <c r="K67" s="288"/>
      <c r="L67" s="289"/>
      <c r="M67" s="287"/>
      <c r="N67" s="288"/>
      <c r="O67" s="288"/>
      <c r="P67" s="288"/>
      <c r="Q67" s="288"/>
      <c r="R67" s="289"/>
    </row>
    <row r="68" spans="1:18">
      <c r="A68" s="287"/>
      <c r="B68" s="288"/>
      <c r="C68" s="288"/>
      <c r="D68" s="288"/>
      <c r="E68" s="288"/>
      <c r="F68" s="289"/>
      <c r="G68" s="287"/>
      <c r="H68" s="288"/>
      <c r="I68" s="288"/>
      <c r="J68" s="288"/>
      <c r="K68" s="288"/>
      <c r="L68" s="289"/>
      <c r="M68" s="287"/>
      <c r="N68" s="288"/>
      <c r="O68" s="288"/>
      <c r="P68" s="288"/>
      <c r="Q68" s="288"/>
      <c r="R68" s="289"/>
    </row>
    <row r="69" spans="1:18">
      <c r="A69" s="287"/>
      <c r="B69" s="288"/>
      <c r="C69" s="288"/>
      <c r="D69" s="288"/>
      <c r="E69" s="288"/>
      <c r="F69" s="289"/>
      <c r="G69" s="287"/>
      <c r="H69" s="288"/>
      <c r="I69" s="288"/>
      <c r="J69" s="288"/>
      <c r="K69" s="288"/>
      <c r="L69" s="289"/>
      <c r="M69" s="287"/>
      <c r="N69" s="288"/>
      <c r="O69" s="288"/>
      <c r="P69" s="288"/>
      <c r="Q69" s="288"/>
      <c r="R69" s="289"/>
    </row>
    <row r="70" spans="1:18">
      <c r="A70" s="287"/>
      <c r="B70" s="288"/>
      <c r="C70" s="288"/>
      <c r="D70" s="288"/>
      <c r="E70" s="288"/>
      <c r="F70" s="289"/>
      <c r="G70" s="287"/>
      <c r="H70" s="288"/>
      <c r="I70" s="288"/>
      <c r="J70" s="288"/>
      <c r="K70" s="288"/>
      <c r="L70" s="289"/>
      <c r="M70" s="287"/>
      <c r="N70" s="288"/>
      <c r="O70" s="288"/>
      <c r="P70" s="288"/>
      <c r="Q70" s="288"/>
      <c r="R70" s="289"/>
    </row>
    <row r="71" spans="1:18">
      <c r="A71" s="287"/>
      <c r="B71" s="288"/>
      <c r="C71" s="288"/>
      <c r="D71" s="288"/>
      <c r="E71" s="288"/>
      <c r="F71" s="289"/>
      <c r="G71" s="287"/>
      <c r="H71" s="288"/>
      <c r="I71" s="288"/>
      <c r="J71" s="288"/>
      <c r="K71" s="288"/>
      <c r="L71" s="289"/>
      <c r="M71" s="287"/>
      <c r="N71" s="288"/>
      <c r="O71" s="288"/>
      <c r="P71" s="288"/>
      <c r="Q71" s="288"/>
      <c r="R71" s="289"/>
    </row>
    <row r="72" spans="1:18">
      <c r="A72" s="287"/>
      <c r="B72" s="288"/>
      <c r="C72" s="288"/>
      <c r="D72" s="288"/>
      <c r="E72" s="288"/>
      <c r="F72" s="289"/>
      <c r="G72" s="287"/>
      <c r="H72" s="288"/>
      <c r="I72" s="288"/>
      <c r="J72" s="288"/>
      <c r="K72" s="288"/>
      <c r="L72" s="289"/>
      <c r="M72" s="287"/>
      <c r="N72" s="288"/>
      <c r="O72" s="288"/>
      <c r="P72" s="288"/>
      <c r="Q72" s="288"/>
      <c r="R72" s="289"/>
    </row>
    <row r="73" spans="1:18">
      <c r="A73" s="287"/>
      <c r="B73" s="288"/>
      <c r="C73" s="288"/>
      <c r="D73" s="288"/>
      <c r="E73" s="288"/>
      <c r="F73" s="289"/>
      <c r="G73" s="287"/>
      <c r="H73" s="288"/>
      <c r="I73" s="288"/>
      <c r="J73" s="288"/>
      <c r="K73" s="288"/>
      <c r="L73" s="289"/>
      <c r="M73" s="287"/>
      <c r="N73" s="288"/>
      <c r="O73" s="288"/>
      <c r="P73" s="288"/>
      <c r="Q73" s="288"/>
      <c r="R73" s="289"/>
    </row>
    <row r="74" spans="1:18">
      <c r="A74" s="287"/>
      <c r="B74" s="288"/>
      <c r="C74" s="288"/>
      <c r="D74" s="288"/>
      <c r="E74" s="288"/>
      <c r="F74" s="289"/>
      <c r="G74" s="287"/>
      <c r="H74" s="288"/>
      <c r="I74" s="288"/>
      <c r="J74" s="288"/>
      <c r="K74" s="288"/>
      <c r="L74" s="289"/>
      <c r="M74" s="287"/>
      <c r="N74" s="288"/>
      <c r="O74" s="288"/>
      <c r="P74" s="288"/>
      <c r="Q74" s="288"/>
      <c r="R74" s="289"/>
    </row>
    <row r="75" spans="1:18">
      <c r="A75" s="287"/>
      <c r="B75" s="288"/>
      <c r="C75" s="288"/>
      <c r="D75" s="288"/>
      <c r="E75" s="288"/>
      <c r="F75" s="289"/>
      <c r="G75" s="287"/>
      <c r="H75" s="288"/>
      <c r="I75" s="288"/>
      <c r="J75" s="288"/>
      <c r="K75" s="288"/>
      <c r="L75" s="289"/>
      <c r="M75" s="287"/>
      <c r="N75" s="288"/>
      <c r="O75" s="288"/>
      <c r="P75" s="288"/>
      <c r="Q75" s="288"/>
      <c r="R75" s="289"/>
    </row>
    <row r="76" spans="1:18" ht="17.25" thickBot="1">
      <c r="A76" s="290"/>
      <c r="B76" s="291"/>
      <c r="C76" s="291"/>
      <c r="D76" s="291"/>
      <c r="E76" s="291"/>
      <c r="F76" s="292"/>
      <c r="G76" s="290"/>
      <c r="H76" s="291"/>
      <c r="I76" s="291"/>
      <c r="J76" s="291"/>
      <c r="K76" s="291"/>
      <c r="L76" s="292"/>
      <c r="M76" s="290"/>
      <c r="N76" s="291"/>
      <c r="O76" s="291"/>
      <c r="P76" s="291"/>
      <c r="Q76" s="291"/>
      <c r="R76" s="292"/>
    </row>
    <row r="77" spans="1:18">
      <c r="A77" s="284"/>
      <c r="B77" s="285"/>
      <c r="C77" s="285"/>
      <c r="D77" s="285"/>
      <c r="E77" s="285"/>
      <c r="F77" s="286"/>
      <c r="G77" s="284"/>
      <c r="H77" s="285"/>
      <c r="I77" s="285"/>
      <c r="J77" s="285"/>
      <c r="K77" s="285"/>
      <c r="L77" s="286"/>
      <c r="M77" s="284"/>
      <c r="N77" s="285"/>
      <c r="O77" s="285"/>
      <c r="P77" s="285"/>
      <c r="Q77" s="285"/>
      <c r="R77" s="286"/>
    </row>
    <row r="78" spans="1:18">
      <c r="A78" s="287"/>
      <c r="B78" s="288"/>
      <c r="C78" s="288"/>
      <c r="D78" s="288"/>
      <c r="E78" s="288"/>
      <c r="F78" s="289"/>
      <c r="G78" s="287"/>
      <c r="H78" s="288"/>
      <c r="I78" s="288"/>
      <c r="J78" s="288"/>
      <c r="K78" s="288"/>
      <c r="L78" s="289"/>
      <c r="M78" s="287"/>
      <c r="N78" s="288"/>
      <c r="O78" s="288"/>
      <c r="P78" s="288"/>
      <c r="Q78" s="288"/>
      <c r="R78" s="289"/>
    </row>
    <row r="79" spans="1:18">
      <c r="A79" s="287"/>
      <c r="B79" s="288"/>
      <c r="C79" s="288"/>
      <c r="D79" s="288"/>
      <c r="E79" s="288"/>
      <c r="F79" s="289"/>
      <c r="G79" s="287"/>
      <c r="H79" s="288"/>
      <c r="I79" s="288"/>
      <c r="J79" s="288"/>
      <c r="K79" s="288"/>
      <c r="L79" s="289"/>
      <c r="M79" s="287"/>
      <c r="N79" s="288"/>
      <c r="O79" s="288"/>
      <c r="P79" s="288"/>
      <c r="Q79" s="288"/>
      <c r="R79" s="289"/>
    </row>
    <row r="80" spans="1:18">
      <c r="A80" s="287"/>
      <c r="B80" s="288"/>
      <c r="C80" s="288"/>
      <c r="D80" s="288"/>
      <c r="E80" s="288"/>
      <c r="F80" s="289"/>
      <c r="G80" s="287"/>
      <c r="H80" s="288"/>
      <c r="I80" s="288"/>
      <c r="J80" s="288"/>
      <c r="K80" s="288"/>
      <c r="L80" s="289"/>
      <c r="M80" s="287"/>
      <c r="N80" s="288"/>
      <c r="O80" s="288"/>
      <c r="P80" s="288"/>
      <c r="Q80" s="288"/>
      <c r="R80" s="289"/>
    </row>
    <row r="81" spans="1:18">
      <c r="A81" s="287"/>
      <c r="B81" s="288"/>
      <c r="C81" s="288"/>
      <c r="D81" s="288"/>
      <c r="E81" s="288"/>
      <c r="F81" s="289"/>
      <c r="G81" s="287"/>
      <c r="H81" s="288"/>
      <c r="I81" s="288"/>
      <c r="J81" s="288"/>
      <c r="K81" s="288"/>
      <c r="L81" s="289"/>
      <c r="M81" s="287"/>
      <c r="N81" s="288"/>
      <c r="O81" s="288"/>
      <c r="P81" s="288"/>
      <c r="Q81" s="288"/>
      <c r="R81" s="289"/>
    </row>
    <row r="82" spans="1:18">
      <c r="A82" s="287"/>
      <c r="B82" s="288"/>
      <c r="C82" s="288"/>
      <c r="D82" s="288"/>
      <c r="E82" s="288"/>
      <c r="F82" s="289"/>
      <c r="G82" s="287"/>
      <c r="H82" s="288"/>
      <c r="I82" s="288"/>
      <c r="J82" s="288"/>
      <c r="K82" s="288"/>
      <c r="L82" s="289"/>
      <c r="M82" s="287"/>
      <c r="N82" s="288"/>
      <c r="O82" s="288"/>
      <c r="P82" s="288"/>
      <c r="Q82" s="288"/>
      <c r="R82" s="289"/>
    </row>
    <row r="83" spans="1:18">
      <c r="A83" s="287"/>
      <c r="B83" s="288"/>
      <c r="C83" s="288"/>
      <c r="D83" s="288"/>
      <c r="E83" s="288"/>
      <c r="F83" s="289"/>
      <c r="G83" s="287"/>
      <c r="H83" s="288"/>
      <c r="I83" s="288"/>
      <c r="J83" s="288"/>
      <c r="K83" s="288"/>
      <c r="L83" s="289"/>
      <c r="M83" s="287"/>
      <c r="N83" s="288"/>
      <c r="O83" s="288"/>
      <c r="P83" s="288"/>
      <c r="Q83" s="288"/>
      <c r="R83" s="289"/>
    </row>
    <row r="84" spans="1:18">
      <c r="A84" s="287"/>
      <c r="B84" s="288"/>
      <c r="C84" s="288"/>
      <c r="D84" s="288"/>
      <c r="E84" s="288"/>
      <c r="F84" s="289"/>
      <c r="G84" s="287"/>
      <c r="H84" s="288"/>
      <c r="I84" s="288"/>
      <c r="J84" s="288"/>
      <c r="K84" s="288"/>
      <c r="L84" s="289"/>
      <c r="M84" s="287"/>
      <c r="N84" s="288"/>
      <c r="O84" s="288"/>
      <c r="P84" s="288"/>
      <c r="Q84" s="288"/>
      <c r="R84" s="289"/>
    </row>
    <row r="85" spans="1:18">
      <c r="A85" s="287"/>
      <c r="B85" s="288"/>
      <c r="C85" s="288"/>
      <c r="D85" s="288"/>
      <c r="E85" s="288"/>
      <c r="F85" s="289"/>
      <c r="G85" s="287"/>
      <c r="H85" s="288"/>
      <c r="I85" s="288"/>
      <c r="J85" s="288"/>
      <c r="K85" s="288"/>
      <c r="L85" s="289"/>
      <c r="M85" s="287"/>
      <c r="N85" s="288"/>
      <c r="O85" s="288"/>
      <c r="P85" s="288"/>
      <c r="Q85" s="288"/>
      <c r="R85" s="289"/>
    </row>
    <row r="86" spans="1:18">
      <c r="A86" s="287"/>
      <c r="B86" s="288"/>
      <c r="C86" s="288"/>
      <c r="D86" s="288"/>
      <c r="E86" s="288"/>
      <c r="F86" s="289"/>
      <c r="G86" s="287"/>
      <c r="H86" s="288"/>
      <c r="I86" s="288"/>
      <c r="J86" s="288"/>
      <c r="K86" s="288"/>
      <c r="L86" s="289"/>
      <c r="M86" s="287"/>
      <c r="N86" s="288"/>
      <c r="O86" s="288"/>
      <c r="P86" s="288"/>
      <c r="Q86" s="288"/>
      <c r="R86" s="289"/>
    </row>
    <row r="87" spans="1:18">
      <c r="A87" s="287"/>
      <c r="B87" s="288"/>
      <c r="C87" s="288"/>
      <c r="D87" s="288"/>
      <c r="E87" s="288"/>
      <c r="F87" s="289"/>
      <c r="G87" s="287"/>
      <c r="H87" s="288"/>
      <c r="I87" s="288"/>
      <c r="J87" s="288"/>
      <c r="K87" s="288"/>
      <c r="L87" s="289"/>
      <c r="M87" s="287"/>
      <c r="N87" s="288"/>
      <c r="O87" s="288"/>
      <c r="P87" s="288"/>
      <c r="Q87" s="288"/>
      <c r="R87" s="289"/>
    </row>
    <row r="88" spans="1:18">
      <c r="A88" s="287"/>
      <c r="B88" s="288"/>
      <c r="C88" s="288"/>
      <c r="D88" s="288"/>
      <c r="E88" s="288"/>
      <c r="F88" s="289"/>
      <c r="G88" s="287"/>
      <c r="H88" s="288"/>
      <c r="I88" s="288"/>
      <c r="J88" s="288"/>
      <c r="K88" s="288"/>
      <c r="L88" s="289"/>
      <c r="M88" s="287"/>
      <c r="N88" s="288"/>
      <c r="O88" s="288"/>
      <c r="P88" s="288"/>
      <c r="Q88" s="288"/>
      <c r="R88" s="289"/>
    </row>
    <row r="89" spans="1:18">
      <c r="A89" s="287"/>
      <c r="B89" s="288"/>
      <c r="C89" s="288"/>
      <c r="D89" s="288"/>
      <c r="E89" s="288"/>
      <c r="F89" s="289"/>
      <c r="G89" s="287"/>
      <c r="H89" s="288"/>
      <c r="I89" s="288"/>
      <c r="J89" s="288"/>
      <c r="K89" s="288"/>
      <c r="L89" s="289"/>
      <c r="M89" s="287"/>
      <c r="N89" s="288"/>
      <c r="O89" s="288"/>
      <c r="P89" s="288"/>
      <c r="Q89" s="288"/>
      <c r="R89" s="289"/>
    </row>
    <row r="90" spans="1:18">
      <c r="A90" s="287"/>
      <c r="B90" s="288"/>
      <c r="C90" s="288"/>
      <c r="D90" s="288"/>
      <c r="E90" s="288"/>
      <c r="F90" s="289"/>
      <c r="G90" s="287"/>
      <c r="H90" s="288"/>
      <c r="I90" s="288"/>
      <c r="J90" s="288"/>
      <c r="K90" s="288"/>
      <c r="L90" s="289"/>
      <c r="M90" s="287"/>
      <c r="N90" s="288"/>
      <c r="O90" s="288"/>
      <c r="P90" s="288"/>
      <c r="Q90" s="288"/>
      <c r="R90" s="289"/>
    </row>
    <row r="91" spans="1:18" ht="17.25" thickBot="1">
      <c r="A91" s="290"/>
      <c r="B91" s="291"/>
      <c r="C91" s="291"/>
      <c r="D91" s="291"/>
      <c r="E91" s="291"/>
      <c r="F91" s="292"/>
      <c r="G91" s="290"/>
      <c r="H91" s="291"/>
      <c r="I91" s="291"/>
      <c r="J91" s="291"/>
      <c r="K91" s="291"/>
      <c r="L91" s="292"/>
      <c r="M91" s="290"/>
      <c r="N91" s="291"/>
      <c r="O91" s="291"/>
      <c r="P91" s="291"/>
      <c r="Q91" s="291"/>
      <c r="R91" s="292"/>
    </row>
    <row r="92" spans="1:18">
      <c r="A92" s="284"/>
      <c r="B92" s="285"/>
      <c r="C92" s="285"/>
      <c r="D92" s="285"/>
      <c r="E92" s="285"/>
      <c r="F92" s="286"/>
      <c r="G92" s="284"/>
      <c r="H92" s="285"/>
      <c r="I92" s="285"/>
      <c r="J92" s="285"/>
      <c r="K92" s="285"/>
      <c r="L92" s="286"/>
      <c r="M92" s="284"/>
      <c r="N92" s="285"/>
      <c r="O92" s="285"/>
      <c r="P92" s="285"/>
      <c r="Q92" s="285"/>
      <c r="R92" s="286"/>
    </row>
    <row r="93" spans="1:18">
      <c r="A93" s="287"/>
      <c r="B93" s="288"/>
      <c r="C93" s="288"/>
      <c r="D93" s="288"/>
      <c r="E93" s="288"/>
      <c r="F93" s="289"/>
      <c r="G93" s="287"/>
      <c r="H93" s="288"/>
      <c r="I93" s="288"/>
      <c r="J93" s="288"/>
      <c r="K93" s="288"/>
      <c r="L93" s="289"/>
      <c r="M93" s="287"/>
      <c r="N93" s="288"/>
      <c r="O93" s="288"/>
      <c r="P93" s="288"/>
      <c r="Q93" s="288"/>
      <c r="R93" s="289"/>
    </row>
    <row r="94" spans="1:18">
      <c r="A94" s="287"/>
      <c r="B94" s="288"/>
      <c r="C94" s="288"/>
      <c r="D94" s="288"/>
      <c r="E94" s="288"/>
      <c r="F94" s="289"/>
      <c r="G94" s="287"/>
      <c r="H94" s="288"/>
      <c r="I94" s="288"/>
      <c r="J94" s="288"/>
      <c r="K94" s="288"/>
      <c r="L94" s="289"/>
      <c r="M94" s="287"/>
      <c r="N94" s="288"/>
      <c r="O94" s="288"/>
      <c r="P94" s="288"/>
      <c r="Q94" s="288"/>
      <c r="R94" s="289"/>
    </row>
    <row r="95" spans="1:18">
      <c r="A95" s="287"/>
      <c r="B95" s="288"/>
      <c r="C95" s="288"/>
      <c r="D95" s="288"/>
      <c r="E95" s="288"/>
      <c r="F95" s="289"/>
      <c r="G95" s="287"/>
      <c r="H95" s="288"/>
      <c r="I95" s="288"/>
      <c r="J95" s="288"/>
      <c r="K95" s="288"/>
      <c r="L95" s="289"/>
      <c r="M95" s="287"/>
      <c r="N95" s="288"/>
      <c r="O95" s="288"/>
      <c r="P95" s="288"/>
      <c r="Q95" s="288"/>
      <c r="R95" s="289"/>
    </row>
    <row r="96" spans="1:18">
      <c r="A96" s="287"/>
      <c r="B96" s="288"/>
      <c r="C96" s="288"/>
      <c r="D96" s="288"/>
      <c r="E96" s="288"/>
      <c r="F96" s="289"/>
      <c r="G96" s="287"/>
      <c r="H96" s="288"/>
      <c r="I96" s="288"/>
      <c r="J96" s="288"/>
      <c r="K96" s="288"/>
      <c r="L96" s="289"/>
      <c r="M96" s="287"/>
      <c r="N96" s="288"/>
      <c r="O96" s="288"/>
      <c r="P96" s="288"/>
      <c r="Q96" s="288"/>
      <c r="R96" s="289"/>
    </row>
    <row r="97" spans="1:18">
      <c r="A97" s="287"/>
      <c r="B97" s="288"/>
      <c r="C97" s="288"/>
      <c r="D97" s="288"/>
      <c r="E97" s="288"/>
      <c r="F97" s="289"/>
      <c r="G97" s="287"/>
      <c r="H97" s="288"/>
      <c r="I97" s="288"/>
      <c r="J97" s="288"/>
      <c r="K97" s="288"/>
      <c r="L97" s="289"/>
      <c r="M97" s="287"/>
      <c r="N97" s="288"/>
      <c r="O97" s="288"/>
      <c r="P97" s="288"/>
      <c r="Q97" s="288"/>
      <c r="R97" s="289"/>
    </row>
    <row r="98" spans="1:18">
      <c r="A98" s="287"/>
      <c r="B98" s="288"/>
      <c r="C98" s="288"/>
      <c r="D98" s="288"/>
      <c r="E98" s="288"/>
      <c r="F98" s="289"/>
      <c r="G98" s="287"/>
      <c r="H98" s="288"/>
      <c r="I98" s="288"/>
      <c r="J98" s="288"/>
      <c r="K98" s="288"/>
      <c r="L98" s="289"/>
      <c r="M98" s="287"/>
      <c r="N98" s="288"/>
      <c r="O98" s="288"/>
      <c r="P98" s="288"/>
      <c r="Q98" s="288"/>
      <c r="R98" s="289"/>
    </row>
    <row r="99" spans="1:18">
      <c r="A99" s="287"/>
      <c r="B99" s="288"/>
      <c r="C99" s="288"/>
      <c r="D99" s="288"/>
      <c r="E99" s="288"/>
      <c r="F99" s="289"/>
      <c r="G99" s="287"/>
      <c r="H99" s="288"/>
      <c r="I99" s="288"/>
      <c r="J99" s="288"/>
      <c r="K99" s="288"/>
      <c r="L99" s="289"/>
      <c r="M99" s="287"/>
      <c r="N99" s="288"/>
      <c r="O99" s="288"/>
      <c r="P99" s="288"/>
      <c r="Q99" s="288"/>
      <c r="R99" s="289"/>
    </row>
    <row r="100" spans="1:18">
      <c r="A100" s="287"/>
      <c r="B100" s="288"/>
      <c r="C100" s="288"/>
      <c r="D100" s="288"/>
      <c r="E100" s="288"/>
      <c r="F100" s="289"/>
      <c r="G100" s="287"/>
      <c r="H100" s="288"/>
      <c r="I100" s="288"/>
      <c r="J100" s="288"/>
      <c r="K100" s="288"/>
      <c r="L100" s="289"/>
      <c r="M100" s="287"/>
      <c r="N100" s="288"/>
      <c r="O100" s="288"/>
      <c r="P100" s="288"/>
      <c r="Q100" s="288"/>
      <c r="R100" s="289"/>
    </row>
    <row r="101" spans="1:18">
      <c r="A101" s="287"/>
      <c r="B101" s="288"/>
      <c r="C101" s="288"/>
      <c r="D101" s="288"/>
      <c r="E101" s="288"/>
      <c r="F101" s="289"/>
      <c r="G101" s="287"/>
      <c r="H101" s="288"/>
      <c r="I101" s="288"/>
      <c r="J101" s="288"/>
      <c r="K101" s="288"/>
      <c r="L101" s="289"/>
      <c r="M101" s="287"/>
      <c r="N101" s="288"/>
      <c r="O101" s="288"/>
      <c r="P101" s="288"/>
      <c r="Q101" s="288"/>
      <c r="R101" s="289"/>
    </row>
    <row r="102" spans="1:18">
      <c r="A102" s="287"/>
      <c r="B102" s="288"/>
      <c r="C102" s="288"/>
      <c r="D102" s="288"/>
      <c r="E102" s="288"/>
      <c r="F102" s="289"/>
      <c r="G102" s="287"/>
      <c r="H102" s="288"/>
      <c r="I102" s="288"/>
      <c r="J102" s="288"/>
      <c r="K102" s="288"/>
      <c r="L102" s="289"/>
      <c r="M102" s="287"/>
      <c r="N102" s="288"/>
      <c r="O102" s="288"/>
      <c r="P102" s="288"/>
      <c r="Q102" s="288"/>
      <c r="R102" s="289"/>
    </row>
    <row r="103" spans="1:18">
      <c r="A103" s="287"/>
      <c r="B103" s="288"/>
      <c r="C103" s="288"/>
      <c r="D103" s="288"/>
      <c r="E103" s="288"/>
      <c r="F103" s="289"/>
      <c r="G103" s="287"/>
      <c r="H103" s="288"/>
      <c r="I103" s="288"/>
      <c r="J103" s="288"/>
      <c r="K103" s="288"/>
      <c r="L103" s="289"/>
      <c r="M103" s="287"/>
      <c r="N103" s="288"/>
      <c r="O103" s="288"/>
      <c r="P103" s="288"/>
      <c r="Q103" s="288"/>
      <c r="R103" s="289"/>
    </row>
    <row r="104" spans="1:18">
      <c r="A104" s="287"/>
      <c r="B104" s="288"/>
      <c r="C104" s="288"/>
      <c r="D104" s="288"/>
      <c r="E104" s="288"/>
      <c r="F104" s="289"/>
      <c r="G104" s="287"/>
      <c r="H104" s="288"/>
      <c r="I104" s="288"/>
      <c r="J104" s="288"/>
      <c r="K104" s="288"/>
      <c r="L104" s="289"/>
      <c r="M104" s="287"/>
      <c r="N104" s="288"/>
      <c r="O104" s="288"/>
      <c r="P104" s="288"/>
      <c r="Q104" s="288"/>
      <c r="R104" s="289"/>
    </row>
    <row r="105" spans="1:18">
      <c r="A105" s="287"/>
      <c r="B105" s="288"/>
      <c r="C105" s="288"/>
      <c r="D105" s="288"/>
      <c r="E105" s="288"/>
      <c r="F105" s="289"/>
      <c r="G105" s="287"/>
      <c r="H105" s="288"/>
      <c r="I105" s="288"/>
      <c r="J105" s="288"/>
      <c r="K105" s="288"/>
      <c r="L105" s="289"/>
      <c r="M105" s="287"/>
      <c r="N105" s="288"/>
      <c r="O105" s="288"/>
      <c r="P105" s="288"/>
      <c r="Q105" s="288"/>
      <c r="R105" s="289"/>
    </row>
    <row r="106" spans="1:18" ht="17.25" thickBot="1">
      <c r="A106" s="290"/>
      <c r="B106" s="291"/>
      <c r="C106" s="291"/>
      <c r="D106" s="291"/>
      <c r="E106" s="291"/>
      <c r="F106" s="292"/>
      <c r="G106" s="290"/>
      <c r="H106" s="291"/>
      <c r="I106" s="291"/>
      <c r="J106" s="291"/>
      <c r="K106" s="291"/>
      <c r="L106" s="292"/>
      <c r="M106" s="290"/>
      <c r="N106" s="291"/>
      <c r="O106" s="291"/>
      <c r="P106" s="291"/>
      <c r="Q106" s="291"/>
      <c r="R106" s="292"/>
    </row>
    <row r="107" spans="1:18">
      <c r="A107" s="284"/>
      <c r="B107" s="285"/>
      <c r="C107" s="285"/>
      <c r="D107" s="285"/>
      <c r="E107" s="285"/>
      <c r="F107" s="286"/>
      <c r="G107" s="284"/>
      <c r="H107" s="285"/>
      <c r="I107" s="285"/>
      <c r="J107" s="285"/>
      <c r="K107" s="285"/>
      <c r="L107" s="286"/>
      <c r="M107" s="284"/>
      <c r="N107" s="285"/>
      <c r="O107" s="285"/>
      <c r="P107" s="285"/>
      <c r="Q107" s="285"/>
      <c r="R107" s="286"/>
    </row>
    <row r="108" spans="1:18">
      <c r="A108" s="287"/>
      <c r="B108" s="288"/>
      <c r="C108" s="288"/>
      <c r="D108" s="288"/>
      <c r="E108" s="288"/>
      <c r="F108" s="289"/>
      <c r="G108" s="287"/>
      <c r="H108" s="288"/>
      <c r="I108" s="288"/>
      <c r="J108" s="288"/>
      <c r="K108" s="288"/>
      <c r="L108" s="289"/>
      <c r="M108" s="287"/>
      <c r="N108" s="288"/>
      <c r="O108" s="288"/>
      <c r="P108" s="288"/>
      <c r="Q108" s="288"/>
      <c r="R108" s="289"/>
    </row>
    <row r="109" spans="1:18">
      <c r="A109" s="287"/>
      <c r="B109" s="288"/>
      <c r="C109" s="288"/>
      <c r="D109" s="288"/>
      <c r="E109" s="288"/>
      <c r="F109" s="289"/>
      <c r="G109" s="287"/>
      <c r="H109" s="288"/>
      <c r="I109" s="288"/>
      <c r="J109" s="288"/>
      <c r="K109" s="288"/>
      <c r="L109" s="289"/>
      <c r="M109" s="287"/>
      <c r="N109" s="288"/>
      <c r="O109" s="288"/>
      <c r="P109" s="288"/>
      <c r="Q109" s="288"/>
      <c r="R109" s="289"/>
    </row>
    <row r="110" spans="1:18">
      <c r="A110" s="287"/>
      <c r="B110" s="288"/>
      <c r="C110" s="288"/>
      <c r="D110" s="288"/>
      <c r="E110" s="288"/>
      <c r="F110" s="289"/>
      <c r="G110" s="287"/>
      <c r="H110" s="288"/>
      <c r="I110" s="288"/>
      <c r="J110" s="288"/>
      <c r="K110" s="288"/>
      <c r="L110" s="289"/>
      <c r="M110" s="287"/>
      <c r="N110" s="288"/>
      <c r="O110" s="288"/>
      <c r="P110" s="288"/>
      <c r="Q110" s="288"/>
      <c r="R110" s="289"/>
    </row>
    <row r="111" spans="1:18">
      <c r="A111" s="287"/>
      <c r="B111" s="288"/>
      <c r="C111" s="288"/>
      <c r="D111" s="288"/>
      <c r="E111" s="288"/>
      <c r="F111" s="289"/>
      <c r="G111" s="287"/>
      <c r="H111" s="288"/>
      <c r="I111" s="288"/>
      <c r="J111" s="288"/>
      <c r="K111" s="288"/>
      <c r="L111" s="289"/>
      <c r="M111" s="287"/>
      <c r="N111" s="288"/>
      <c r="O111" s="288"/>
      <c r="P111" s="288"/>
      <c r="Q111" s="288"/>
      <c r="R111" s="289"/>
    </row>
    <row r="112" spans="1:18">
      <c r="A112" s="287"/>
      <c r="B112" s="288"/>
      <c r="C112" s="288"/>
      <c r="D112" s="288"/>
      <c r="E112" s="288"/>
      <c r="F112" s="289"/>
      <c r="G112" s="287"/>
      <c r="H112" s="288"/>
      <c r="I112" s="288"/>
      <c r="J112" s="288"/>
      <c r="K112" s="288"/>
      <c r="L112" s="289"/>
      <c r="M112" s="287"/>
      <c r="N112" s="288"/>
      <c r="O112" s="288"/>
      <c r="P112" s="288"/>
      <c r="Q112" s="288"/>
      <c r="R112" s="289"/>
    </row>
    <row r="113" spans="1:18">
      <c r="A113" s="287"/>
      <c r="B113" s="288"/>
      <c r="C113" s="288"/>
      <c r="D113" s="288"/>
      <c r="E113" s="288"/>
      <c r="F113" s="289"/>
      <c r="G113" s="287"/>
      <c r="H113" s="288"/>
      <c r="I113" s="288"/>
      <c r="J113" s="288"/>
      <c r="K113" s="288"/>
      <c r="L113" s="289"/>
      <c r="M113" s="287"/>
      <c r="N113" s="288"/>
      <c r="O113" s="288"/>
      <c r="P113" s="288"/>
      <c r="Q113" s="288"/>
      <c r="R113" s="289"/>
    </row>
    <row r="114" spans="1:18">
      <c r="A114" s="287"/>
      <c r="B114" s="288"/>
      <c r="C114" s="288"/>
      <c r="D114" s="288"/>
      <c r="E114" s="288"/>
      <c r="F114" s="289"/>
      <c r="G114" s="287"/>
      <c r="H114" s="288"/>
      <c r="I114" s="288"/>
      <c r="J114" s="288"/>
      <c r="K114" s="288"/>
      <c r="L114" s="289"/>
      <c r="M114" s="287"/>
      <c r="N114" s="288"/>
      <c r="O114" s="288"/>
      <c r="P114" s="288"/>
      <c r="Q114" s="288"/>
      <c r="R114" s="289"/>
    </row>
    <row r="115" spans="1:18">
      <c r="A115" s="287"/>
      <c r="B115" s="288"/>
      <c r="C115" s="288"/>
      <c r="D115" s="288"/>
      <c r="E115" s="288"/>
      <c r="F115" s="289"/>
      <c r="G115" s="287"/>
      <c r="H115" s="288"/>
      <c r="I115" s="288"/>
      <c r="J115" s="288"/>
      <c r="K115" s="288"/>
      <c r="L115" s="289"/>
      <c r="M115" s="287"/>
      <c r="N115" s="288"/>
      <c r="O115" s="288"/>
      <c r="P115" s="288"/>
      <c r="Q115" s="288"/>
      <c r="R115" s="289"/>
    </row>
    <row r="116" spans="1:18">
      <c r="A116" s="287"/>
      <c r="B116" s="288"/>
      <c r="C116" s="288"/>
      <c r="D116" s="288"/>
      <c r="E116" s="288"/>
      <c r="F116" s="289"/>
      <c r="G116" s="287"/>
      <c r="H116" s="288"/>
      <c r="I116" s="288"/>
      <c r="J116" s="288"/>
      <c r="K116" s="288"/>
      <c r="L116" s="289"/>
      <c r="M116" s="287"/>
      <c r="N116" s="288"/>
      <c r="O116" s="288"/>
      <c r="P116" s="288"/>
      <c r="Q116" s="288"/>
      <c r="R116" s="289"/>
    </row>
    <row r="117" spans="1:18">
      <c r="A117" s="287"/>
      <c r="B117" s="288"/>
      <c r="C117" s="288"/>
      <c r="D117" s="288"/>
      <c r="E117" s="288"/>
      <c r="F117" s="289"/>
      <c r="G117" s="287"/>
      <c r="H117" s="288"/>
      <c r="I117" s="288"/>
      <c r="J117" s="288"/>
      <c r="K117" s="288"/>
      <c r="L117" s="289"/>
      <c r="M117" s="287"/>
      <c r="N117" s="288"/>
      <c r="O117" s="288"/>
      <c r="P117" s="288"/>
      <c r="Q117" s="288"/>
      <c r="R117" s="289"/>
    </row>
    <row r="118" spans="1:18">
      <c r="A118" s="287"/>
      <c r="B118" s="288"/>
      <c r="C118" s="288"/>
      <c r="D118" s="288"/>
      <c r="E118" s="288"/>
      <c r="F118" s="289"/>
      <c r="G118" s="287"/>
      <c r="H118" s="288"/>
      <c r="I118" s="288"/>
      <c r="J118" s="288"/>
      <c r="K118" s="288"/>
      <c r="L118" s="289"/>
      <c r="M118" s="287"/>
      <c r="N118" s="288"/>
      <c r="O118" s="288"/>
      <c r="P118" s="288"/>
      <c r="Q118" s="288"/>
      <c r="R118" s="289"/>
    </row>
    <row r="119" spans="1:18">
      <c r="A119" s="287"/>
      <c r="B119" s="288"/>
      <c r="C119" s="288"/>
      <c r="D119" s="288"/>
      <c r="E119" s="288"/>
      <c r="F119" s="289"/>
      <c r="G119" s="287"/>
      <c r="H119" s="288"/>
      <c r="I119" s="288"/>
      <c r="J119" s="288"/>
      <c r="K119" s="288"/>
      <c r="L119" s="289"/>
      <c r="M119" s="287"/>
      <c r="N119" s="288"/>
      <c r="O119" s="288"/>
      <c r="P119" s="288"/>
      <c r="Q119" s="288"/>
      <c r="R119" s="289"/>
    </row>
    <row r="120" spans="1:18">
      <c r="A120" s="287"/>
      <c r="B120" s="288"/>
      <c r="C120" s="288"/>
      <c r="D120" s="288"/>
      <c r="E120" s="288"/>
      <c r="F120" s="289"/>
      <c r="G120" s="287"/>
      <c r="H120" s="288"/>
      <c r="I120" s="288"/>
      <c r="J120" s="288"/>
      <c r="K120" s="288"/>
      <c r="L120" s="289"/>
      <c r="M120" s="287"/>
      <c r="N120" s="288"/>
      <c r="O120" s="288"/>
      <c r="P120" s="288"/>
      <c r="Q120" s="288"/>
      <c r="R120" s="289"/>
    </row>
    <row r="121" spans="1:18" ht="17.25" thickBot="1">
      <c r="A121" s="290"/>
      <c r="B121" s="291"/>
      <c r="C121" s="291"/>
      <c r="D121" s="291"/>
      <c r="E121" s="291"/>
      <c r="F121" s="292"/>
      <c r="G121" s="290"/>
      <c r="H121" s="291"/>
      <c r="I121" s="291"/>
      <c r="J121" s="291"/>
      <c r="K121" s="291"/>
      <c r="L121" s="292"/>
      <c r="M121" s="290"/>
      <c r="N121" s="291"/>
      <c r="O121" s="291"/>
      <c r="P121" s="291"/>
      <c r="Q121" s="291"/>
      <c r="R121" s="292"/>
    </row>
    <row r="122" spans="1:18" ht="48" customHeight="1" thickBot="1">
      <c r="A122" s="302" t="s">
        <v>184</v>
      </c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4"/>
    </row>
    <row r="123" spans="1:18">
      <c r="A123" s="284"/>
      <c r="B123" s="285"/>
      <c r="C123" s="285"/>
      <c r="D123" s="285"/>
      <c r="E123" s="285"/>
      <c r="F123" s="286"/>
      <c r="G123" s="284"/>
      <c r="H123" s="285"/>
      <c r="I123" s="285"/>
      <c r="J123" s="285"/>
      <c r="K123" s="285"/>
      <c r="L123" s="286"/>
      <c r="M123" s="284"/>
      <c r="N123" s="285"/>
      <c r="O123" s="285"/>
      <c r="P123" s="285"/>
      <c r="Q123" s="285"/>
      <c r="R123" s="286"/>
    </row>
    <row r="124" spans="1:18">
      <c r="A124" s="287"/>
      <c r="B124" s="288"/>
      <c r="C124" s="288"/>
      <c r="D124" s="288"/>
      <c r="E124" s="288"/>
      <c r="F124" s="289"/>
      <c r="G124" s="287"/>
      <c r="H124" s="288"/>
      <c r="I124" s="288"/>
      <c r="J124" s="288"/>
      <c r="K124" s="288"/>
      <c r="L124" s="289"/>
      <c r="M124" s="287"/>
      <c r="N124" s="288"/>
      <c r="O124" s="288"/>
      <c r="P124" s="288"/>
      <c r="Q124" s="288"/>
      <c r="R124" s="289"/>
    </row>
    <row r="125" spans="1:18">
      <c r="A125" s="287"/>
      <c r="B125" s="288"/>
      <c r="C125" s="288"/>
      <c r="D125" s="288"/>
      <c r="E125" s="288"/>
      <c r="F125" s="289"/>
      <c r="G125" s="287"/>
      <c r="H125" s="288"/>
      <c r="I125" s="288"/>
      <c r="J125" s="288"/>
      <c r="K125" s="288"/>
      <c r="L125" s="289"/>
      <c r="M125" s="287"/>
      <c r="N125" s="288"/>
      <c r="O125" s="288"/>
      <c r="P125" s="288"/>
      <c r="Q125" s="288"/>
      <c r="R125" s="289"/>
    </row>
    <row r="126" spans="1:18">
      <c r="A126" s="287"/>
      <c r="B126" s="288"/>
      <c r="C126" s="288"/>
      <c r="D126" s="288"/>
      <c r="E126" s="288"/>
      <c r="F126" s="289"/>
      <c r="G126" s="287"/>
      <c r="H126" s="288"/>
      <c r="I126" s="288"/>
      <c r="J126" s="288"/>
      <c r="K126" s="288"/>
      <c r="L126" s="289"/>
      <c r="M126" s="287"/>
      <c r="N126" s="288"/>
      <c r="O126" s="288"/>
      <c r="P126" s="288"/>
      <c r="Q126" s="288"/>
      <c r="R126" s="289"/>
    </row>
    <row r="127" spans="1:18">
      <c r="A127" s="287"/>
      <c r="B127" s="288"/>
      <c r="C127" s="288"/>
      <c r="D127" s="288"/>
      <c r="E127" s="288"/>
      <c r="F127" s="289"/>
      <c r="G127" s="287"/>
      <c r="H127" s="288"/>
      <c r="I127" s="288"/>
      <c r="J127" s="288"/>
      <c r="K127" s="288"/>
      <c r="L127" s="289"/>
      <c r="M127" s="287"/>
      <c r="N127" s="288"/>
      <c r="O127" s="288"/>
      <c r="P127" s="288"/>
      <c r="Q127" s="288"/>
      <c r="R127" s="289"/>
    </row>
    <row r="128" spans="1:18">
      <c r="A128" s="287"/>
      <c r="B128" s="288"/>
      <c r="C128" s="288"/>
      <c r="D128" s="288"/>
      <c r="E128" s="288"/>
      <c r="F128" s="289"/>
      <c r="G128" s="287"/>
      <c r="H128" s="288"/>
      <c r="I128" s="288"/>
      <c r="J128" s="288"/>
      <c r="K128" s="288"/>
      <c r="L128" s="289"/>
      <c r="M128" s="287"/>
      <c r="N128" s="288"/>
      <c r="O128" s="288"/>
      <c r="P128" s="288"/>
      <c r="Q128" s="288"/>
      <c r="R128" s="289"/>
    </row>
    <row r="129" spans="1:18">
      <c r="A129" s="287"/>
      <c r="B129" s="288"/>
      <c r="C129" s="288"/>
      <c r="D129" s="288"/>
      <c r="E129" s="288"/>
      <c r="F129" s="289"/>
      <c r="G129" s="287"/>
      <c r="H129" s="288"/>
      <c r="I129" s="288"/>
      <c r="J129" s="288"/>
      <c r="K129" s="288"/>
      <c r="L129" s="289"/>
      <c r="M129" s="287"/>
      <c r="N129" s="288"/>
      <c r="O129" s="288"/>
      <c r="P129" s="288"/>
      <c r="Q129" s="288"/>
      <c r="R129" s="289"/>
    </row>
    <row r="130" spans="1:18">
      <c r="A130" s="287"/>
      <c r="B130" s="288"/>
      <c r="C130" s="288"/>
      <c r="D130" s="288"/>
      <c r="E130" s="288"/>
      <c r="F130" s="289"/>
      <c r="G130" s="287"/>
      <c r="H130" s="288"/>
      <c r="I130" s="288"/>
      <c r="J130" s="288"/>
      <c r="K130" s="288"/>
      <c r="L130" s="289"/>
      <c r="M130" s="287"/>
      <c r="N130" s="288"/>
      <c r="O130" s="288"/>
      <c r="P130" s="288"/>
      <c r="Q130" s="288"/>
      <c r="R130" s="289"/>
    </row>
    <row r="131" spans="1:18">
      <c r="A131" s="287"/>
      <c r="B131" s="288"/>
      <c r="C131" s="288"/>
      <c r="D131" s="288"/>
      <c r="E131" s="288"/>
      <c r="F131" s="289"/>
      <c r="G131" s="287"/>
      <c r="H131" s="288"/>
      <c r="I131" s="288"/>
      <c r="J131" s="288"/>
      <c r="K131" s="288"/>
      <c r="L131" s="289"/>
      <c r="M131" s="287"/>
      <c r="N131" s="288"/>
      <c r="O131" s="288"/>
      <c r="P131" s="288"/>
      <c r="Q131" s="288"/>
      <c r="R131" s="289"/>
    </row>
    <row r="132" spans="1:18">
      <c r="A132" s="287"/>
      <c r="B132" s="288"/>
      <c r="C132" s="288"/>
      <c r="D132" s="288"/>
      <c r="E132" s="288"/>
      <c r="F132" s="289"/>
      <c r="G132" s="287"/>
      <c r="H132" s="288"/>
      <c r="I132" s="288"/>
      <c r="J132" s="288"/>
      <c r="K132" s="288"/>
      <c r="L132" s="289"/>
      <c r="M132" s="287"/>
      <c r="N132" s="288"/>
      <c r="O132" s="288"/>
      <c r="P132" s="288"/>
      <c r="Q132" s="288"/>
      <c r="R132" s="289"/>
    </row>
    <row r="133" spans="1:18">
      <c r="A133" s="287"/>
      <c r="B133" s="288"/>
      <c r="C133" s="288"/>
      <c r="D133" s="288"/>
      <c r="E133" s="288"/>
      <c r="F133" s="289"/>
      <c r="G133" s="287"/>
      <c r="H133" s="288"/>
      <c r="I133" s="288"/>
      <c r="J133" s="288"/>
      <c r="K133" s="288"/>
      <c r="L133" s="289"/>
      <c r="M133" s="287"/>
      <c r="N133" s="288"/>
      <c r="O133" s="288"/>
      <c r="P133" s="288"/>
      <c r="Q133" s="288"/>
      <c r="R133" s="289"/>
    </row>
    <row r="134" spans="1:18">
      <c r="A134" s="287"/>
      <c r="B134" s="288"/>
      <c r="C134" s="288"/>
      <c r="D134" s="288"/>
      <c r="E134" s="288"/>
      <c r="F134" s="289"/>
      <c r="G134" s="287"/>
      <c r="H134" s="288"/>
      <c r="I134" s="288"/>
      <c r="J134" s="288"/>
      <c r="K134" s="288"/>
      <c r="L134" s="289"/>
      <c r="M134" s="287"/>
      <c r="N134" s="288"/>
      <c r="O134" s="288"/>
      <c r="P134" s="288"/>
      <c r="Q134" s="288"/>
      <c r="R134" s="289"/>
    </row>
    <row r="135" spans="1:18">
      <c r="A135" s="287"/>
      <c r="B135" s="288"/>
      <c r="C135" s="288"/>
      <c r="D135" s="288"/>
      <c r="E135" s="288"/>
      <c r="F135" s="289"/>
      <c r="G135" s="287"/>
      <c r="H135" s="288"/>
      <c r="I135" s="288"/>
      <c r="J135" s="288"/>
      <c r="K135" s="288"/>
      <c r="L135" s="289"/>
      <c r="M135" s="287"/>
      <c r="N135" s="288"/>
      <c r="O135" s="288"/>
      <c r="P135" s="288"/>
      <c r="Q135" s="288"/>
      <c r="R135" s="289"/>
    </row>
    <row r="136" spans="1:18">
      <c r="A136" s="287"/>
      <c r="B136" s="288"/>
      <c r="C136" s="288"/>
      <c r="D136" s="288"/>
      <c r="E136" s="288"/>
      <c r="F136" s="289"/>
      <c r="G136" s="287"/>
      <c r="H136" s="288"/>
      <c r="I136" s="288"/>
      <c r="J136" s="288"/>
      <c r="K136" s="288"/>
      <c r="L136" s="289"/>
      <c r="M136" s="287"/>
      <c r="N136" s="288"/>
      <c r="O136" s="288"/>
      <c r="P136" s="288"/>
      <c r="Q136" s="288"/>
      <c r="R136" s="289"/>
    </row>
    <row r="137" spans="1:18" ht="17.25" thickBot="1">
      <c r="A137" s="290"/>
      <c r="B137" s="291"/>
      <c r="C137" s="291"/>
      <c r="D137" s="291"/>
      <c r="E137" s="291"/>
      <c r="F137" s="292"/>
      <c r="G137" s="290"/>
      <c r="H137" s="291"/>
      <c r="I137" s="291"/>
      <c r="J137" s="291"/>
      <c r="K137" s="291"/>
      <c r="L137" s="292"/>
      <c r="M137" s="290"/>
      <c r="N137" s="291"/>
      <c r="O137" s="291"/>
      <c r="P137" s="291"/>
      <c r="Q137" s="291"/>
      <c r="R137" s="292"/>
    </row>
    <row r="138" spans="1:18">
      <c r="A138" s="284"/>
      <c r="B138" s="285"/>
      <c r="C138" s="285"/>
      <c r="D138" s="285"/>
      <c r="E138" s="285"/>
      <c r="F138" s="286"/>
      <c r="G138" s="284"/>
      <c r="H138" s="285"/>
      <c r="I138" s="285"/>
      <c r="J138" s="285"/>
      <c r="K138" s="285"/>
      <c r="L138" s="286"/>
      <c r="M138" s="284"/>
      <c r="N138" s="285"/>
      <c r="O138" s="285"/>
      <c r="P138" s="285"/>
      <c r="Q138" s="285"/>
      <c r="R138" s="286"/>
    </row>
    <row r="139" spans="1:18">
      <c r="A139" s="287"/>
      <c r="B139" s="288"/>
      <c r="C139" s="288"/>
      <c r="D139" s="288"/>
      <c r="E139" s="288"/>
      <c r="F139" s="289"/>
      <c r="G139" s="287"/>
      <c r="H139" s="288"/>
      <c r="I139" s="288"/>
      <c r="J139" s="288"/>
      <c r="K139" s="288"/>
      <c r="L139" s="289"/>
      <c r="M139" s="287"/>
      <c r="N139" s="288"/>
      <c r="O139" s="288"/>
      <c r="P139" s="288"/>
      <c r="Q139" s="288"/>
      <c r="R139" s="289"/>
    </row>
    <row r="140" spans="1:18">
      <c r="A140" s="287"/>
      <c r="B140" s="288"/>
      <c r="C140" s="288"/>
      <c r="D140" s="288"/>
      <c r="E140" s="288"/>
      <c r="F140" s="289"/>
      <c r="G140" s="287"/>
      <c r="H140" s="288"/>
      <c r="I140" s="288"/>
      <c r="J140" s="288"/>
      <c r="K140" s="288"/>
      <c r="L140" s="289"/>
      <c r="M140" s="287"/>
      <c r="N140" s="288"/>
      <c r="O140" s="288"/>
      <c r="P140" s="288"/>
      <c r="Q140" s="288"/>
      <c r="R140" s="289"/>
    </row>
    <row r="141" spans="1:18">
      <c r="A141" s="287"/>
      <c r="B141" s="288"/>
      <c r="C141" s="288"/>
      <c r="D141" s="288"/>
      <c r="E141" s="288"/>
      <c r="F141" s="289"/>
      <c r="G141" s="287"/>
      <c r="H141" s="288"/>
      <c r="I141" s="288"/>
      <c r="J141" s="288"/>
      <c r="K141" s="288"/>
      <c r="L141" s="289"/>
      <c r="M141" s="287"/>
      <c r="N141" s="288"/>
      <c r="O141" s="288"/>
      <c r="P141" s="288"/>
      <c r="Q141" s="288"/>
      <c r="R141" s="289"/>
    </row>
    <row r="142" spans="1:18">
      <c r="A142" s="287"/>
      <c r="B142" s="288"/>
      <c r="C142" s="288"/>
      <c r="D142" s="288"/>
      <c r="E142" s="288"/>
      <c r="F142" s="289"/>
      <c r="G142" s="287"/>
      <c r="H142" s="288"/>
      <c r="I142" s="288"/>
      <c r="J142" s="288"/>
      <c r="K142" s="288"/>
      <c r="L142" s="289"/>
      <c r="M142" s="287"/>
      <c r="N142" s="288"/>
      <c r="O142" s="288"/>
      <c r="P142" s="288"/>
      <c r="Q142" s="288"/>
      <c r="R142" s="289"/>
    </row>
    <row r="143" spans="1:18">
      <c r="A143" s="287"/>
      <c r="B143" s="288"/>
      <c r="C143" s="288"/>
      <c r="D143" s="288"/>
      <c r="E143" s="288"/>
      <c r="F143" s="289"/>
      <c r="G143" s="287"/>
      <c r="H143" s="288"/>
      <c r="I143" s="288"/>
      <c r="J143" s="288"/>
      <c r="K143" s="288"/>
      <c r="L143" s="289"/>
      <c r="M143" s="287"/>
      <c r="N143" s="288"/>
      <c r="O143" s="288"/>
      <c r="P143" s="288"/>
      <c r="Q143" s="288"/>
      <c r="R143" s="289"/>
    </row>
    <row r="144" spans="1:18">
      <c r="A144" s="287"/>
      <c r="B144" s="288"/>
      <c r="C144" s="288"/>
      <c r="D144" s="288"/>
      <c r="E144" s="288"/>
      <c r="F144" s="289"/>
      <c r="G144" s="287"/>
      <c r="H144" s="288"/>
      <c r="I144" s="288"/>
      <c r="J144" s="288"/>
      <c r="K144" s="288"/>
      <c r="L144" s="289"/>
      <c r="M144" s="287"/>
      <c r="N144" s="288"/>
      <c r="O144" s="288"/>
      <c r="P144" s="288"/>
      <c r="Q144" s="288"/>
      <c r="R144" s="289"/>
    </row>
    <row r="145" spans="1:18">
      <c r="A145" s="287"/>
      <c r="B145" s="288"/>
      <c r="C145" s="288"/>
      <c r="D145" s="288"/>
      <c r="E145" s="288"/>
      <c r="F145" s="289"/>
      <c r="G145" s="287"/>
      <c r="H145" s="288"/>
      <c r="I145" s="288"/>
      <c r="J145" s="288"/>
      <c r="K145" s="288"/>
      <c r="L145" s="289"/>
      <c r="M145" s="287"/>
      <c r="N145" s="288"/>
      <c r="O145" s="288"/>
      <c r="P145" s="288"/>
      <c r="Q145" s="288"/>
      <c r="R145" s="289"/>
    </row>
    <row r="146" spans="1:18">
      <c r="A146" s="287"/>
      <c r="B146" s="288"/>
      <c r="C146" s="288"/>
      <c r="D146" s="288"/>
      <c r="E146" s="288"/>
      <c r="F146" s="289"/>
      <c r="G146" s="287"/>
      <c r="H146" s="288"/>
      <c r="I146" s="288"/>
      <c r="J146" s="288"/>
      <c r="K146" s="288"/>
      <c r="L146" s="289"/>
      <c r="M146" s="287"/>
      <c r="N146" s="288"/>
      <c r="O146" s="288"/>
      <c r="P146" s="288"/>
      <c r="Q146" s="288"/>
      <c r="R146" s="289"/>
    </row>
    <row r="147" spans="1:18">
      <c r="A147" s="287"/>
      <c r="B147" s="288"/>
      <c r="C147" s="288"/>
      <c r="D147" s="288"/>
      <c r="E147" s="288"/>
      <c r="F147" s="289"/>
      <c r="G147" s="287"/>
      <c r="H147" s="288"/>
      <c r="I147" s="288"/>
      <c r="J147" s="288"/>
      <c r="K147" s="288"/>
      <c r="L147" s="289"/>
      <c r="M147" s="287"/>
      <c r="N147" s="288"/>
      <c r="O147" s="288"/>
      <c r="P147" s="288"/>
      <c r="Q147" s="288"/>
      <c r="R147" s="289"/>
    </row>
    <row r="148" spans="1:18">
      <c r="A148" s="287"/>
      <c r="B148" s="288"/>
      <c r="C148" s="288"/>
      <c r="D148" s="288"/>
      <c r="E148" s="288"/>
      <c r="F148" s="289"/>
      <c r="G148" s="287"/>
      <c r="H148" s="288"/>
      <c r="I148" s="288"/>
      <c r="J148" s="288"/>
      <c r="K148" s="288"/>
      <c r="L148" s="289"/>
      <c r="M148" s="287"/>
      <c r="N148" s="288"/>
      <c r="O148" s="288"/>
      <c r="P148" s="288"/>
      <c r="Q148" s="288"/>
      <c r="R148" s="289"/>
    </row>
    <row r="149" spans="1:18">
      <c r="A149" s="287"/>
      <c r="B149" s="288"/>
      <c r="C149" s="288"/>
      <c r="D149" s="288"/>
      <c r="E149" s="288"/>
      <c r="F149" s="289"/>
      <c r="G149" s="287"/>
      <c r="H149" s="288"/>
      <c r="I149" s="288"/>
      <c r="J149" s="288"/>
      <c r="K149" s="288"/>
      <c r="L149" s="289"/>
      <c r="M149" s="287"/>
      <c r="N149" s="288"/>
      <c r="O149" s="288"/>
      <c r="P149" s="288"/>
      <c r="Q149" s="288"/>
      <c r="R149" s="289"/>
    </row>
    <row r="150" spans="1:18">
      <c r="A150" s="287"/>
      <c r="B150" s="288"/>
      <c r="C150" s="288"/>
      <c r="D150" s="288"/>
      <c r="E150" s="288"/>
      <c r="F150" s="289"/>
      <c r="G150" s="287"/>
      <c r="H150" s="288"/>
      <c r="I150" s="288"/>
      <c r="J150" s="288"/>
      <c r="K150" s="288"/>
      <c r="L150" s="289"/>
      <c r="M150" s="287"/>
      <c r="N150" s="288"/>
      <c r="O150" s="288"/>
      <c r="P150" s="288"/>
      <c r="Q150" s="288"/>
      <c r="R150" s="289"/>
    </row>
    <row r="151" spans="1:18">
      <c r="A151" s="287"/>
      <c r="B151" s="288"/>
      <c r="C151" s="288"/>
      <c r="D151" s="288"/>
      <c r="E151" s="288"/>
      <c r="F151" s="289"/>
      <c r="G151" s="287"/>
      <c r="H151" s="288"/>
      <c r="I151" s="288"/>
      <c r="J151" s="288"/>
      <c r="K151" s="288"/>
      <c r="L151" s="289"/>
      <c r="M151" s="287"/>
      <c r="N151" s="288"/>
      <c r="O151" s="288"/>
      <c r="P151" s="288"/>
      <c r="Q151" s="288"/>
      <c r="R151" s="289"/>
    </row>
    <row r="152" spans="1:18" ht="17.25" thickBot="1">
      <c r="A152" s="290"/>
      <c r="B152" s="291"/>
      <c r="C152" s="291"/>
      <c r="D152" s="291"/>
      <c r="E152" s="291"/>
      <c r="F152" s="292"/>
      <c r="G152" s="290"/>
      <c r="H152" s="291"/>
      <c r="I152" s="291"/>
      <c r="J152" s="291"/>
      <c r="K152" s="291"/>
      <c r="L152" s="292"/>
      <c r="M152" s="290"/>
      <c r="N152" s="291"/>
      <c r="O152" s="291"/>
      <c r="P152" s="291"/>
      <c r="Q152" s="291"/>
      <c r="R152" s="292"/>
    </row>
  </sheetData>
  <mergeCells count="32">
    <mergeCell ref="A138:F152"/>
    <mergeCell ref="G138:L152"/>
    <mergeCell ref="M138:R152"/>
    <mergeCell ref="A123:F137"/>
    <mergeCell ref="G123:L137"/>
    <mergeCell ref="M123:R137"/>
    <mergeCell ref="A122:R122"/>
    <mergeCell ref="A92:F106"/>
    <mergeCell ref="G92:L106"/>
    <mergeCell ref="M92:R106"/>
    <mergeCell ref="A107:F121"/>
    <mergeCell ref="G107:L121"/>
    <mergeCell ref="M107:R121"/>
    <mergeCell ref="A62:F76"/>
    <mergeCell ref="G62:L76"/>
    <mergeCell ref="M62:R76"/>
    <mergeCell ref="A77:F91"/>
    <mergeCell ref="G77:L91"/>
    <mergeCell ref="M77:R91"/>
    <mergeCell ref="A32:F46"/>
    <mergeCell ref="G32:L46"/>
    <mergeCell ref="M32:R46"/>
    <mergeCell ref="A47:F61"/>
    <mergeCell ref="G47:L61"/>
    <mergeCell ref="M47:R61"/>
    <mergeCell ref="A1:R1"/>
    <mergeCell ref="A2:F16"/>
    <mergeCell ref="G2:L16"/>
    <mergeCell ref="M2:R16"/>
    <mergeCell ref="A17:F31"/>
    <mergeCell ref="G17:L31"/>
    <mergeCell ref="M17:R31"/>
  </mergeCells>
  <pageMargins left="0.7" right="0.7" top="0.75" bottom="0.75" header="0.3" footer="0.3"/>
  <pageSetup scale="2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N17"/>
  <sheetViews>
    <sheetView showGridLines="0" topLeftCell="A10" zoomScale="115" zoomScaleNormal="115" zoomScaleSheetLayoutView="115" workbookViewId="0">
      <selection activeCell="I33" sqref="I33"/>
    </sheetView>
  </sheetViews>
  <sheetFormatPr baseColWidth="10" defaultRowHeight="16.5"/>
  <cols>
    <col min="1" max="1" width="14.85546875" style="68" customWidth="1"/>
    <col min="2" max="3" width="7.5703125" style="68" bestFit="1" customWidth="1"/>
    <col min="4" max="4" width="9.42578125" style="68" bestFit="1" customWidth="1"/>
    <col min="5" max="6" width="7.5703125" style="68" bestFit="1" customWidth="1"/>
    <col min="7" max="7" width="9.28515625" style="68" customWidth="1"/>
    <col min="8" max="9" width="7.5703125" style="68" bestFit="1" customWidth="1"/>
    <col min="10" max="10" width="14.28515625" style="68" customWidth="1"/>
    <col min="11" max="11" width="18.5703125" style="68" customWidth="1"/>
    <col min="12" max="12" width="11.42578125" style="68"/>
    <col min="13" max="13" width="16.85546875" style="68" customWidth="1"/>
    <col min="14" max="14" width="12" style="68" bestFit="1" customWidth="1"/>
    <col min="15" max="16384" width="11.42578125" style="68"/>
  </cols>
  <sheetData>
    <row r="1" spans="1:14" ht="42.75" customHeight="1">
      <c r="A1" s="241"/>
      <c r="B1" s="242"/>
      <c r="C1" s="324"/>
      <c r="D1" s="313" t="s">
        <v>220</v>
      </c>
      <c r="E1" s="314"/>
      <c r="F1" s="314"/>
      <c r="G1" s="314"/>
      <c r="H1" s="314"/>
      <c r="I1" s="314"/>
      <c r="J1" s="314"/>
      <c r="K1" s="315"/>
      <c r="L1" s="309" t="s">
        <v>240</v>
      </c>
      <c r="M1" s="310"/>
    </row>
    <row r="2" spans="1:14" ht="33" customHeight="1" thickBot="1">
      <c r="A2" s="325"/>
      <c r="B2" s="326"/>
      <c r="C2" s="327"/>
      <c r="D2" s="316"/>
      <c r="E2" s="317"/>
      <c r="F2" s="317"/>
      <c r="G2" s="317"/>
      <c r="H2" s="317"/>
      <c r="I2" s="317"/>
      <c r="J2" s="317"/>
      <c r="K2" s="318"/>
      <c r="L2" s="311"/>
      <c r="M2" s="312"/>
    </row>
    <row r="3" spans="1:14" ht="31.5" customHeight="1">
      <c r="A3" s="319" t="s">
        <v>163</v>
      </c>
      <c r="B3" s="321" t="s">
        <v>209</v>
      </c>
      <c r="C3" s="322"/>
      <c r="D3" s="323"/>
      <c r="E3" s="321" t="s">
        <v>210</v>
      </c>
      <c r="F3" s="322"/>
      <c r="G3" s="323"/>
      <c r="H3" s="321" t="s">
        <v>211</v>
      </c>
      <c r="I3" s="322"/>
      <c r="J3" s="323"/>
      <c r="K3" s="305" t="s">
        <v>213</v>
      </c>
      <c r="L3" s="306" t="s">
        <v>217</v>
      </c>
      <c r="M3" s="307" t="s">
        <v>218</v>
      </c>
    </row>
    <row r="4" spans="1:14" ht="32.25" customHeight="1">
      <c r="A4" s="320"/>
      <c r="B4" s="107" t="s">
        <v>216</v>
      </c>
      <c r="C4" s="107" t="s">
        <v>215</v>
      </c>
      <c r="D4" s="107" t="s">
        <v>212</v>
      </c>
      <c r="E4" s="107" t="s">
        <v>214</v>
      </c>
      <c r="F4" s="107" t="s">
        <v>219</v>
      </c>
      <c r="G4" s="107" t="s">
        <v>212</v>
      </c>
      <c r="H4" s="107" t="s">
        <v>216</v>
      </c>
      <c r="I4" s="107" t="s">
        <v>215</v>
      </c>
      <c r="J4" s="107" t="s">
        <v>212</v>
      </c>
      <c r="K4" s="298"/>
      <c r="L4" s="297"/>
      <c r="M4" s="308"/>
    </row>
    <row r="5" spans="1:14">
      <c r="A5" s="83" t="s">
        <v>23</v>
      </c>
      <c r="B5" s="222">
        <v>3038</v>
      </c>
      <c r="C5" s="68">
        <v>3096</v>
      </c>
      <c r="D5" s="82">
        <f>+C5-B5</f>
        <v>58</v>
      </c>
      <c r="E5" s="76">
        <v>687</v>
      </c>
      <c r="F5" s="239">
        <v>710</v>
      </c>
      <c r="G5" s="80">
        <f>+F5-E5</f>
        <v>23</v>
      </c>
      <c r="H5" s="76">
        <v>9262</v>
      </c>
      <c r="I5" s="235">
        <v>9552</v>
      </c>
      <c r="J5" s="76">
        <f>+I5-H5</f>
        <v>290</v>
      </c>
      <c r="K5" s="97">
        <f>+D5+G5+J5</f>
        <v>371</v>
      </c>
      <c r="L5" s="78">
        <f>+K5/+'TON  MOV '!B4</f>
        <v>9.4296461976413181E-3</v>
      </c>
      <c r="M5" s="136" t="str">
        <f>+IF(L5&lt;=0.02,"CUMPLE","NO CUMPLE")</f>
        <v>CUMPLE</v>
      </c>
    </row>
    <row r="6" spans="1:14">
      <c r="A6" s="83" t="s">
        <v>4</v>
      </c>
      <c r="B6" s="222">
        <f t="shared" ref="B6:B11" si="0">+C5</f>
        <v>3096</v>
      </c>
      <c r="C6" s="233">
        <v>3262</v>
      </c>
      <c r="D6" s="82">
        <f t="shared" ref="D6:D16" si="1">+C6-B6</f>
        <v>166</v>
      </c>
      <c r="E6" s="76">
        <f t="shared" ref="E6:E11" si="2">+F5</f>
        <v>710</v>
      </c>
      <c r="F6" s="238">
        <v>735</v>
      </c>
      <c r="G6" s="80">
        <f t="shared" ref="G6:G16" si="3">+F6-E6</f>
        <v>25</v>
      </c>
      <c r="H6" s="76">
        <f t="shared" ref="H6:H11" si="4">+I5</f>
        <v>9552</v>
      </c>
      <c r="I6" s="234">
        <v>9862</v>
      </c>
      <c r="J6" s="232">
        <f t="shared" ref="J6:J15" si="5">+I6-H6</f>
        <v>310</v>
      </c>
      <c r="K6" s="97">
        <f>+D6+G6+J6</f>
        <v>501</v>
      </c>
      <c r="L6" s="78">
        <f>+K6/'TON  MOV '!C4</f>
        <v>1.6499802397576077E-2</v>
      </c>
      <c r="M6" s="136" t="str">
        <f t="shared" ref="M6:M16" si="6">+IF(L6&lt;=0.02,"CUMPLE","NO CUMPLE")</f>
        <v>CUMPLE</v>
      </c>
      <c r="N6" s="185"/>
    </row>
    <row r="7" spans="1:14">
      <c r="A7" s="83" t="s">
        <v>5</v>
      </c>
      <c r="B7" s="222">
        <f t="shared" si="0"/>
        <v>3262</v>
      </c>
      <c r="C7" s="222">
        <v>3431</v>
      </c>
      <c r="D7" s="82">
        <f t="shared" si="1"/>
        <v>169</v>
      </c>
      <c r="E7" s="219">
        <f t="shared" si="2"/>
        <v>735</v>
      </c>
      <c r="F7" s="36">
        <v>758</v>
      </c>
      <c r="G7" s="80">
        <f t="shared" si="3"/>
        <v>23</v>
      </c>
      <c r="H7" s="219">
        <f t="shared" si="4"/>
        <v>9862</v>
      </c>
      <c r="I7" s="219">
        <v>10008</v>
      </c>
      <c r="J7" s="232">
        <f t="shared" si="5"/>
        <v>146</v>
      </c>
      <c r="K7" s="97">
        <f t="shared" ref="K7:K17" si="7">+D7+G7+J7</f>
        <v>338</v>
      </c>
      <c r="L7" s="78">
        <f>+K7/'TON  MOV '!D4</f>
        <v>1.9984627209838585E-2</v>
      </c>
      <c r="M7" s="136" t="str">
        <f t="shared" si="6"/>
        <v>CUMPLE</v>
      </c>
      <c r="N7" s="185"/>
    </row>
    <row r="8" spans="1:14">
      <c r="A8" s="83" t="s">
        <v>27</v>
      </c>
      <c r="B8" s="222">
        <f t="shared" si="0"/>
        <v>3431</v>
      </c>
      <c r="C8" s="80">
        <v>3702</v>
      </c>
      <c r="D8" s="82">
        <f t="shared" si="1"/>
        <v>271</v>
      </c>
      <c r="E8" s="76">
        <f t="shared" si="2"/>
        <v>758</v>
      </c>
      <c r="F8" s="238">
        <v>785</v>
      </c>
      <c r="G8" s="80">
        <f t="shared" si="3"/>
        <v>27</v>
      </c>
      <c r="H8" s="76">
        <f t="shared" si="4"/>
        <v>10008</v>
      </c>
      <c r="I8" s="220">
        <v>10450</v>
      </c>
      <c r="J8" s="232">
        <f t="shared" si="5"/>
        <v>442</v>
      </c>
      <c r="K8" s="97">
        <f>+D8+G8+J8</f>
        <v>740</v>
      </c>
      <c r="L8" s="78">
        <f>+K8/'TON  MOV '!E4</f>
        <v>1.480236837894063E-2</v>
      </c>
      <c r="M8" s="136" t="str">
        <f t="shared" si="6"/>
        <v>CUMPLE</v>
      </c>
      <c r="N8" s="185"/>
    </row>
    <row r="9" spans="1:14">
      <c r="A9" s="83" t="s">
        <v>28</v>
      </c>
      <c r="B9" s="236">
        <f t="shared" si="0"/>
        <v>3702</v>
      </c>
      <c r="C9" s="76">
        <v>3845</v>
      </c>
      <c r="D9" s="82">
        <f t="shared" si="1"/>
        <v>143</v>
      </c>
      <c r="E9" s="219">
        <f t="shared" si="2"/>
        <v>785</v>
      </c>
      <c r="F9" s="238">
        <v>812</v>
      </c>
      <c r="G9" s="80">
        <f t="shared" si="3"/>
        <v>27</v>
      </c>
      <c r="H9" s="219">
        <f t="shared" si="4"/>
        <v>10450</v>
      </c>
      <c r="I9" s="76">
        <v>10699</v>
      </c>
      <c r="J9" s="232">
        <f>+I9-H9</f>
        <v>249</v>
      </c>
      <c r="K9" s="97">
        <f t="shared" si="7"/>
        <v>419</v>
      </c>
      <c r="L9" s="226">
        <f>+K9/'TON  MOV '!F4</f>
        <v>1.67112032864037E-2</v>
      </c>
      <c r="M9" s="186" t="str">
        <f t="shared" si="6"/>
        <v>CUMPLE</v>
      </c>
    </row>
    <row r="10" spans="1:14">
      <c r="A10" s="83" t="s">
        <v>29</v>
      </c>
      <c r="B10" s="222">
        <f t="shared" si="0"/>
        <v>3845</v>
      </c>
      <c r="C10" s="76">
        <v>3996</v>
      </c>
      <c r="D10" s="82">
        <f t="shared" si="1"/>
        <v>151</v>
      </c>
      <c r="E10" s="219">
        <f t="shared" si="2"/>
        <v>812</v>
      </c>
      <c r="F10" s="238">
        <v>840</v>
      </c>
      <c r="G10" s="80">
        <f t="shared" si="3"/>
        <v>28</v>
      </c>
      <c r="H10" s="219">
        <f t="shared" si="4"/>
        <v>10699</v>
      </c>
      <c r="I10" s="76">
        <v>11091</v>
      </c>
      <c r="J10" s="232">
        <f t="shared" si="5"/>
        <v>392</v>
      </c>
      <c r="K10" s="97">
        <f>+D10+G10+J10</f>
        <v>571</v>
      </c>
      <c r="L10" s="226">
        <f>+K10/'TON  MOV '!G4</f>
        <v>1.857272963830341E-2</v>
      </c>
      <c r="M10" s="186" t="str">
        <f>+IF(L10&lt;=0.02,"CUMPLE","NO CUMPLE")</f>
        <v>CUMPLE</v>
      </c>
    </row>
    <row r="11" spans="1:14">
      <c r="A11" s="83" t="s">
        <v>30</v>
      </c>
      <c r="B11" s="222">
        <f t="shared" si="0"/>
        <v>3996</v>
      </c>
      <c r="C11" s="76">
        <v>4190</v>
      </c>
      <c r="D11" s="82">
        <f t="shared" si="1"/>
        <v>194</v>
      </c>
      <c r="E11" s="219">
        <f t="shared" si="2"/>
        <v>840</v>
      </c>
      <c r="F11" s="238">
        <v>864</v>
      </c>
      <c r="G11" s="80">
        <f t="shared" si="3"/>
        <v>24</v>
      </c>
      <c r="H11" s="219">
        <f t="shared" si="4"/>
        <v>11091</v>
      </c>
      <c r="I11" s="76">
        <v>11546</v>
      </c>
      <c r="J11" s="232">
        <f t="shared" si="5"/>
        <v>455</v>
      </c>
      <c r="K11" s="97">
        <f>+D11+G11+J11</f>
        <v>673</v>
      </c>
      <c r="L11" s="78">
        <f>+K11/'TON  MOV '!H4</f>
        <v>1.4006826506826506E-2</v>
      </c>
      <c r="M11" s="186" t="str">
        <f t="shared" si="6"/>
        <v>CUMPLE</v>
      </c>
    </row>
    <row r="12" spans="1:14">
      <c r="A12" s="83" t="s">
        <v>31</v>
      </c>
      <c r="B12" s="222">
        <f>+C11</f>
        <v>4190</v>
      </c>
      <c r="C12" s="76">
        <v>4363</v>
      </c>
      <c r="D12" s="82">
        <f t="shared" si="1"/>
        <v>173</v>
      </c>
      <c r="E12" s="219">
        <f>+F11</f>
        <v>864</v>
      </c>
      <c r="F12" s="238">
        <v>886</v>
      </c>
      <c r="G12" s="80">
        <f t="shared" si="3"/>
        <v>22</v>
      </c>
      <c r="H12" s="219">
        <f>+I11</f>
        <v>11546</v>
      </c>
      <c r="I12" s="76">
        <v>11708</v>
      </c>
      <c r="J12" s="232">
        <f t="shared" si="5"/>
        <v>162</v>
      </c>
      <c r="K12" s="97">
        <f>+D12+G12+J12</f>
        <v>357</v>
      </c>
      <c r="L12" s="78">
        <f>+K12/'TON  MOV '!I4</f>
        <v>1.8028481971518028E-2</v>
      </c>
      <c r="M12" s="186" t="str">
        <f t="shared" si="6"/>
        <v>CUMPLE</v>
      </c>
    </row>
    <row r="13" spans="1:14">
      <c r="A13" s="83" t="s">
        <v>32</v>
      </c>
      <c r="B13" s="222">
        <v>398</v>
      </c>
      <c r="C13" s="80">
        <v>409</v>
      </c>
      <c r="D13" s="82">
        <f>+C13-B13</f>
        <v>11</v>
      </c>
      <c r="E13" s="219">
        <v>95</v>
      </c>
      <c r="F13" s="238">
        <v>122</v>
      </c>
      <c r="G13" s="80">
        <f t="shared" si="3"/>
        <v>27</v>
      </c>
      <c r="H13" s="219">
        <v>1093</v>
      </c>
      <c r="I13" s="76">
        <v>1256</v>
      </c>
      <c r="J13" s="232">
        <f t="shared" si="5"/>
        <v>163</v>
      </c>
      <c r="K13" s="97">
        <f>+D13+G13+J13</f>
        <v>201</v>
      </c>
      <c r="L13" s="78">
        <f>+K13/'TON  MOV '!J4</f>
        <v>8.0908102886124867E-3</v>
      </c>
      <c r="M13" s="186" t="str">
        <f t="shared" si="6"/>
        <v>CUMPLE</v>
      </c>
    </row>
    <row r="14" spans="1:14">
      <c r="A14" s="83" t="s">
        <v>33</v>
      </c>
      <c r="B14" s="236">
        <f>+C13</f>
        <v>409</v>
      </c>
      <c r="C14" s="76">
        <v>540</v>
      </c>
      <c r="D14" s="82">
        <f t="shared" si="1"/>
        <v>131</v>
      </c>
      <c r="E14" s="219">
        <f>+F13</f>
        <v>122</v>
      </c>
      <c r="F14" s="76">
        <v>128</v>
      </c>
      <c r="G14" s="80">
        <f t="shared" si="3"/>
        <v>6</v>
      </c>
      <c r="H14" s="219">
        <f>+I13</f>
        <v>1256</v>
      </c>
      <c r="I14" s="76">
        <v>1369</v>
      </c>
      <c r="J14" s="232">
        <f t="shared" si="5"/>
        <v>113</v>
      </c>
      <c r="K14" s="97">
        <f t="shared" si="7"/>
        <v>250</v>
      </c>
      <c r="L14" s="78">
        <f>+K14/'TON  MOV '!K4</f>
        <v>1.2666565334143993E-2</v>
      </c>
      <c r="M14" s="186" t="str">
        <f t="shared" si="6"/>
        <v>CUMPLE</v>
      </c>
    </row>
    <row r="15" spans="1:14">
      <c r="A15" s="83" t="s">
        <v>34</v>
      </c>
      <c r="B15" s="222">
        <f>+C14</f>
        <v>540</v>
      </c>
      <c r="C15" s="76">
        <v>650</v>
      </c>
      <c r="D15" s="82">
        <f t="shared" si="1"/>
        <v>110</v>
      </c>
      <c r="E15" s="219">
        <v>128</v>
      </c>
      <c r="F15" s="76">
        <v>140</v>
      </c>
      <c r="G15" s="80">
        <f t="shared" si="3"/>
        <v>12</v>
      </c>
      <c r="H15" s="219">
        <f>+I14</f>
        <v>1369</v>
      </c>
      <c r="I15" s="36">
        <v>1546</v>
      </c>
      <c r="J15" s="232">
        <f t="shared" si="5"/>
        <v>177</v>
      </c>
      <c r="K15" s="97">
        <f>+D15+G15+J15</f>
        <v>299</v>
      </c>
      <c r="L15" s="78">
        <f>+K15/'TON  MOV '!L4</f>
        <v>6.0185185185185182E-2</v>
      </c>
      <c r="M15" s="136" t="str">
        <f t="shared" si="6"/>
        <v>NO CUMPLE</v>
      </c>
    </row>
    <row r="16" spans="1:14">
      <c r="A16" s="83" t="s">
        <v>35</v>
      </c>
      <c r="B16" s="222">
        <f>+C15</f>
        <v>650</v>
      </c>
      <c r="C16" s="76">
        <v>750</v>
      </c>
      <c r="D16" s="82">
        <f t="shared" si="1"/>
        <v>100</v>
      </c>
      <c r="E16" s="219">
        <f>+F15</f>
        <v>140</v>
      </c>
      <c r="F16" s="76">
        <v>153</v>
      </c>
      <c r="G16" s="80">
        <f t="shared" si="3"/>
        <v>13</v>
      </c>
      <c r="H16" s="219">
        <f>+I15</f>
        <v>1546</v>
      </c>
      <c r="I16" s="76">
        <v>1720</v>
      </c>
      <c r="J16" s="232">
        <f>+I16-H16</f>
        <v>174</v>
      </c>
      <c r="K16" s="97">
        <f t="shared" si="7"/>
        <v>287</v>
      </c>
      <c r="L16" s="78">
        <f>+K16/'TON  MOV '!M4</f>
        <v>2.5622712257834121E-2</v>
      </c>
      <c r="M16" s="136" t="str">
        <f t="shared" si="6"/>
        <v>NO CUMPLE</v>
      </c>
    </row>
    <row r="17" spans="1:13" ht="17.25" hidden="1" thickBot="1">
      <c r="A17" s="85" t="s">
        <v>175</v>
      </c>
      <c r="B17" s="86"/>
      <c r="C17" s="87"/>
      <c r="D17" s="82">
        <f t="shared" ref="D17" si="8">+C17-B17</f>
        <v>0</v>
      </c>
      <c r="E17" s="88"/>
      <c r="F17" s="87"/>
      <c r="G17" s="96">
        <f>SUM(G5:G16)</f>
        <v>257</v>
      </c>
      <c r="H17" s="87"/>
      <c r="I17" s="87"/>
      <c r="J17" s="87">
        <f>SUM(J5:J16)</f>
        <v>3073</v>
      </c>
      <c r="K17" s="187">
        <f t="shared" si="7"/>
        <v>3330</v>
      </c>
      <c r="L17" s="98">
        <f>+K17/'RESPEL '!O38</f>
        <v>1.0372894660606986E-2</v>
      </c>
      <c r="M17" s="151" t="str">
        <f t="shared" ref="M17" si="9">+IF(L17&lt;=0.02,"CUMPLE","NO CUMPLE")</f>
        <v>CUMPLE</v>
      </c>
    </row>
  </sheetData>
  <mergeCells count="10">
    <mergeCell ref="A3:A4"/>
    <mergeCell ref="B3:D3"/>
    <mergeCell ref="E3:G3"/>
    <mergeCell ref="H3:J3"/>
    <mergeCell ref="A1:C2"/>
    <mergeCell ref="K3:K4"/>
    <mergeCell ref="L3:L4"/>
    <mergeCell ref="M3:M4"/>
    <mergeCell ref="L1:M2"/>
    <mergeCell ref="D1:K2"/>
  </mergeCells>
  <conditionalFormatting sqref="M5:M16">
    <cfRule type="containsText" dxfId="253" priority="3" operator="containsText" text="NO CUMPLE">
      <formula>NOT(ISERROR(SEARCH("NO CUMPLE",M5)))</formula>
    </cfRule>
    <cfRule type="containsText" dxfId="252" priority="4" operator="containsText" text="CUMPLE">
      <formula>NOT(ISERROR(SEARCH("CUMPLE",M5)))</formula>
    </cfRule>
  </conditionalFormatting>
  <conditionalFormatting sqref="M17">
    <cfRule type="containsText" dxfId="251" priority="1" operator="containsText" text="NO CUMPLE">
      <formula>NOT(ISERROR(SEARCH("NO CUMPLE",M17)))</formula>
    </cfRule>
    <cfRule type="containsText" dxfId="250" priority="2" operator="containsText" text="CUMPLE">
      <formula>NOT(ISERROR(SEARCH("CUMPLE",M17)))</formula>
    </cfRule>
  </conditionalFormatting>
  <pageMargins left="0.7" right="0.7" top="0.75" bottom="0.75" header="0.3" footer="0.3"/>
  <pageSetup scale="4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N49"/>
  <sheetViews>
    <sheetView showGridLines="0" topLeftCell="A10" zoomScale="90" zoomScaleNormal="90" zoomScaleSheetLayoutView="85" workbookViewId="0">
      <selection activeCell="P23" sqref="P23"/>
    </sheetView>
  </sheetViews>
  <sheetFormatPr baseColWidth="10" defaultRowHeight="15"/>
  <cols>
    <col min="1" max="1" width="14.85546875" customWidth="1"/>
    <col min="8" max="9" width="14.28515625" customWidth="1"/>
    <col min="10" max="10" width="15.5703125" customWidth="1"/>
  </cols>
  <sheetData>
    <row r="1" spans="1:14" ht="52.5" customHeight="1" thickBot="1">
      <c r="A1" s="328" t="s">
        <v>221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30"/>
    </row>
    <row r="2" spans="1:14">
      <c r="A2" s="270"/>
      <c r="B2" s="271"/>
      <c r="C2" s="271"/>
      <c r="D2" s="271"/>
      <c r="E2" s="271"/>
      <c r="F2" s="271"/>
      <c r="G2" s="272"/>
      <c r="H2" s="270"/>
      <c r="I2" s="271"/>
      <c r="J2" s="271"/>
      <c r="K2" s="271"/>
      <c r="L2" s="271"/>
      <c r="M2" s="271"/>
      <c r="N2" s="272"/>
    </row>
    <row r="3" spans="1:14">
      <c r="A3" s="273"/>
      <c r="B3" s="274"/>
      <c r="C3" s="274"/>
      <c r="D3" s="274"/>
      <c r="E3" s="274"/>
      <c r="F3" s="274"/>
      <c r="G3" s="275"/>
      <c r="H3" s="273"/>
      <c r="I3" s="274"/>
      <c r="J3" s="274"/>
      <c r="K3" s="274"/>
      <c r="L3" s="274"/>
      <c r="M3" s="274"/>
      <c r="N3" s="275"/>
    </row>
    <row r="4" spans="1:14">
      <c r="A4" s="273"/>
      <c r="B4" s="274"/>
      <c r="C4" s="274"/>
      <c r="D4" s="274"/>
      <c r="E4" s="274"/>
      <c r="F4" s="274"/>
      <c r="G4" s="275"/>
      <c r="H4" s="273"/>
      <c r="I4" s="274"/>
      <c r="J4" s="274"/>
      <c r="K4" s="274"/>
      <c r="L4" s="274"/>
      <c r="M4" s="274"/>
      <c r="N4" s="275"/>
    </row>
    <row r="5" spans="1:14">
      <c r="A5" s="273"/>
      <c r="B5" s="274"/>
      <c r="C5" s="274"/>
      <c r="D5" s="274"/>
      <c r="E5" s="274"/>
      <c r="F5" s="274"/>
      <c r="G5" s="275"/>
      <c r="H5" s="273"/>
      <c r="I5" s="274"/>
      <c r="J5" s="274"/>
      <c r="K5" s="274"/>
      <c r="L5" s="274"/>
      <c r="M5" s="274"/>
      <c r="N5" s="275"/>
    </row>
    <row r="6" spans="1:14">
      <c r="A6" s="273"/>
      <c r="B6" s="274"/>
      <c r="C6" s="274"/>
      <c r="D6" s="274"/>
      <c r="E6" s="274"/>
      <c r="F6" s="274"/>
      <c r="G6" s="275"/>
      <c r="H6" s="273"/>
      <c r="I6" s="274"/>
      <c r="J6" s="274"/>
      <c r="K6" s="274"/>
      <c r="L6" s="274"/>
      <c r="M6" s="274"/>
      <c r="N6" s="275"/>
    </row>
    <row r="7" spans="1:14">
      <c r="A7" s="273"/>
      <c r="B7" s="274"/>
      <c r="C7" s="274"/>
      <c r="D7" s="274"/>
      <c r="E7" s="274"/>
      <c r="F7" s="274"/>
      <c r="G7" s="275"/>
      <c r="H7" s="273"/>
      <c r="I7" s="274"/>
      <c r="J7" s="274"/>
      <c r="K7" s="274"/>
      <c r="L7" s="274"/>
      <c r="M7" s="274"/>
      <c r="N7" s="275"/>
    </row>
    <row r="8" spans="1:14">
      <c r="A8" s="273"/>
      <c r="B8" s="274"/>
      <c r="C8" s="274"/>
      <c r="D8" s="274"/>
      <c r="E8" s="274"/>
      <c r="F8" s="274"/>
      <c r="G8" s="275"/>
      <c r="H8" s="273"/>
      <c r="I8" s="274"/>
      <c r="J8" s="274"/>
      <c r="K8" s="274"/>
      <c r="L8" s="274"/>
      <c r="M8" s="274"/>
      <c r="N8" s="275"/>
    </row>
    <row r="9" spans="1:14">
      <c r="A9" s="273"/>
      <c r="B9" s="274"/>
      <c r="C9" s="274"/>
      <c r="D9" s="274"/>
      <c r="E9" s="274"/>
      <c r="F9" s="274"/>
      <c r="G9" s="275"/>
      <c r="H9" s="273"/>
      <c r="I9" s="274"/>
      <c r="J9" s="274"/>
      <c r="K9" s="274"/>
      <c r="L9" s="274"/>
      <c r="M9" s="274"/>
      <c r="N9" s="275"/>
    </row>
    <row r="10" spans="1:14">
      <c r="A10" s="273"/>
      <c r="B10" s="274"/>
      <c r="C10" s="274"/>
      <c r="D10" s="274"/>
      <c r="E10" s="274"/>
      <c r="F10" s="274"/>
      <c r="G10" s="275"/>
      <c r="H10" s="273"/>
      <c r="I10" s="274"/>
      <c r="J10" s="274"/>
      <c r="K10" s="274"/>
      <c r="L10" s="274"/>
      <c r="M10" s="274"/>
      <c r="N10" s="275"/>
    </row>
    <row r="11" spans="1:14">
      <c r="A11" s="273"/>
      <c r="B11" s="274"/>
      <c r="C11" s="274"/>
      <c r="D11" s="274"/>
      <c r="E11" s="274"/>
      <c r="F11" s="274"/>
      <c r="G11" s="275"/>
      <c r="H11" s="273"/>
      <c r="I11" s="274"/>
      <c r="J11" s="274"/>
      <c r="K11" s="274"/>
      <c r="L11" s="274"/>
      <c r="M11" s="274"/>
      <c r="N11" s="275"/>
    </row>
    <row r="12" spans="1:14">
      <c r="A12" s="273"/>
      <c r="B12" s="274"/>
      <c r="C12" s="274"/>
      <c r="D12" s="274"/>
      <c r="E12" s="274"/>
      <c r="F12" s="274"/>
      <c r="G12" s="275"/>
      <c r="H12" s="273"/>
      <c r="I12" s="274"/>
      <c r="J12" s="274"/>
      <c r="K12" s="274"/>
      <c r="L12" s="274"/>
      <c r="M12" s="274"/>
      <c r="N12" s="275"/>
    </row>
    <row r="13" spans="1:14">
      <c r="A13" s="273"/>
      <c r="B13" s="274"/>
      <c r="C13" s="274"/>
      <c r="D13" s="274"/>
      <c r="E13" s="274"/>
      <c r="F13" s="274"/>
      <c r="G13" s="275"/>
      <c r="H13" s="273"/>
      <c r="I13" s="274"/>
      <c r="J13" s="274"/>
      <c r="K13" s="274"/>
      <c r="L13" s="274"/>
      <c r="M13" s="274"/>
      <c r="N13" s="275"/>
    </row>
    <row r="14" spans="1:14">
      <c r="A14" s="273"/>
      <c r="B14" s="274"/>
      <c r="C14" s="274"/>
      <c r="D14" s="274"/>
      <c r="E14" s="274"/>
      <c r="F14" s="274"/>
      <c r="G14" s="275"/>
      <c r="H14" s="273"/>
      <c r="I14" s="274"/>
      <c r="J14" s="274"/>
      <c r="K14" s="274"/>
      <c r="L14" s="274"/>
      <c r="M14" s="274"/>
      <c r="N14" s="275"/>
    </row>
    <row r="15" spans="1:14">
      <c r="A15" s="273"/>
      <c r="B15" s="274"/>
      <c r="C15" s="274"/>
      <c r="D15" s="274"/>
      <c r="E15" s="274"/>
      <c r="F15" s="274"/>
      <c r="G15" s="275"/>
      <c r="H15" s="273"/>
      <c r="I15" s="274"/>
      <c r="J15" s="274"/>
      <c r="K15" s="274"/>
      <c r="L15" s="274"/>
      <c r="M15" s="274"/>
      <c r="N15" s="275"/>
    </row>
    <row r="16" spans="1:14">
      <c r="A16" s="273"/>
      <c r="B16" s="274"/>
      <c r="C16" s="274"/>
      <c r="D16" s="274"/>
      <c r="E16" s="274"/>
      <c r="F16" s="274"/>
      <c r="G16" s="275"/>
      <c r="H16" s="273"/>
      <c r="I16" s="274"/>
      <c r="J16" s="274"/>
      <c r="K16" s="274"/>
      <c r="L16" s="274"/>
      <c r="M16" s="274"/>
      <c r="N16" s="275"/>
    </row>
    <row r="17" spans="1:14">
      <c r="A17" s="273"/>
      <c r="B17" s="274"/>
      <c r="C17" s="274"/>
      <c r="D17" s="274"/>
      <c r="E17" s="274"/>
      <c r="F17" s="274"/>
      <c r="G17" s="275"/>
      <c r="H17" s="273"/>
      <c r="I17" s="274"/>
      <c r="J17" s="274"/>
      <c r="K17" s="274"/>
      <c r="L17" s="274"/>
      <c r="M17" s="274"/>
      <c r="N17" s="275"/>
    </row>
    <row r="18" spans="1:14" ht="15.75" thickBot="1">
      <c r="A18" s="276"/>
      <c r="B18" s="277"/>
      <c r="C18" s="277"/>
      <c r="D18" s="277"/>
      <c r="E18" s="277"/>
      <c r="F18" s="277"/>
      <c r="G18" s="278"/>
      <c r="H18" s="276"/>
      <c r="I18" s="277"/>
      <c r="J18" s="277"/>
      <c r="K18" s="277"/>
      <c r="L18" s="277"/>
      <c r="M18" s="277"/>
      <c r="N18" s="278"/>
    </row>
    <row r="19" spans="1:14">
      <c r="A19" s="270"/>
      <c r="B19" s="271"/>
      <c r="C19" s="271"/>
      <c r="D19" s="271"/>
      <c r="E19" s="271"/>
      <c r="F19" s="271"/>
      <c r="G19" s="272"/>
      <c r="H19" s="270"/>
      <c r="I19" s="271"/>
      <c r="J19" s="271"/>
      <c r="K19" s="271"/>
      <c r="L19" s="271"/>
      <c r="M19" s="271"/>
      <c r="N19" s="272"/>
    </row>
    <row r="20" spans="1:14">
      <c r="A20" s="273"/>
      <c r="B20" s="274"/>
      <c r="C20" s="274"/>
      <c r="D20" s="274"/>
      <c r="E20" s="274"/>
      <c r="F20" s="274"/>
      <c r="G20" s="275"/>
      <c r="H20" s="273"/>
      <c r="I20" s="274"/>
      <c r="J20" s="274"/>
      <c r="K20" s="274"/>
      <c r="L20" s="274"/>
      <c r="M20" s="274"/>
      <c r="N20" s="275"/>
    </row>
    <row r="21" spans="1:14">
      <c r="A21" s="273"/>
      <c r="B21" s="274"/>
      <c r="C21" s="274"/>
      <c r="D21" s="274"/>
      <c r="E21" s="274"/>
      <c r="F21" s="274"/>
      <c r="G21" s="275"/>
      <c r="H21" s="273"/>
      <c r="I21" s="274"/>
      <c r="J21" s="274"/>
      <c r="K21" s="274"/>
      <c r="L21" s="274"/>
      <c r="M21" s="274"/>
      <c r="N21" s="275"/>
    </row>
    <row r="22" spans="1:14">
      <c r="A22" s="273"/>
      <c r="B22" s="274"/>
      <c r="C22" s="274"/>
      <c r="D22" s="274"/>
      <c r="E22" s="274"/>
      <c r="F22" s="274"/>
      <c r="G22" s="275"/>
      <c r="H22" s="273"/>
      <c r="I22" s="274"/>
      <c r="J22" s="274"/>
      <c r="K22" s="274"/>
      <c r="L22" s="274"/>
      <c r="M22" s="274"/>
      <c r="N22" s="275"/>
    </row>
    <row r="23" spans="1:14">
      <c r="A23" s="273"/>
      <c r="B23" s="274"/>
      <c r="C23" s="274"/>
      <c r="D23" s="274"/>
      <c r="E23" s="274"/>
      <c r="F23" s="274"/>
      <c r="G23" s="275"/>
      <c r="H23" s="273"/>
      <c r="I23" s="274"/>
      <c r="J23" s="274"/>
      <c r="K23" s="274"/>
      <c r="L23" s="274"/>
      <c r="M23" s="274"/>
      <c r="N23" s="275"/>
    </row>
    <row r="24" spans="1:14">
      <c r="A24" s="273"/>
      <c r="B24" s="274"/>
      <c r="C24" s="274"/>
      <c r="D24" s="274"/>
      <c r="E24" s="274"/>
      <c r="F24" s="274"/>
      <c r="G24" s="275"/>
      <c r="H24" s="273"/>
      <c r="I24" s="274"/>
      <c r="J24" s="274"/>
      <c r="K24" s="274"/>
      <c r="L24" s="274"/>
      <c r="M24" s="274"/>
      <c r="N24" s="275"/>
    </row>
    <row r="25" spans="1:14">
      <c r="A25" s="273"/>
      <c r="B25" s="274"/>
      <c r="C25" s="274"/>
      <c r="D25" s="274"/>
      <c r="E25" s="274"/>
      <c r="F25" s="274"/>
      <c r="G25" s="275"/>
      <c r="H25" s="273"/>
      <c r="I25" s="274"/>
      <c r="J25" s="274"/>
      <c r="K25" s="274"/>
      <c r="L25" s="274"/>
      <c r="M25" s="274"/>
      <c r="N25" s="275"/>
    </row>
    <row r="26" spans="1:14">
      <c r="A26" s="273"/>
      <c r="B26" s="274"/>
      <c r="C26" s="274"/>
      <c r="D26" s="274"/>
      <c r="E26" s="274"/>
      <c r="F26" s="274"/>
      <c r="G26" s="275"/>
      <c r="H26" s="273"/>
      <c r="I26" s="274"/>
      <c r="J26" s="274"/>
      <c r="K26" s="274"/>
      <c r="L26" s="274"/>
      <c r="M26" s="274"/>
      <c r="N26" s="275"/>
    </row>
    <row r="27" spans="1:14">
      <c r="A27" s="273"/>
      <c r="B27" s="274"/>
      <c r="C27" s="274"/>
      <c r="D27" s="274"/>
      <c r="E27" s="274"/>
      <c r="F27" s="274"/>
      <c r="G27" s="275"/>
      <c r="H27" s="273"/>
      <c r="I27" s="274"/>
      <c r="J27" s="274"/>
      <c r="K27" s="274"/>
      <c r="L27" s="274"/>
      <c r="M27" s="274"/>
      <c r="N27" s="275"/>
    </row>
    <row r="28" spans="1:14">
      <c r="A28" s="273"/>
      <c r="B28" s="274"/>
      <c r="C28" s="274"/>
      <c r="D28" s="274"/>
      <c r="E28" s="274"/>
      <c r="F28" s="274"/>
      <c r="G28" s="275"/>
      <c r="H28" s="273"/>
      <c r="I28" s="274"/>
      <c r="J28" s="274"/>
      <c r="K28" s="274"/>
      <c r="L28" s="274"/>
      <c r="M28" s="274"/>
      <c r="N28" s="275"/>
    </row>
    <row r="29" spans="1:14">
      <c r="A29" s="273"/>
      <c r="B29" s="274"/>
      <c r="C29" s="274"/>
      <c r="D29" s="274"/>
      <c r="E29" s="274"/>
      <c r="F29" s="274"/>
      <c r="G29" s="275"/>
      <c r="H29" s="273"/>
      <c r="I29" s="274"/>
      <c r="J29" s="274"/>
      <c r="K29" s="274"/>
      <c r="L29" s="274"/>
      <c r="M29" s="274"/>
      <c r="N29" s="275"/>
    </row>
    <row r="30" spans="1:14">
      <c r="A30" s="273"/>
      <c r="B30" s="274"/>
      <c r="C30" s="274"/>
      <c r="D30" s="274"/>
      <c r="E30" s="274"/>
      <c r="F30" s="274"/>
      <c r="G30" s="275"/>
      <c r="H30" s="273"/>
      <c r="I30" s="274"/>
      <c r="J30" s="274"/>
      <c r="K30" s="274"/>
      <c r="L30" s="274"/>
      <c r="M30" s="274"/>
      <c r="N30" s="275"/>
    </row>
    <row r="31" spans="1:14">
      <c r="A31" s="273"/>
      <c r="B31" s="274"/>
      <c r="C31" s="274"/>
      <c r="D31" s="274"/>
      <c r="E31" s="274"/>
      <c r="F31" s="274"/>
      <c r="G31" s="275"/>
      <c r="H31" s="273"/>
      <c r="I31" s="274"/>
      <c r="J31" s="274"/>
      <c r="K31" s="274"/>
      <c r="L31" s="274"/>
      <c r="M31" s="274"/>
      <c r="N31" s="275"/>
    </row>
    <row r="32" spans="1:14">
      <c r="A32" s="273"/>
      <c r="B32" s="274"/>
      <c r="C32" s="274"/>
      <c r="D32" s="274"/>
      <c r="E32" s="274"/>
      <c r="F32" s="274"/>
      <c r="G32" s="275"/>
      <c r="H32" s="273"/>
      <c r="I32" s="274"/>
      <c r="J32" s="274"/>
      <c r="K32" s="274"/>
      <c r="L32" s="274"/>
      <c r="M32" s="274"/>
      <c r="N32" s="275"/>
    </row>
    <row r="33" spans="1:14">
      <c r="A33" s="273"/>
      <c r="B33" s="274"/>
      <c r="C33" s="274"/>
      <c r="D33" s="274"/>
      <c r="E33" s="274"/>
      <c r="F33" s="274"/>
      <c r="G33" s="275"/>
      <c r="H33" s="273"/>
      <c r="I33" s="274"/>
      <c r="J33" s="274"/>
      <c r="K33" s="274"/>
      <c r="L33" s="274"/>
      <c r="M33" s="274"/>
      <c r="N33" s="275"/>
    </row>
    <row r="34" spans="1:14">
      <c r="A34" s="273"/>
      <c r="B34" s="274"/>
      <c r="C34" s="274"/>
      <c r="D34" s="274"/>
      <c r="E34" s="274"/>
      <c r="F34" s="274"/>
      <c r="G34" s="275"/>
      <c r="H34" s="273"/>
      <c r="I34" s="274"/>
      <c r="J34" s="274"/>
      <c r="K34" s="274"/>
      <c r="L34" s="274"/>
      <c r="M34" s="274"/>
      <c r="N34" s="275"/>
    </row>
    <row r="35" spans="1:14" ht="15.75" thickBot="1">
      <c r="A35" s="276"/>
      <c r="B35" s="277"/>
      <c r="C35" s="277"/>
      <c r="D35" s="277"/>
      <c r="E35" s="277"/>
      <c r="F35" s="277"/>
      <c r="G35" s="278"/>
      <c r="H35" s="276"/>
      <c r="I35" s="277"/>
      <c r="J35" s="277"/>
      <c r="K35" s="277"/>
      <c r="L35" s="277"/>
      <c r="M35" s="277"/>
      <c r="N35" s="278"/>
    </row>
    <row r="37" spans="1:14">
      <c r="A37" s="192">
        <v>0.02</v>
      </c>
      <c r="B37" s="192"/>
    </row>
    <row r="38" spans="1:14">
      <c r="A38" s="192">
        <v>0.02</v>
      </c>
      <c r="B38" s="192"/>
    </row>
    <row r="39" spans="1:14">
      <c r="A39" s="192">
        <v>0.02</v>
      </c>
      <c r="B39" s="192"/>
    </row>
    <row r="40" spans="1:14">
      <c r="A40" s="192">
        <v>0.02</v>
      </c>
      <c r="B40" s="192"/>
    </row>
    <row r="41" spans="1:14">
      <c r="A41" s="192">
        <v>0.02</v>
      </c>
      <c r="B41" s="192"/>
    </row>
    <row r="42" spans="1:14">
      <c r="A42" s="192">
        <v>0.02</v>
      </c>
      <c r="B42" s="192"/>
    </row>
    <row r="43" spans="1:14">
      <c r="A43" s="192">
        <v>0.02</v>
      </c>
      <c r="B43" s="192"/>
    </row>
    <row r="44" spans="1:14">
      <c r="A44" s="192">
        <v>0.02</v>
      </c>
      <c r="B44" s="192"/>
    </row>
    <row r="45" spans="1:14">
      <c r="A45" s="192">
        <v>0.02</v>
      </c>
      <c r="B45" s="192"/>
    </row>
    <row r="46" spans="1:14">
      <c r="A46" s="192">
        <v>0.02</v>
      </c>
      <c r="B46" s="192"/>
    </row>
    <row r="47" spans="1:14">
      <c r="A47" s="192">
        <v>0.02</v>
      </c>
      <c r="B47" s="192"/>
    </row>
    <row r="48" spans="1:14">
      <c r="A48" s="192">
        <v>0.02</v>
      </c>
      <c r="B48" s="192"/>
    </row>
    <row r="49" spans="1:2">
      <c r="A49" s="192"/>
      <c r="B49" s="192"/>
    </row>
  </sheetData>
  <mergeCells count="5">
    <mergeCell ref="A1:N1"/>
    <mergeCell ref="A2:G18"/>
    <mergeCell ref="H2:N18"/>
    <mergeCell ref="A19:G35"/>
    <mergeCell ref="H19:N35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4</vt:i4>
      </vt:variant>
    </vt:vector>
  </HeadingPairs>
  <TitlesOfParts>
    <vt:vector size="22" baseType="lpstr">
      <vt:lpstr>TON  MOV </vt:lpstr>
      <vt:lpstr>RESPEL </vt:lpstr>
      <vt:lpstr>G_RESPEL 1 </vt:lpstr>
      <vt:lpstr>G_RESPEL_2</vt:lpstr>
      <vt:lpstr>RESIDUOS</vt:lpstr>
      <vt:lpstr>Hoja3</vt:lpstr>
      <vt:lpstr>G_RESIDUOS </vt:lpstr>
      <vt:lpstr>AGUA </vt:lpstr>
      <vt:lpstr>G_AGUA </vt:lpstr>
      <vt:lpstr>Vol_VERT</vt:lpstr>
      <vt:lpstr>G_VERT</vt:lpstr>
      <vt:lpstr>EE</vt:lpstr>
      <vt:lpstr>G_EE </vt:lpstr>
      <vt:lpstr>GN</vt:lpstr>
      <vt:lpstr>G_GN </vt:lpstr>
      <vt:lpstr>ACPM_G _2018 </vt:lpstr>
      <vt:lpstr>EDA</vt:lpstr>
      <vt:lpstr>PROGRAMAS AMB Y PMA</vt:lpstr>
      <vt:lpstr>'AGUA '!Área_de_impresión</vt:lpstr>
      <vt:lpstr>RESIDUOS!Área_de_impresión</vt:lpstr>
      <vt:lpstr>'RESPEL '!Área_de_impresión</vt:lpstr>
      <vt:lpstr>Vol_VERT!Área_de_impresión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CABRERA</dc:creator>
  <cp:lastModifiedBy>STULY QUINTO</cp:lastModifiedBy>
  <cp:lastPrinted>2016-05-05T22:26:41Z</cp:lastPrinted>
  <dcterms:created xsi:type="dcterms:W3CDTF">2015-01-27T21:15:20Z</dcterms:created>
  <dcterms:modified xsi:type="dcterms:W3CDTF">2021-01-06T16:54:17Z</dcterms:modified>
</cp:coreProperties>
</file>